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fe7f9bd2c3912f/"/>
    </mc:Choice>
  </mc:AlternateContent>
  <xr:revisionPtr revIDLastSave="0" documentId="8_{B497029B-B9A3-4B06-8ABA-C2AAFDFC1628}" xr6:coauthVersionLast="47" xr6:coauthVersionMax="47" xr10:uidLastSave="{00000000-0000-0000-0000-000000000000}"/>
  <bookViews>
    <workbookView xWindow="-96" yWindow="-96" windowWidth="20928" windowHeight="12432" firstSheet="5" activeTab="7" xr2:uid="{1CB3EDD5-C350-44CB-BDFE-638DB231A990}"/>
  </bookViews>
  <sheets>
    <sheet name="Income Statement" sheetId="1" r:id="rId1"/>
    <sheet name="Cash Flow Statement" sheetId="3" r:id="rId2"/>
    <sheet name="Balance Sheet" sheetId="2" r:id="rId3"/>
    <sheet name="Revenue Build" sheetId="4" r:id="rId4"/>
    <sheet name="CapEx + D&amp;A" sheetId="6" r:id="rId5"/>
    <sheet name="WACC" sheetId="7" r:id="rId6"/>
    <sheet name="DCF" sheetId="9" r:id="rId7"/>
    <sheet name="Comps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0" l="1"/>
  <c r="O18" i="10"/>
  <c r="J10" i="10"/>
  <c r="L18" i="10" s="1"/>
  <c r="T18" i="10"/>
  <c r="I99" i="10"/>
  <c r="G99" i="10"/>
  <c r="F99" i="10"/>
  <c r="I98" i="10"/>
  <c r="G98" i="10"/>
  <c r="F98" i="10"/>
  <c r="I97" i="10"/>
  <c r="G97" i="10"/>
  <c r="F97" i="10"/>
  <c r="I96" i="10"/>
  <c r="G96" i="10"/>
  <c r="F96" i="10"/>
  <c r="I95" i="10"/>
  <c r="G95" i="10"/>
  <c r="F95" i="10"/>
  <c r="I92" i="10"/>
  <c r="G92" i="10"/>
  <c r="F92" i="10"/>
  <c r="I91" i="10"/>
  <c r="G91" i="10"/>
  <c r="F91" i="10"/>
  <c r="I90" i="10"/>
  <c r="G90" i="10"/>
  <c r="F90" i="10"/>
  <c r="I89" i="10"/>
  <c r="G89" i="10"/>
  <c r="F89" i="10"/>
  <c r="I88" i="10"/>
  <c r="G88" i="10"/>
  <c r="F88" i="10"/>
  <c r="I85" i="10"/>
  <c r="G85" i="10"/>
  <c r="F85" i="10"/>
  <c r="I84" i="10"/>
  <c r="G84" i="10"/>
  <c r="F84" i="10"/>
  <c r="I83" i="10"/>
  <c r="G83" i="10"/>
  <c r="F83" i="10"/>
  <c r="I82" i="10"/>
  <c r="G82" i="10"/>
  <c r="F82" i="10"/>
  <c r="I81" i="10"/>
  <c r="G81" i="10"/>
  <c r="F81" i="10"/>
  <c r="I78" i="10"/>
  <c r="G78" i="10"/>
  <c r="F78" i="10"/>
  <c r="I77" i="10"/>
  <c r="G77" i="10"/>
  <c r="F77" i="10"/>
  <c r="I76" i="10"/>
  <c r="G76" i="10"/>
  <c r="F76" i="10"/>
  <c r="I75" i="10"/>
  <c r="G75" i="10"/>
  <c r="F75" i="10"/>
  <c r="I74" i="10"/>
  <c r="G74" i="10"/>
  <c r="F74" i="10"/>
  <c r="I36" i="10" l="1"/>
  <c r="G36" i="10"/>
  <c r="F35" i="10"/>
  <c r="D55" i="10" l="1"/>
  <c r="D48" i="10"/>
  <c r="D41" i="10"/>
  <c r="D34" i="10"/>
  <c r="T14" i="10" l="1"/>
  <c r="O14" i="10"/>
  <c r="I60" i="10"/>
  <c r="G60" i="10"/>
  <c r="F60" i="10"/>
  <c r="I59" i="10"/>
  <c r="G59" i="10"/>
  <c r="F59" i="10"/>
  <c r="I58" i="10"/>
  <c r="G58" i="10"/>
  <c r="F58" i="10"/>
  <c r="I57" i="10"/>
  <c r="G57" i="10"/>
  <c r="F57" i="10"/>
  <c r="I56" i="10"/>
  <c r="G56" i="10"/>
  <c r="F56" i="10"/>
  <c r="I53" i="10"/>
  <c r="G53" i="10"/>
  <c r="F53" i="10"/>
  <c r="I52" i="10"/>
  <c r="G52" i="10"/>
  <c r="F52" i="10"/>
  <c r="I51" i="10"/>
  <c r="G51" i="10"/>
  <c r="F51" i="10"/>
  <c r="I50" i="10"/>
  <c r="G50" i="10"/>
  <c r="F50" i="10"/>
  <c r="I49" i="10"/>
  <c r="G49" i="10"/>
  <c r="F49" i="10"/>
  <c r="I46" i="10"/>
  <c r="G46" i="10"/>
  <c r="F46" i="10"/>
  <c r="I45" i="10"/>
  <c r="G45" i="10"/>
  <c r="F45" i="10"/>
  <c r="I44" i="10"/>
  <c r="G44" i="10"/>
  <c r="F44" i="10"/>
  <c r="I43" i="10"/>
  <c r="G43" i="10"/>
  <c r="F43" i="10"/>
  <c r="I42" i="10"/>
  <c r="G42" i="10"/>
  <c r="F42" i="10"/>
  <c r="I39" i="10"/>
  <c r="G39" i="10"/>
  <c r="F39" i="10"/>
  <c r="I38" i="10"/>
  <c r="G38" i="10"/>
  <c r="F38" i="10"/>
  <c r="I37" i="10"/>
  <c r="G37" i="10"/>
  <c r="F37" i="10"/>
  <c r="F36" i="10"/>
  <c r="I35" i="10"/>
  <c r="G35" i="10"/>
  <c r="T17" i="10"/>
  <c r="T16" i="10"/>
  <c r="T25" i="10" s="1"/>
  <c r="O16" i="10"/>
  <c r="O17" i="10"/>
  <c r="S6" i="10"/>
  <c r="D73" i="10" s="1"/>
  <c r="R6" i="10"/>
  <c r="D80" i="10" s="1"/>
  <c r="Q6" i="10"/>
  <c r="D94" i="10" s="1"/>
  <c r="P6" i="10"/>
  <c r="D87" i="10" s="1"/>
  <c r="J9" i="10"/>
  <c r="K17" i="10" s="1"/>
  <c r="J8" i="10"/>
  <c r="M16" i="10" s="1"/>
  <c r="J6" i="10"/>
  <c r="K14" i="10" s="1"/>
  <c r="M17" i="10" l="1"/>
  <c r="O23" i="10"/>
  <c r="T27" i="10"/>
  <c r="O24" i="10"/>
  <c r="Q18" i="10"/>
  <c r="R18" i="10"/>
  <c r="S18" i="10"/>
  <c r="K18" i="10"/>
  <c r="M18" i="10"/>
  <c r="N18" i="10"/>
  <c r="P18" i="10"/>
  <c r="K16" i="10"/>
  <c r="K23" i="10" s="1"/>
  <c r="R16" i="10"/>
  <c r="T26" i="10"/>
  <c r="S16" i="10"/>
  <c r="T22" i="10"/>
  <c r="S17" i="10"/>
  <c r="Q14" i="10"/>
  <c r="T23" i="10"/>
  <c r="O25" i="10"/>
  <c r="R14" i="10"/>
  <c r="M14" i="10"/>
  <c r="S14" i="10"/>
  <c r="O22" i="10"/>
  <c r="N14" i="10"/>
  <c r="N16" i="10"/>
  <c r="L16" i="10"/>
  <c r="O27" i="10"/>
  <c r="L14" i="10"/>
  <c r="N17" i="10"/>
  <c r="Q16" i="10"/>
  <c r="P16" i="10"/>
  <c r="L17" i="10"/>
  <c r="P17" i="10"/>
  <c r="O26" i="10"/>
  <c r="Q17" i="10"/>
  <c r="T24" i="10"/>
  <c r="P14" i="10"/>
  <c r="R17" i="10"/>
  <c r="M24" i="10" l="1"/>
  <c r="D44" i="10" s="1"/>
  <c r="D60" i="10"/>
  <c r="K22" i="10"/>
  <c r="D49" i="10" s="1"/>
  <c r="E49" i="10" s="1"/>
  <c r="H49" i="10" s="1"/>
  <c r="J49" i="10" s="1"/>
  <c r="D50" i="10"/>
  <c r="E50" i="10" s="1"/>
  <c r="H50" i="10" s="1"/>
  <c r="J50" i="10" s="1"/>
  <c r="K25" i="10"/>
  <c r="D52" i="10" s="1"/>
  <c r="E52" i="10" s="1"/>
  <c r="H52" i="10" s="1"/>
  <c r="J52" i="10" s="1"/>
  <c r="K26" i="10"/>
  <c r="D53" i="10" s="1"/>
  <c r="E53" i="10" s="1"/>
  <c r="H53" i="10" s="1"/>
  <c r="J53" i="10" s="1"/>
  <c r="P23" i="10"/>
  <c r="D89" i="10" s="1"/>
  <c r="E89" i="10" s="1"/>
  <c r="H89" i="10" s="1"/>
  <c r="J89" i="10" s="1"/>
  <c r="P26" i="10"/>
  <c r="D92" i="10" s="1"/>
  <c r="E92" i="10" s="1"/>
  <c r="H92" i="10" s="1"/>
  <c r="J92" i="10" s="1"/>
  <c r="P27" i="10"/>
  <c r="P22" i="10"/>
  <c r="D88" i="10" s="1"/>
  <c r="E88" i="10" s="1"/>
  <c r="H88" i="10" s="1"/>
  <c r="J88" i="10" s="1"/>
  <c r="P25" i="10"/>
  <c r="D91" i="10" s="1"/>
  <c r="E91" i="10" s="1"/>
  <c r="H91" i="10" s="1"/>
  <c r="J91" i="10" s="1"/>
  <c r="P24" i="10"/>
  <c r="D90" i="10" s="1"/>
  <c r="E90" i="10" s="1"/>
  <c r="H90" i="10" s="1"/>
  <c r="J90" i="10" s="1"/>
  <c r="C106" i="10" s="1"/>
  <c r="E106" i="10" s="1"/>
  <c r="N25" i="10"/>
  <c r="D38" i="10" s="1"/>
  <c r="N24" i="10"/>
  <c r="D37" i="10" s="1"/>
  <c r="N23" i="10"/>
  <c r="D36" i="10" s="1"/>
  <c r="N26" i="10"/>
  <c r="D39" i="10" s="1"/>
  <c r="N27" i="10"/>
  <c r="N22" i="10"/>
  <c r="D35" i="10" s="1"/>
  <c r="S23" i="10"/>
  <c r="D75" i="10" s="1"/>
  <c r="E75" i="10" s="1"/>
  <c r="H75" i="10" s="1"/>
  <c r="J75" i="10" s="1"/>
  <c r="S26" i="10"/>
  <c r="D78" i="10" s="1"/>
  <c r="E78" i="10" s="1"/>
  <c r="H78" i="10" s="1"/>
  <c r="J78" i="10" s="1"/>
  <c r="S22" i="10"/>
  <c r="D74" i="10" s="1"/>
  <c r="E74" i="10" s="1"/>
  <c r="H74" i="10" s="1"/>
  <c r="J74" i="10" s="1"/>
  <c r="S24" i="10"/>
  <c r="D76" i="10" s="1"/>
  <c r="E76" i="10" s="1"/>
  <c r="H76" i="10" s="1"/>
  <c r="J76" i="10" s="1"/>
  <c r="C104" i="10" s="1"/>
  <c r="E104" i="10" s="1"/>
  <c r="S27" i="10"/>
  <c r="S25" i="10"/>
  <c r="D77" i="10" s="1"/>
  <c r="E77" i="10" s="1"/>
  <c r="H77" i="10" s="1"/>
  <c r="J77" i="10" s="1"/>
  <c r="R23" i="10"/>
  <c r="D82" i="10" s="1"/>
  <c r="E82" i="10" s="1"/>
  <c r="H82" i="10" s="1"/>
  <c r="J82" i="10" s="1"/>
  <c r="R26" i="10"/>
  <c r="D85" i="10" s="1"/>
  <c r="E85" i="10" s="1"/>
  <c r="H85" i="10" s="1"/>
  <c r="J85" i="10" s="1"/>
  <c r="R22" i="10"/>
  <c r="D81" i="10" s="1"/>
  <c r="E81" i="10" s="1"/>
  <c r="H81" i="10" s="1"/>
  <c r="J81" i="10" s="1"/>
  <c r="R24" i="10"/>
  <c r="D83" i="10" s="1"/>
  <c r="E83" i="10" s="1"/>
  <c r="H83" i="10" s="1"/>
  <c r="J83" i="10" s="1"/>
  <c r="C105" i="10" s="1"/>
  <c r="E105" i="10" s="1"/>
  <c r="R27" i="10"/>
  <c r="R25" i="10"/>
  <c r="D84" i="10" s="1"/>
  <c r="E84" i="10" s="1"/>
  <c r="H84" i="10" s="1"/>
  <c r="J84" i="10" s="1"/>
  <c r="Q23" i="10"/>
  <c r="D96" i="10" s="1"/>
  <c r="E96" i="10" s="1"/>
  <c r="H96" i="10" s="1"/>
  <c r="J96" i="10" s="1"/>
  <c r="Q26" i="10"/>
  <c r="D99" i="10" s="1"/>
  <c r="E99" i="10" s="1"/>
  <c r="H99" i="10" s="1"/>
  <c r="J99" i="10" s="1"/>
  <c r="Q24" i="10"/>
  <c r="D97" i="10" s="1"/>
  <c r="E97" i="10" s="1"/>
  <c r="H97" i="10" s="1"/>
  <c r="J97" i="10" s="1"/>
  <c r="C107" i="10" s="1"/>
  <c r="E107" i="10" s="1"/>
  <c r="Q27" i="10"/>
  <c r="Q22" i="10"/>
  <c r="D95" i="10" s="1"/>
  <c r="E95" i="10" s="1"/>
  <c r="H95" i="10" s="1"/>
  <c r="J95" i="10" s="1"/>
  <c r="Q25" i="10"/>
  <c r="D98" i="10" s="1"/>
  <c r="E98" i="10" s="1"/>
  <c r="H98" i="10" s="1"/>
  <c r="J98" i="10" s="1"/>
  <c r="K24" i="10"/>
  <c r="D51" i="10" s="1"/>
  <c r="M25" i="10"/>
  <c r="D45" i="10" s="1"/>
  <c r="M23" i="10"/>
  <c r="D43" i="10" s="1"/>
  <c r="M27" i="10"/>
  <c r="M26" i="10"/>
  <c r="D46" i="10" s="1"/>
  <c r="M22" i="10"/>
  <c r="D42" i="10" s="1"/>
  <c r="K27" i="10"/>
  <c r="L22" i="10"/>
  <c r="D56" i="10" s="1"/>
  <c r="L25" i="10"/>
  <c r="D59" i="10" s="1"/>
  <c r="L24" i="10"/>
  <c r="D58" i="10" s="1"/>
  <c r="L27" i="10"/>
  <c r="L23" i="10"/>
  <c r="D57" i="10" s="1"/>
  <c r="E108" i="10" l="1"/>
  <c r="E38" i="10"/>
  <c r="H38" i="10" s="1"/>
  <c r="J38" i="10" s="1"/>
  <c r="E37" i="10"/>
  <c r="H37" i="10" s="1"/>
  <c r="J37" i="10" s="1"/>
  <c r="C64" i="10" s="1"/>
  <c r="E64" i="10" s="1"/>
  <c r="E56" i="10"/>
  <c r="H56" i="10" s="1"/>
  <c r="J56" i="10" s="1"/>
  <c r="E45" i="10"/>
  <c r="H45" i="10" s="1"/>
  <c r="J45" i="10" s="1"/>
  <c r="E51" i="10"/>
  <c r="H51" i="10" s="1"/>
  <c r="J51" i="10" s="1"/>
  <c r="C66" i="10" s="1"/>
  <c r="E44" i="10"/>
  <c r="H44" i="10" s="1"/>
  <c r="J44" i="10" s="1"/>
  <c r="C65" i="10" s="1"/>
  <c r="E59" i="10"/>
  <c r="H59" i="10" s="1"/>
  <c r="J59" i="10" s="1"/>
  <c r="E42" i="10"/>
  <c r="H42" i="10" s="1"/>
  <c r="J42" i="10" s="1"/>
  <c r="E35" i="10"/>
  <c r="H35" i="10" s="1"/>
  <c r="E46" i="10"/>
  <c r="H46" i="10" s="1"/>
  <c r="J46" i="10" s="1"/>
  <c r="E60" i="10"/>
  <c r="H60" i="10" s="1"/>
  <c r="J60" i="10" s="1"/>
  <c r="E43" i="10"/>
  <c r="H43" i="10" s="1"/>
  <c r="J43" i="10" s="1"/>
  <c r="E57" i="10"/>
  <c r="H57" i="10" s="1"/>
  <c r="J57" i="10" s="1"/>
  <c r="E39" i="10"/>
  <c r="H39" i="10" s="1"/>
  <c r="J39" i="10" s="1"/>
  <c r="E58" i="10"/>
  <c r="H58" i="10" s="1"/>
  <c r="J58" i="10" s="1"/>
  <c r="C67" i="10" s="1"/>
  <c r="E67" i="10" s="1"/>
  <c r="E36" i="10"/>
  <c r="H36" i="10" s="1"/>
  <c r="J36" i="10" s="1"/>
  <c r="E10" i="7"/>
  <c r="E19" i="7"/>
  <c r="E6" i="7"/>
  <c r="J26" i="9"/>
  <c r="J37" i="9"/>
  <c r="J33" i="9"/>
  <c r="E26" i="9"/>
  <c r="J34" i="9"/>
  <c r="G20" i="9"/>
  <c r="H20" i="9"/>
  <c r="I20" i="9"/>
  <c r="J20" i="9"/>
  <c r="F20" i="9"/>
  <c r="G19" i="9"/>
  <c r="H19" i="9" s="1"/>
  <c r="I19" i="9" s="1"/>
  <c r="J19" i="9" s="1"/>
  <c r="F19" i="9"/>
  <c r="D18" i="9"/>
  <c r="E18" i="9"/>
  <c r="F18" i="9"/>
  <c r="G18" i="9"/>
  <c r="H18" i="9"/>
  <c r="I18" i="9"/>
  <c r="J18" i="9"/>
  <c r="C18" i="9"/>
  <c r="D16" i="9"/>
  <c r="E16" i="9"/>
  <c r="F16" i="9"/>
  <c r="G16" i="9"/>
  <c r="H16" i="9"/>
  <c r="I16" i="9"/>
  <c r="J16" i="9"/>
  <c r="C16" i="9"/>
  <c r="D15" i="9"/>
  <c r="E15" i="9"/>
  <c r="F15" i="9"/>
  <c r="G15" i="9"/>
  <c r="H15" i="9"/>
  <c r="I15" i="9"/>
  <c r="J15" i="9"/>
  <c r="C15" i="9"/>
  <c r="D14" i="9"/>
  <c r="E14" i="9"/>
  <c r="F14" i="9"/>
  <c r="G14" i="9"/>
  <c r="H14" i="9"/>
  <c r="I14" i="9"/>
  <c r="J14" i="9"/>
  <c r="C14" i="9"/>
  <c r="D11" i="9"/>
  <c r="E11" i="9"/>
  <c r="F11" i="9"/>
  <c r="G11" i="9"/>
  <c r="H11" i="9"/>
  <c r="I11" i="9"/>
  <c r="J11" i="9"/>
  <c r="C11" i="9"/>
  <c r="G10" i="9"/>
  <c r="H10" i="9"/>
  <c r="I10" i="9"/>
  <c r="J10" i="9"/>
  <c r="F10" i="9"/>
  <c r="D9" i="9"/>
  <c r="E9" i="9"/>
  <c r="F9" i="9"/>
  <c r="G9" i="9"/>
  <c r="H9" i="9"/>
  <c r="I9" i="9"/>
  <c r="J9" i="9"/>
  <c r="C9" i="9"/>
  <c r="D8" i="9"/>
  <c r="E8" i="9"/>
  <c r="F8" i="9"/>
  <c r="G8" i="9"/>
  <c r="H8" i="9"/>
  <c r="I8" i="9"/>
  <c r="J8" i="9"/>
  <c r="C8" i="9"/>
  <c r="D7" i="9"/>
  <c r="E7" i="9"/>
  <c r="F7" i="9"/>
  <c r="G7" i="9"/>
  <c r="H7" i="9"/>
  <c r="I7" i="9"/>
  <c r="J7" i="9"/>
  <c r="C7" i="9"/>
  <c r="E6" i="9"/>
  <c r="F6" i="9"/>
  <c r="G6" i="9"/>
  <c r="H6" i="9"/>
  <c r="I6" i="9"/>
  <c r="J6" i="9"/>
  <c r="D6" i="9"/>
  <c r="D5" i="9"/>
  <c r="E5" i="9"/>
  <c r="F5" i="9"/>
  <c r="G5" i="9"/>
  <c r="H5" i="9"/>
  <c r="I5" i="9"/>
  <c r="J5" i="9"/>
  <c r="C5" i="9"/>
  <c r="K5" i="7"/>
  <c r="K4" i="7"/>
  <c r="E16" i="7"/>
  <c r="E7" i="7"/>
  <c r="E12" i="7"/>
  <c r="K10" i="7"/>
  <c r="E9" i="7" s="1"/>
  <c r="G34" i="6"/>
  <c r="H34" i="6"/>
  <c r="I34" i="6"/>
  <c r="J34" i="6"/>
  <c r="F34" i="6"/>
  <c r="G35" i="6"/>
  <c r="H35" i="6"/>
  <c r="I35" i="6"/>
  <c r="J35" i="6"/>
  <c r="F35" i="6"/>
  <c r="G31" i="6"/>
  <c r="H31" i="6"/>
  <c r="I31" i="6"/>
  <c r="J31" i="6"/>
  <c r="F31" i="6"/>
  <c r="D35" i="6"/>
  <c r="E35" i="6"/>
  <c r="C35" i="6"/>
  <c r="D32" i="6"/>
  <c r="E32" i="6"/>
  <c r="C32" i="6"/>
  <c r="D34" i="6"/>
  <c r="E34" i="6"/>
  <c r="C34" i="6"/>
  <c r="D31" i="6"/>
  <c r="E31" i="6"/>
  <c r="C31" i="6"/>
  <c r="G19" i="6"/>
  <c r="H19" i="6"/>
  <c r="I19" i="6"/>
  <c r="J19" i="6"/>
  <c r="J21" i="6" s="1"/>
  <c r="F19" i="6"/>
  <c r="G20" i="6"/>
  <c r="H20" i="6"/>
  <c r="I20" i="6"/>
  <c r="J20" i="6"/>
  <c r="F20" i="6"/>
  <c r="G16" i="6"/>
  <c r="H16" i="6"/>
  <c r="H21" i="6" s="1"/>
  <c r="I16" i="6"/>
  <c r="J16" i="6"/>
  <c r="F16" i="6"/>
  <c r="G18" i="6"/>
  <c r="H18" i="6"/>
  <c r="I18" i="6"/>
  <c r="J18" i="6"/>
  <c r="F18" i="6"/>
  <c r="F17" i="6"/>
  <c r="G17" i="6"/>
  <c r="H17" i="6"/>
  <c r="I17" i="6"/>
  <c r="J17" i="6"/>
  <c r="G12" i="6"/>
  <c r="H12" i="6"/>
  <c r="I12" i="6"/>
  <c r="J12" i="6"/>
  <c r="F12" i="6"/>
  <c r="G13" i="6"/>
  <c r="H13" i="6"/>
  <c r="I13" i="6"/>
  <c r="J13" i="6"/>
  <c r="F13" i="6"/>
  <c r="G9" i="6"/>
  <c r="H9" i="6"/>
  <c r="I9" i="6"/>
  <c r="J9" i="6"/>
  <c r="F9" i="6"/>
  <c r="C16" i="6"/>
  <c r="F10" i="6"/>
  <c r="G10" i="6"/>
  <c r="H10" i="6"/>
  <c r="I10" i="6"/>
  <c r="J10" i="6"/>
  <c r="F7" i="6"/>
  <c r="G7" i="6"/>
  <c r="H7" i="6"/>
  <c r="I7" i="6"/>
  <c r="J7" i="6"/>
  <c r="D21" i="6"/>
  <c r="E21" i="6"/>
  <c r="G21" i="6"/>
  <c r="I21" i="6"/>
  <c r="C21" i="6"/>
  <c r="D20" i="6"/>
  <c r="E20" i="6"/>
  <c r="C20" i="6"/>
  <c r="D19" i="6"/>
  <c r="E19" i="6"/>
  <c r="C19" i="6"/>
  <c r="D18" i="6"/>
  <c r="E18" i="6"/>
  <c r="C18" i="6"/>
  <c r="D17" i="6"/>
  <c r="E17" i="6"/>
  <c r="C17" i="6"/>
  <c r="D16" i="6"/>
  <c r="E16" i="6"/>
  <c r="D14" i="6"/>
  <c r="E14" i="6"/>
  <c r="C14" i="6"/>
  <c r="D13" i="6"/>
  <c r="E13" i="6"/>
  <c r="C13" i="6"/>
  <c r="D12" i="6"/>
  <c r="E12" i="6"/>
  <c r="C12" i="6"/>
  <c r="D11" i="6"/>
  <c r="E11" i="6"/>
  <c r="C11" i="6"/>
  <c r="G11" i="6" s="1"/>
  <c r="D10" i="6"/>
  <c r="E10" i="6"/>
  <c r="C10" i="6"/>
  <c r="D9" i="6"/>
  <c r="E9" i="6"/>
  <c r="C9" i="6"/>
  <c r="D8" i="6"/>
  <c r="E8" i="6"/>
  <c r="C8" i="6"/>
  <c r="J8" i="6" s="1"/>
  <c r="J6" i="6" s="1"/>
  <c r="D7" i="6"/>
  <c r="E7" i="6"/>
  <c r="C7" i="6"/>
  <c r="D6" i="6"/>
  <c r="E6" i="6"/>
  <c r="C6" i="6"/>
  <c r="C22" i="2"/>
  <c r="C15" i="2"/>
  <c r="D36" i="2"/>
  <c r="E36" i="2"/>
  <c r="C36" i="2"/>
  <c r="C39" i="2" s="1"/>
  <c r="D13" i="2"/>
  <c r="D15" i="2" s="1"/>
  <c r="D22" i="2"/>
  <c r="E65" i="10" l="1"/>
  <c r="E66" i="10"/>
  <c r="J35" i="10"/>
  <c r="K6" i="7"/>
  <c r="E13" i="7"/>
  <c r="E21" i="7" s="1"/>
  <c r="E27" i="9" s="1"/>
  <c r="F21" i="6"/>
  <c r="J14" i="6"/>
  <c r="J23" i="6" s="1"/>
  <c r="D23" i="6"/>
  <c r="E23" i="6"/>
  <c r="E24" i="6" s="1"/>
  <c r="C23" i="6"/>
  <c r="D24" i="6" s="1"/>
  <c r="E25" i="6" s="1"/>
  <c r="F11" i="6"/>
  <c r="J11" i="6"/>
  <c r="I11" i="6"/>
  <c r="H11" i="6"/>
  <c r="I8" i="6"/>
  <c r="I6" i="6" s="1"/>
  <c r="I14" i="6" s="1"/>
  <c r="I23" i="6" s="1"/>
  <c r="F8" i="6"/>
  <c r="F6" i="6" s="1"/>
  <c r="F14" i="6" s="1"/>
  <c r="G8" i="6"/>
  <c r="G6" i="6" s="1"/>
  <c r="G14" i="6" s="1"/>
  <c r="G23" i="6" s="1"/>
  <c r="H8" i="6"/>
  <c r="H6" i="6" s="1"/>
  <c r="H14" i="6" s="1"/>
  <c r="H23" i="6" s="1"/>
  <c r="E68" i="10" l="1"/>
  <c r="G21" i="9"/>
  <c r="H21" i="9"/>
  <c r="I21" i="9"/>
  <c r="J21" i="9"/>
  <c r="F21" i="9"/>
  <c r="J27" i="9"/>
  <c r="E29" i="9"/>
  <c r="F23" i="6"/>
  <c r="F24" i="6" s="1"/>
  <c r="F25" i="6" s="1"/>
  <c r="G24" i="6"/>
  <c r="H24" i="6"/>
  <c r="I24" i="6"/>
  <c r="J24" i="6"/>
  <c r="J25" i="6" s="1"/>
  <c r="G25" i="6"/>
  <c r="E30" i="9" l="1"/>
  <c r="H25" i="6"/>
  <c r="I25" i="6"/>
  <c r="E32" i="9" l="1"/>
  <c r="J28" i="9" s="1"/>
  <c r="J29" i="9" s="1"/>
  <c r="J30" i="9" s="1"/>
  <c r="J32" i="9" s="1"/>
  <c r="J35" i="9" s="1"/>
  <c r="J38" i="9" s="1"/>
  <c r="G13" i="1"/>
  <c r="H13" i="1" s="1"/>
  <c r="I13" i="1" s="1"/>
  <c r="J13" i="1" s="1"/>
  <c r="G9" i="1"/>
  <c r="H9" i="1" s="1"/>
  <c r="I9" i="1" s="1"/>
  <c r="J9" i="1" s="1"/>
  <c r="G17" i="1"/>
  <c r="H17" i="1"/>
  <c r="I17" i="1"/>
  <c r="J17" i="1"/>
  <c r="F17" i="1"/>
  <c r="D16" i="1"/>
  <c r="E16" i="1"/>
  <c r="C16" i="1"/>
  <c r="E15" i="1"/>
  <c r="D15" i="1"/>
  <c r="C15" i="1"/>
  <c r="E13" i="1"/>
  <c r="D13" i="1"/>
  <c r="C13" i="1"/>
  <c r="E11" i="1"/>
  <c r="D11" i="1"/>
  <c r="C11" i="1"/>
  <c r="D9" i="1"/>
  <c r="E9" i="1"/>
  <c r="C9" i="1"/>
  <c r="E6" i="1"/>
  <c r="D6" i="1"/>
  <c r="K60" i="4"/>
  <c r="H60" i="4"/>
  <c r="K57" i="4"/>
  <c r="H57" i="4"/>
  <c r="K54" i="4"/>
  <c r="H54" i="4"/>
  <c r="K51" i="4"/>
  <c r="H51" i="4"/>
  <c r="K48" i="4"/>
  <c r="H48" i="4"/>
  <c r="K45" i="4"/>
  <c r="H45" i="4"/>
  <c r="K42" i="4"/>
  <c r="H42" i="4"/>
  <c r="K35" i="4"/>
  <c r="H35" i="4"/>
  <c r="K32" i="4"/>
  <c r="H32" i="4"/>
  <c r="K29" i="4"/>
  <c r="H29" i="4"/>
  <c r="K26" i="4"/>
  <c r="H26" i="4"/>
  <c r="K19" i="4"/>
  <c r="H19" i="4"/>
  <c r="K16" i="4"/>
  <c r="H16" i="4"/>
  <c r="K9" i="4"/>
  <c r="H9" i="4"/>
  <c r="E9" i="4"/>
  <c r="K6" i="4"/>
  <c r="H6" i="4"/>
  <c r="E35" i="9" l="1"/>
  <c r="E38" i="9" s="1"/>
  <c r="L63" i="4"/>
  <c r="O63" i="4" s="1"/>
  <c r="R63" i="4" s="1"/>
  <c r="U63" i="4" s="1"/>
  <c r="X63" i="4" s="1"/>
  <c r="M63" i="4"/>
  <c r="P63" i="4" s="1"/>
  <c r="S63" i="4" s="1"/>
  <c r="V63" i="4" s="1"/>
  <c r="Y63" i="4" s="1"/>
  <c r="J63" i="4"/>
  <c r="I63" i="4"/>
  <c r="G63" i="4"/>
  <c r="F63" i="4"/>
  <c r="H63" i="4" s="1"/>
  <c r="D63" i="4"/>
  <c r="L38" i="4"/>
  <c r="O38" i="4" s="1"/>
  <c r="R38" i="4" s="1"/>
  <c r="U38" i="4" s="1"/>
  <c r="X38" i="4" s="1"/>
  <c r="M38" i="4"/>
  <c r="P38" i="4" s="1"/>
  <c r="S38" i="4" s="1"/>
  <c r="V38" i="4" s="1"/>
  <c r="Y38" i="4" s="1"/>
  <c r="L22" i="4"/>
  <c r="O22" i="4" s="1"/>
  <c r="R22" i="4" s="1"/>
  <c r="U22" i="4" s="1"/>
  <c r="X22" i="4" s="1"/>
  <c r="M22" i="4"/>
  <c r="P22" i="4" s="1"/>
  <c r="S22" i="4" s="1"/>
  <c r="V22" i="4" s="1"/>
  <c r="Y22" i="4" s="1"/>
  <c r="L12" i="4"/>
  <c r="O12" i="4" s="1"/>
  <c r="M12" i="4"/>
  <c r="P12" i="4" s="1"/>
  <c r="K61" i="4"/>
  <c r="K58" i="4"/>
  <c r="K55" i="4"/>
  <c r="K52" i="4"/>
  <c r="K49" i="4"/>
  <c r="K46" i="4"/>
  <c r="K43" i="4"/>
  <c r="K36" i="4"/>
  <c r="K33" i="4"/>
  <c r="K30" i="4"/>
  <c r="K27" i="4"/>
  <c r="K20" i="4"/>
  <c r="K17" i="4"/>
  <c r="K10" i="4"/>
  <c r="K7" i="4"/>
  <c r="E60" i="4"/>
  <c r="H61" i="4" s="1"/>
  <c r="E57" i="4"/>
  <c r="H58" i="4" s="1"/>
  <c r="E54" i="4"/>
  <c r="H55" i="4" s="1"/>
  <c r="E51" i="4"/>
  <c r="H52" i="4" s="1"/>
  <c r="E48" i="4"/>
  <c r="H49" i="4" s="1"/>
  <c r="E45" i="4"/>
  <c r="E42" i="4"/>
  <c r="H43" i="4" s="1"/>
  <c r="E35" i="4"/>
  <c r="H36" i="4" s="1"/>
  <c r="E32" i="4"/>
  <c r="H33" i="4" s="1"/>
  <c r="E29" i="4"/>
  <c r="H30" i="4" s="1"/>
  <c r="E26" i="4"/>
  <c r="H27" i="4" s="1"/>
  <c r="E19" i="4"/>
  <c r="H20" i="4" s="1"/>
  <c r="E16" i="4"/>
  <c r="H17" i="4" s="1"/>
  <c r="E6" i="4"/>
  <c r="H7" i="4" s="1"/>
  <c r="J22" i="4"/>
  <c r="F22" i="4"/>
  <c r="G22" i="4"/>
  <c r="I22" i="4"/>
  <c r="D22" i="4"/>
  <c r="J38" i="4"/>
  <c r="F38" i="4"/>
  <c r="G38" i="4"/>
  <c r="I38" i="4"/>
  <c r="D38" i="4"/>
  <c r="C63" i="4"/>
  <c r="C38" i="4"/>
  <c r="E38" i="4" s="1"/>
  <c r="C22" i="4"/>
  <c r="E22" i="4" s="1"/>
  <c r="E63" i="4" l="1"/>
  <c r="K63" i="4"/>
  <c r="H38" i="4"/>
  <c r="S12" i="4"/>
  <c r="P67" i="4"/>
  <c r="R12" i="4"/>
  <c r="O67" i="4"/>
  <c r="K38" i="4"/>
  <c r="K22" i="4"/>
  <c r="H22" i="4"/>
  <c r="M67" i="4"/>
  <c r="L67" i="4"/>
  <c r="H46" i="4"/>
  <c r="U12" i="4" l="1"/>
  <c r="R67" i="4"/>
  <c r="R68" i="4" s="1"/>
  <c r="V12" i="4"/>
  <c r="S67" i="4"/>
  <c r="P68" i="4"/>
  <c r="O68" i="4"/>
  <c r="R40" i="4" l="1"/>
  <c r="R65" i="4"/>
  <c r="R24" i="4"/>
  <c r="S40" i="4"/>
  <c r="S65" i="4"/>
  <c r="S24" i="4"/>
  <c r="V67" i="4"/>
  <c r="V14" i="4" s="1"/>
  <c r="Y12" i="4"/>
  <c r="S68" i="4"/>
  <c r="X12" i="4"/>
  <c r="U67" i="4"/>
  <c r="U14" i="4" s="1"/>
  <c r="S14" i="4"/>
  <c r="R14" i="4"/>
  <c r="V65" i="4" l="1"/>
  <c r="V24" i="4"/>
  <c r="V40" i="4"/>
  <c r="V68" i="4"/>
  <c r="U24" i="4"/>
  <c r="U65" i="4"/>
  <c r="U40" i="4"/>
  <c r="U68" i="4"/>
  <c r="X67" i="4"/>
  <c r="Y67" i="4"/>
  <c r="Y24" i="4" l="1"/>
  <c r="Y40" i="4"/>
  <c r="Y65" i="4"/>
  <c r="Y68" i="4"/>
  <c r="X24" i="4"/>
  <c r="X40" i="4"/>
  <c r="X65" i="4"/>
  <c r="X68" i="4"/>
  <c r="X14" i="4"/>
  <c r="Y14" i="4"/>
  <c r="E46" i="2" l="1"/>
  <c r="E48" i="2" s="1"/>
  <c r="D46" i="2"/>
  <c r="D48" i="2" s="1"/>
  <c r="E39" i="2"/>
  <c r="D39" i="2"/>
  <c r="E22" i="2"/>
  <c r="E13" i="2"/>
  <c r="E15" i="2" s="1"/>
  <c r="D34" i="3"/>
  <c r="E34" i="3"/>
  <c r="C34" i="3"/>
  <c r="D25" i="3"/>
  <c r="E25" i="3"/>
  <c r="C25" i="3"/>
  <c r="D17" i="3"/>
  <c r="E17" i="3"/>
  <c r="C17" i="3"/>
  <c r="D21" i="1"/>
  <c r="E21" i="1"/>
  <c r="C21" i="1"/>
  <c r="C24" i="1" l="1"/>
  <c r="C26" i="1" s="1"/>
  <c r="C23" i="1"/>
  <c r="E24" i="1"/>
  <c r="E26" i="1" s="1"/>
  <c r="E23" i="1"/>
  <c r="D24" i="1"/>
  <c r="D26" i="1" s="1"/>
  <c r="D23" i="1"/>
  <c r="D49" i="2"/>
  <c r="E49" i="2"/>
  <c r="J12" i="4"/>
  <c r="J67" i="4" s="1"/>
  <c r="M68" i="4" s="1"/>
  <c r="I12" i="4"/>
  <c r="F12" i="4"/>
  <c r="G12" i="4"/>
  <c r="G67" i="4" s="1"/>
  <c r="D12" i="4"/>
  <c r="D67" i="4" s="1"/>
  <c r="C12" i="4"/>
  <c r="C67" i="4" l="1"/>
  <c r="E67" i="4" s="1"/>
  <c r="E12" i="4"/>
  <c r="F67" i="4"/>
  <c r="F24" i="4" s="1"/>
  <c r="H12" i="4"/>
  <c r="I67" i="4"/>
  <c r="I14" i="4" s="1"/>
  <c r="K12" i="4"/>
  <c r="G65" i="4"/>
  <c r="G24" i="4"/>
  <c r="G14" i="4"/>
  <c r="G40" i="4"/>
  <c r="J68" i="4"/>
  <c r="J14" i="4"/>
  <c r="J24" i="4"/>
  <c r="J40" i="4"/>
  <c r="J65" i="4"/>
  <c r="I68" i="4" l="1"/>
  <c r="F65" i="4"/>
  <c r="F14" i="4"/>
  <c r="F40" i="4"/>
  <c r="H67" i="4"/>
  <c r="H50" i="4" s="1"/>
  <c r="K67" i="4"/>
  <c r="L68" i="4"/>
  <c r="I40" i="4"/>
  <c r="I24" i="4"/>
  <c r="I65" i="4"/>
  <c r="H8" i="4" l="1"/>
  <c r="H14" i="4" s="1"/>
  <c r="H34" i="4"/>
  <c r="H21" i="4"/>
  <c r="H37" i="4"/>
  <c r="H56" i="4"/>
  <c r="H44" i="4"/>
  <c r="H18" i="4"/>
  <c r="H24" i="4" s="1"/>
  <c r="H62" i="4"/>
  <c r="H47" i="4"/>
  <c r="H28" i="4"/>
  <c r="H53" i="4"/>
  <c r="H31" i="4"/>
  <c r="H59" i="4"/>
  <c r="H65" i="4"/>
  <c r="H40" i="4"/>
  <c r="E59" i="4" l="1"/>
  <c r="E21" i="4"/>
  <c r="E62" i="4"/>
  <c r="E37" i="4"/>
  <c r="E31" i="4"/>
  <c r="E34" i="4"/>
  <c r="E53" i="4"/>
  <c r="E47" i="4"/>
  <c r="H68" i="4"/>
  <c r="E56" i="4"/>
  <c r="E50" i="4"/>
  <c r="E44" i="4"/>
  <c r="E18" i="4"/>
  <c r="E8" i="4"/>
  <c r="E28" i="4"/>
  <c r="E40" i="4" l="1"/>
  <c r="E65" i="4"/>
  <c r="E24" i="4"/>
  <c r="H23" i="4"/>
  <c r="K62" i="4"/>
  <c r="K56" i="4"/>
  <c r="K53" i="4"/>
  <c r="K50" i="4"/>
  <c r="K34" i="4"/>
  <c r="K59" i="4"/>
  <c r="K37" i="4"/>
  <c r="K31" i="4"/>
  <c r="K47" i="4"/>
  <c r="K68" i="4"/>
  <c r="K21" i="4"/>
  <c r="K44" i="4"/>
  <c r="K18" i="4"/>
  <c r="K28" i="4"/>
  <c r="K8" i="4"/>
  <c r="K39" i="4" l="1"/>
  <c r="K65" i="4"/>
  <c r="N65" i="4" s="1"/>
  <c r="H39" i="4"/>
  <c r="H64" i="4"/>
  <c r="K14" i="4"/>
  <c r="N12" i="4"/>
  <c r="K13" i="4"/>
  <c r="K24" i="4"/>
  <c r="N24" i="4" s="1"/>
  <c r="N22" i="4"/>
  <c r="Q22" i="4" s="1"/>
  <c r="T22" i="4" s="1"/>
  <c r="W22" i="4" s="1"/>
  <c r="Z22" i="4" s="1"/>
  <c r="K23" i="4"/>
  <c r="Q12" i="4" l="1"/>
  <c r="K40" i="4"/>
  <c r="N40" i="4" s="1"/>
  <c r="N38" i="4"/>
  <c r="Q38" i="4" s="1"/>
  <c r="T38" i="4" s="1"/>
  <c r="W38" i="4" s="1"/>
  <c r="Z38" i="4" s="1"/>
  <c r="K64" i="4"/>
  <c r="N63" i="4"/>
  <c r="Q63" i="4" s="1"/>
  <c r="T63" i="4" s="1"/>
  <c r="W63" i="4" s="1"/>
  <c r="Z63" i="4" s="1"/>
  <c r="H10" i="4"/>
  <c r="H13" i="4"/>
  <c r="T12" i="4" l="1"/>
  <c r="Q67" i="4"/>
  <c r="G5" i="1" s="1"/>
  <c r="N67" i="4"/>
  <c r="F5" i="1" s="1"/>
  <c r="E14" i="4"/>
  <c r="F6" i="1" l="1"/>
  <c r="F14" i="1"/>
  <c r="F10" i="1"/>
  <c r="F12" i="1"/>
  <c r="F8" i="1"/>
  <c r="F16" i="1" s="1"/>
  <c r="F21" i="1" s="1"/>
  <c r="G10" i="1"/>
  <c r="G8" i="1"/>
  <c r="G12" i="1"/>
  <c r="G14" i="1"/>
  <c r="G6" i="1"/>
  <c r="N68" i="4"/>
  <c r="N14" i="4"/>
  <c r="Q24" i="4"/>
  <c r="Q40" i="4"/>
  <c r="Q65" i="4"/>
  <c r="Q68" i="4"/>
  <c r="W12" i="4"/>
  <c r="T67" i="4"/>
  <c r="H5" i="1" s="1"/>
  <c r="Q14" i="4"/>
  <c r="F22" i="1" l="1"/>
  <c r="F24" i="1" s="1"/>
  <c r="F26" i="1" s="1"/>
  <c r="G16" i="1"/>
  <c r="G21" i="1" s="1"/>
  <c r="T14" i="4"/>
  <c r="H6" i="1"/>
  <c r="H10" i="1"/>
  <c r="H12" i="1"/>
  <c r="H8" i="1"/>
  <c r="H14" i="1"/>
  <c r="Z12" i="4"/>
  <c r="W67" i="4"/>
  <c r="I5" i="1" s="1"/>
  <c r="T40" i="4"/>
  <c r="T24" i="4"/>
  <c r="T65" i="4"/>
  <c r="T68" i="4"/>
  <c r="H16" i="1" l="1"/>
  <c r="H21" i="1" s="1"/>
  <c r="G22" i="1"/>
  <c r="G24" i="1"/>
  <c r="G26" i="1" s="1"/>
  <c r="H22" i="1"/>
  <c r="H24" i="1"/>
  <c r="H26" i="1" s="1"/>
  <c r="I6" i="1"/>
  <c r="I8" i="1"/>
  <c r="I12" i="1"/>
  <c r="I14" i="1"/>
  <c r="I10" i="1"/>
  <c r="W65" i="4"/>
  <c r="W40" i="4"/>
  <c r="W24" i="4"/>
  <c r="W14" i="4"/>
  <c r="W68" i="4"/>
  <c r="Z67" i="4"/>
  <c r="J5" i="1" s="1"/>
  <c r="I16" i="1" l="1"/>
  <c r="I21" i="1" s="1"/>
  <c r="J12" i="1"/>
  <c r="J14" i="1"/>
  <c r="J10" i="1"/>
  <c r="J8" i="1"/>
  <c r="J6" i="1"/>
  <c r="Z68" i="4"/>
  <c r="Z65" i="4"/>
  <c r="Z24" i="4"/>
  <c r="Z40" i="4"/>
  <c r="Z14" i="4"/>
  <c r="J16" i="1" l="1"/>
  <c r="J21" i="1" s="1"/>
  <c r="J22" i="1" s="1"/>
  <c r="J24" i="1" s="1"/>
  <c r="J26" i="1" s="1"/>
  <c r="I22" i="1"/>
  <c r="I24" i="1" s="1"/>
  <c r="I26" i="1" s="1"/>
  <c r="E6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tc={93D293D2-2D81-4D92-8E55-BC72069562D8}</author>
  </authors>
  <commentList>
    <comment ref="E33" authorId="0" shapeId="0" xr:uid="{93D293D2-2D81-4D92-8E55-BC72069562D8}">
      <text>
        <t>[Threaded comment]
Your version of Excel allows you to read this threaded comment; however, any edits to it will get removed if the file is opened in a newer version of Excel. Learn more: https://go.microsoft.com/fwlink/?linkid=870924
Comment:
    Pulled from LTM Bloomberg Data</t>
      </text>
    </comment>
  </commentList>
</comments>
</file>

<file path=xl/sharedStrings.xml><?xml version="1.0" encoding="utf-8"?>
<sst xmlns="http://schemas.openxmlformats.org/spreadsheetml/2006/main" count="508" uniqueCount="264">
  <si>
    <t>Net Sales</t>
  </si>
  <si>
    <t>Cost of products sold, excluding amortization of intangible assets</t>
  </si>
  <si>
    <t>Amortization of intangible assets</t>
  </si>
  <si>
    <t>Research and development</t>
  </si>
  <si>
    <t>Selling, general and administrative</t>
  </si>
  <si>
    <t>Operating Earnings</t>
  </si>
  <si>
    <t>Interest expense</t>
  </si>
  <si>
    <t>Interest income</t>
  </si>
  <si>
    <t>Net foreign exchange (gain) loss</t>
  </si>
  <si>
    <t>Other (income) expense, net</t>
  </si>
  <si>
    <t>Earnings from Continuing Operations Before Taxes</t>
  </si>
  <si>
    <t>Taxes on Earnings from Continuing Operations</t>
  </si>
  <si>
    <t>Earnings from Continuing Operations</t>
  </si>
  <si>
    <t>Net Earnings from Discontinued Operations, net of taxes</t>
  </si>
  <si>
    <t>—</t>
  </si>
  <si>
    <t>Net Earnings</t>
  </si>
  <si>
    <t>Basic Earnings Per Common Share --</t>
  </si>
  <si>
    <t>Continuing Operations</t>
  </si>
  <si>
    <t>Discontinued Operations</t>
  </si>
  <si>
    <t>Diluted Earnings Per Common Share --</t>
  </si>
  <si>
    <t>Average Number of Common Shares Outstanding Used for Basic Earnings Per Common Share</t>
  </si>
  <si>
    <t>Dilutive Common Stock Options</t>
  </si>
  <si>
    <t>Average Number of Common Shares Outstanding Plus Dilutive Common Stock Options</t>
  </si>
  <si>
    <t>Outstanding Common Stock Options Having No Dilutive Effect</t>
  </si>
  <si>
    <t>Cash Flow From (Used in) Operating Activities:</t>
  </si>
  <si>
    <t>Net earnings</t>
  </si>
  <si>
    <t>Adjustments to reconcile earnings to net cash from operating activities —</t>
  </si>
  <si>
    <t>Depreciation</t>
  </si>
  <si>
    <t>Share-based compensation</t>
  </si>
  <si>
    <t>Investing and financing losses, net</t>
  </si>
  <si>
    <t>Trade receivables</t>
  </si>
  <si>
    <t>Inventories</t>
  </si>
  <si>
    <t>Prepaid expenses and other assets</t>
  </si>
  <si>
    <t>Trade accounts payable and other liabilities</t>
  </si>
  <si>
    <t>Income taxes</t>
  </si>
  <si>
    <t>Net Cash From Operating Activities</t>
  </si>
  <si>
    <t>Cash Flow From (Used in) Investing Activities:</t>
  </si>
  <si>
    <t>Acquisitions of property and equipment</t>
  </si>
  <si>
    <t>Acquisitions of businesses and technologies, net of cash acquired</t>
  </si>
  <si>
    <t>Proceeds from business dispositions</t>
  </si>
  <si>
    <t>Purchases of investment securities</t>
  </si>
  <si>
    <t>Proceeds from sales of investment securities</t>
  </si>
  <si>
    <t>Other</t>
  </si>
  <si>
    <t>Net Cash From (Used in) Investing Activities</t>
  </si>
  <si>
    <t>Cash Flow From (Used in) Financing Activities:</t>
  </si>
  <si>
    <t>Proceeds from issuance of (repayments of) short-term debt, net and other</t>
  </si>
  <si>
    <t>Proceeds from issuance of long-term debt and debt with maturities over 3 months</t>
  </si>
  <si>
    <t>Repayments of long-term debt and debt with maturities over 3 months</t>
  </si>
  <si>
    <t>Purchases of common shares</t>
  </si>
  <si>
    <t>Proceeds from stock options exercised</t>
  </si>
  <si>
    <t>Dividends paid</t>
  </si>
  <si>
    <t>Net Cash From (Used in) Financing Activities</t>
  </si>
  <si>
    <t>Effect of exchange rate changes on cash and cash equivalents</t>
  </si>
  <si>
    <t>Net Increase (Decrease) in Cash and Cash Equivalents</t>
  </si>
  <si>
    <t>Cash and Cash Equivalents, Beginning of Year</t>
  </si>
  <si>
    <t>Cash and Cash Equivalents, End of Year</t>
  </si>
  <si>
    <t>Supplemental Cash Flow Information:</t>
  </si>
  <si>
    <t>Income taxes paid</t>
  </si>
  <si>
    <t>Interest paid</t>
  </si>
  <si>
    <t>Current assets:</t>
  </si>
  <si>
    <t>Cash and cash equivalents</t>
  </si>
  <si>
    <t>Investments, primarily bank time deposits and U.S. treasury bills</t>
  </si>
  <si>
    <t>Trade receivables, less allowances of — 2022: $500; 2021: $519</t>
  </si>
  <si>
    <t>Inventories:</t>
  </si>
  <si>
    <t>Finished products</t>
  </si>
  <si>
    <t>Work in process</t>
  </si>
  <si>
    <t>Materials</t>
  </si>
  <si>
    <t>Total inventories</t>
  </si>
  <si>
    <t>Other prepaid expenses and receivables</t>
  </si>
  <si>
    <t>Total current assets</t>
  </si>
  <si>
    <t>Investments</t>
  </si>
  <si>
    <t>Property and equipment, at cost:</t>
  </si>
  <si>
    <t>Land</t>
  </si>
  <si>
    <t>Buildings</t>
  </si>
  <si>
    <t>Equipment</t>
  </si>
  <si>
    <t>Construction in progress</t>
  </si>
  <si>
    <t>Less: accumulated depreciation and amortization</t>
  </si>
  <si>
    <t>Net property and equipment</t>
  </si>
  <si>
    <t>Intangible assets, net of amortization</t>
  </si>
  <si>
    <t>Goodwill</t>
  </si>
  <si>
    <t>Deferred income taxes and other assets</t>
  </si>
  <si>
    <t>Current liabilities:</t>
  </si>
  <si>
    <t>Trade accounts payable</t>
  </si>
  <si>
    <t>Salaries, wages and commissions</t>
  </si>
  <si>
    <t>Other accrued liabilities</t>
  </si>
  <si>
    <t>Dividends payable</t>
  </si>
  <si>
    <t>Income taxes payable</t>
  </si>
  <si>
    <t>Current portion of long-term debt</t>
  </si>
  <si>
    <t>Total current liabilities</t>
  </si>
  <si>
    <t>Long-term debt</t>
  </si>
  <si>
    <t>Post-employment obligations and other long-term liabilities</t>
  </si>
  <si>
    <t>Shareholders’ investment:</t>
  </si>
  <si>
    <t>Preferred shares, one dollar par value Authorized — 1,000,000 shares, none issued</t>
  </si>
  <si>
    <t>Common shares, without par value Authorized — 2,400,000,000 shares  Issued at stated capital amount — Shares: 2022: 1,986,519,278; 2021: 1,985,273,421</t>
  </si>
  <si>
    <t>Common shares held in treasury, at cost — Shares: 2022: 248,724,257; 2021: 221,191,228</t>
  </si>
  <si>
    <t>Earnings employed in the business</t>
  </si>
  <si>
    <t>Accumulated other comprehensive income (loss)</t>
  </si>
  <si>
    <t>Total Abbott Shareholders’ Investment</t>
  </si>
  <si>
    <t>Noncontrolling interests in subsidiaries</t>
  </si>
  <si>
    <t>Total Shareholders’ Investment</t>
  </si>
  <si>
    <t>CONSOLIDATED STATEMENTS OF OPERATIONS</t>
  </si>
  <si>
    <t>Figures in Millions</t>
  </si>
  <si>
    <t>FY2020</t>
  </si>
  <si>
    <t>FY2021</t>
  </si>
  <si>
    <t>FY2022</t>
  </si>
  <si>
    <t>FY2023E</t>
  </si>
  <si>
    <t>FY2024E</t>
  </si>
  <si>
    <t>FY2025E</t>
  </si>
  <si>
    <t>FY2026E</t>
  </si>
  <si>
    <t>FY2027E</t>
  </si>
  <si>
    <t>FY2022E</t>
  </si>
  <si>
    <t>Abbott Laboratories</t>
  </si>
  <si>
    <t>Total Long-Term Assets</t>
  </si>
  <si>
    <t>Total Assets</t>
  </si>
  <si>
    <t>Total Liabilities</t>
  </si>
  <si>
    <t>Total Liabilities/Shareholders Investment</t>
  </si>
  <si>
    <t>Revenue Build</t>
  </si>
  <si>
    <t>U.S.</t>
  </si>
  <si>
    <t>Int’l</t>
  </si>
  <si>
    <t>Total</t>
  </si>
  <si>
    <t>Key Emerging Markets</t>
  </si>
  <si>
    <t>Pediatric Nutritionals</t>
  </si>
  <si>
    <t>Adult Nutritionals</t>
  </si>
  <si>
    <t>Core Laboratory</t>
  </si>
  <si>
    <t>Molecular</t>
  </si>
  <si>
    <t>Point of Care</t>
  </si>
  <si>
    <t>Rapid Diagnostics</t>
  </si>
  <si>
    <t>Rhythm Management</t>
  </si>
  <si>
    <t>Electrophysiology</t>
  </si>
  <si>
    <t>Heart Failure</t>
  </si>
  <si>
    <t>Vascular</t>
  </si>
  <si>
    <t>Structural Heart</t>
  </si>
  <si>
    <t>Neuromodulation</t>
  </si>
  <si>
    <t>Diabetes Care</t>
  </si>
  <si>
    <t>FY 2021</t>
  </si>
  <si>
    <t>FY 2022</t>
  </si>
  <si>
    <t xml:space="preserve">Established Pharmaceutical Products </t>
  </si>
  <si>
    <t>Nutritionals</t>
  </si>
  <si>
    <t xml:space="preserve">Diagnostics </t>
  </si>
  <si>
    <t xml:space="preserve">Medical Devices </t>
  </si>
  <si>
    <t>% Total</t>
  </si>
  <si>
    <t>% Change</t>
  </si>
  <si>
    <t>FY2023</t>
  </si>
  <si>
    <t>FY 2024</t>
  </si>
  <si>
    <t>FY 2025</t>
  </si>
  <si>
    <t>FY2026</t>
  </si>
  <si>
    <t>FY 2027</t>
  </si>
  <si>
    <t xml:space="preserve">% Total </t>
  </si>
  <si>
    <t>Growth Rate</t>
  </si>
  <si>
    <t>% growth</t>
  </si>
  <si>
    <t>% of revenue</t>
  </si>
  <si>
    <t>Operating Costs and Expenses</t>
  </si>
  <si>
    <t>Effective tax Rate</t>
  </si>
  <si>
    <t>Net Working Captial Assumptions</t>
  </si>
  <si>
    <t>CapEx &amp; D&amp;A Assumptions</t>
  </si>
  <si>
    <t>Current Assets</t>
  </si>
  <si>
    <t>Accounts Recievables</t>
  </si>
  <si>
    <t>Sales</t>
  </si>
  <si>
    <t>A/R Days</t>
  </si>
  <si>
    <t xml:space="preserve">Inventory </t>
  </si>
  <si>
    <t>COGS</t>
  </si>
  <si>
    <t>Inventory Days</t>
  </si>
  <si>
    <t>Other Current Assets</t>
  </si>
  <si>
    <t>% of Sales</t>
  </si>
  <si>
    <t>Total Current Assets</t>
  </si>
  <si>
    <t>Current Liabilites</t>
  </si>
  <si>
    <t>Accounts Payable</t>
  </si>
  <si>
    <t>A/P Days</t>
  </si>
  <si>
    <t>Accrued Expenses</t>
  </si>
  <si>
    <t>% of SG&amp;A</t>
  </si>
  <si>
    <t xml:space="preserve">Total Current Liabilities </t>
  </si>
  <si>
    <t>NWC</t>
  </si>
  <si>
    <t>Δ NWC</t>
  </si>
  <si>
    <t>​</t>
  </si>
  <si>
    <t>Capital Expenditures</t>
  </si>
  <si>
    <t>Depreciation &amp; Amortization</t>
  </si>
  <si>
    <t>% of CapEx</t>
  </si>
  <si>
    <t>Interest Expense Ratio</t>
  </si>
  <si>
    <t>Weighted Average Cost of Capital</t>
  </si>
  <si>
    <t>EBIT</t>
  </si>
  <si>
    <t>Interest Expense</t>
  </si>
  <si>
    <t>Market Value of Debt</t>
  </si>
  <si>
    <t>Coverage Ratio</t>
  </si>
  <si>
    <t>Weight of Debt</t>
  </si>
  <si>
    <t>Spread</t>
  </si>
  <si>
    <t>Risk-Free-Rate</t>
  </si>
  <si>
    <t>Pre-Tax Cost of Debt</t>
  </si>
  <si>
    <t>After-Tax Cost of Debt</t>
  </si>
  <si>
    <t>Cost of Debt</t>
  </si>
  <si>
    <t>Market Value of Equity</t>
  </si>
  <si>
    <t>DSO</t>
  </si>
  <si>
    <t>Weight of Equity</t>
  </si>
  <si>
    <t>Share Price</t>
  </si>
  <si>
    <t>Market Return</t>
  </si>
  <si>
    <t>Equity Risk Premium</t>
  </si>
  <si>
    <t>Beta</t>
  </si>
  <si>
    <t>Cost of Equity</t>
  </si>
  <si>
    <t>Abbot Laboratories</t>
  </si>
  <si>
    <t>Revenue</t>
  </si>
  <si>
    <t>EBIT Margin</t>
  </si>
  <si>
    <t>Taxes</t>
  </si>
  <si>
    <t>Rate %</t>
  </si>
  <si>
    <t>NOPAT</t>
  </si>
  <si>
    <t>Plus: D&amp;A</t>
  </si>
  <si>
    <t>Less: CapEx</t>
  </si>
  <si>
    <t>Less: Δ NWC</t>
  </si>
  <si>
    <t>Free Cash Flow</t>
  </si>
  <si>
    <t>Discount Factor</t>
  </si>
  <si>
    <t>% change</t>
  </si>
  <si>
    <t>Present Value of Cash Flows</t>
  </si>
  <si>
    <t>Terminal Value Calculations</t>
  </si>
  <si>
    <t>Perpetuity Method</t>
  </si>
  <si>
    <t>Terminal Multiple Method</t>
  </si>
  <si>
    <t>Terminal Cash Flow</t>
  </si>
  <si>
    <t>Terminal EBITDA</t>
  </si>
  <si>
    <t>WACC</t>
  </si>
  <si>
    <t>Terminal Growth Rate</t>
  </si>
  <si>
    <t>EV/EBITDA</t>
  </si>
  <si>
    <t>Terminal Value</t>
  </si>
  <si>
    <t>PV of Terminal Value</t>
  </si>
  <si>
    <t xml:space="preserve">Enterprise Value </t>
  </si>
  <si>
    <t>Less: Debt</t>
  </si>
  <si>
    <t>Add: Cash</t>
  </si>
  <si>
    <t>Equity Value</t>
  </si>
  <si>
    <t>Price Per Share</t>
  </si>
  <si>
    <t>Comparable Companies Analysis</t>
  </si>
  <si>
    <t>Company</t>
  </si>
  <si>
    <t>Ticker</t>
  </si>
  <si>
    <t>Industry</t>
  </si>
  <si>
    <t>Shares Outstanding</t>
  </si>
  <si>
    <t>Market Cap</t>
  </si>
  <si>
    <t>Debt</t>
  </si>
  <si>
    <t>Cash</t>
  </si>
  <si>
    <t xml:space="preserve">EV </t>
  </si>
  <si>
    <t>R&amp;D</t>
  </si>
  <si>
    <t>EBITDA</t>
  </si>
  <si>
    <t>EPS</t>
  </si>
  <si>
    <t>EV/Revenue</t>
  </si>
  <si>
    <t>EV/R&amp;D</t>
  </si>
  <si>
    <t>EV/EBIT</t>
  </si>
  <si>
    <t>P/E</t>
  </si>
  <si>
    <t>Min</t>
  </si>
  <si>
    <t>Q1</t>
  </si>
  <si>
    <t>Median</t>
  </si>
  <si>
    <t>Q3</t>
  </si>
  <si>
    <t>Max</t>
  </si>
  <si>
    <t>Average</t>
  </si>
  <si>
    <t>Comps Output</t>
  </si>
  <si>
    <t>EV</t>
  </si>
  <si>
    <t>Equity</t>
  </si>
  <si>
    <t>Shares</t>
  </si>
  <si>
    <t>Per Share</t>
  </si>
  <si>
    <t>Comps Price Target</t>
  </si>
  <si>
    <t>Danaher Corporation</t>
  </si>
  <si>
    <t>Thermo Fisher Scientific</t>
  </si>
  <si>
    <t>Merk &amp; Co</t>
  </si>
  <si>
    <t>ABT</t>
  </si>
  <si>
    <t>DHR</t>
  </si>
  <si>
    <t>TMO</t>
  </si>
  <si>
    <t>MRK</t>
  </si>
  <si>
    <t>Medical Equipment &amp; Devices</t>
  </si>
  <si>
    <t>Large Pharma/ Medical Equipment &amp; Devices</t>
  </si>
  <si>
    <t>Short &amp; Long Term Debt</t>
  </si>
  <si>
    <t xml:space="preserve">Fwd Comps Output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</si>
</sst>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\$* #,##0_);_(\$* \(#,##0\);_(\$* \-_);_(@_)"/>
    <numFmt numFmtId="165" formatCode="\(#,##0_);[Red]\(#,##0\)"/>
    <numFmt numFmtId="166" formatCode="_(\$* #,##0.00_);_(\$* \(#,##0.00\);_(\$* \-??_);_(@_)"/>
    <numFmt numFmtId="167" formatCode="_(* #,##0_);_(* \(#,##0\);_(* &quot;-&quot;??_);_(@_)"/>
    <numFmt numFmtId="168" formatCode="0.0%"/>
    <numFmt numFmtId="169" formatCode="0.0"/>
    <numFmt numFmtId="170" formatCode="#,##0.0"/>
    <numFmt numFmtId="171" formatCode="0.0\x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color rgb="FFD9E1F2"/>
      <name val="Garamond"/>
      <family val="1"/>
    </font>
    <font>
      <sz val="11"/>
      <color rgb="FFD9E1F2"/>
      <name val="Garamond"/>
      <family val="1"/>
    </font>
    <font>
      <b/>
      <sz val="11"/>
      <name val="Garamond"/>
      <family val="1"/>
    </font>
    <font>
      <sz val="11"/>
      <color theme="1"/>
      <name val="Garamond"/>
      <family val="1"/>
    </font>
    <font>
      <i/>
      <sz val="11"/>
      <name val="Garamond"/>
      <family val="1"/>
    </font>
    <font>
      <sz val="11"/>
      <name val="Garamond"/>
      <family val="1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b/>
      <sz val="11"/>
      <color theme="1"/>
      <name val="Garamond"/>
      <family val="1"/>
    </font>
    <font>
      <b/>
      <i/>
      <sz val="11"/>
      <color indexed="8"/>
      <name val="Garamond"/>
      <family val="1"/>
    </font>
    <font>
      <i/>
      <sz val="11"/>
      <color indexed="8"/>
      <name val="Garamond"/>
      <family val="1"/>
    </font>
    <font>
      <i/>
      <sz val="11"/>
      <color theme="1"/>
      <name val="Garamond"/>
      <family val="1"/>
    </font>
    <font>
      <b/>
      <i/>
      <sz val="11"/>
      <color indexed="8"/>
      <name val="Calibri"/>
      <family val="2"/>
      <charset val="1"/>
    </font>
    <font>
      <i/>
      <sz val="11"/>
      <color theme="1"/>
      <name val="Calibri"/>
      <family val="2"/>
      <scheme val="minor"/>
    </font>
    <font>
      <sz val="11"/>
      <color rgb="FF000000"/>
      <name val="Garamond"/>
      <family val="1"/>
    </font>
    <font>
      <b/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b/>
      <sz val="10"/>
      <color theme="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2"/>
      <color theme="0"/>
      <name val="Garamond"/>
      <family val="1"/>
    </font>
    <font>
      <b/>
      <i/>
      <sz val="12"/>
      <name val="Garamond"/>
      <family val="1"/>
    </font>
    <font>
      <b/>
      <sz val="12"/>
      <name val="Garamond"/>
      <family val="1"/>
    </font>
    <font>
      <sz val="12"/>
      <color theme="1"/>
      <name val="Calibri"/>
      <family val="2"/>
      <scheme val="minor"/>
    </font>
    <font>
      <sz val="12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95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wrapText="1"/>
    </xf>
    <xf numFmtId="164" fontId="2" fillId="0" borderId="0" xfId="0" applyNumberFormat="1" applyFont="1"/>
    <xf numFmtId="3" fontId="2" fillId="0" borderId="0" xfId="0" applyNumberFormat="1" applyFont="1"/>
    <xf numFmtId="0" fontId="5" fillId="2" borderId="3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7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6" fontId="2" fillId="0" borderId="0" xfId="0" applyNumberFormat="1" applyFont="1"/>
    <xf numFmtId="4" fontId="2" fillId="0" borderId="0" xfId="0" applyNumberFormat="1" applyFont="1"/>
    <xf numFmtId="0" fontId="6" fillId="0" borderId="0" xfId="0" applyFont="1"/>
    <xf numFmtId="0" fontId="9" fillId="0" borderId="0" xfId="0" applyFont="1"/>
    <xf numFmtId="167" fontId="9" fillId="0" borderId="0" xfId="1" applyNumberFormat="1" applyFont="1"/>
    <xf numFmtId="164" fontId="10" fillId="0" borderId="0" xfId="0" applyNumberFormat="1" applyFont="1"/>
    <xf numFmtId="3" fontId="10" fillId="0" borderId="0" xfId="0" applyNumberFormat="1" applyFont="1"/>
    <xf numFmtId="165" fontId="10" fillId="0" borderId="0" xfId="0" applyNumberFormat="1" applyFont="1"/>
    <xf numFmtId="0" fontId="10" fillId="0" borderId="0" xfId="0" applyFont="1"/>
    <xf numFmtId="167" fontId="6" fillId="0" borderId="0" xfId="1" applyNumberFormat="1" applyFont="1"/>
    <xf numFmtId="0" fontId="3" fillId="3" borderId="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/>
    <xf numFmtId="167" fontId="10" fillId="0" borderId="0" xfId="1" applyNumberFormat="1" applyFont="1"/>
    <xf numFmtId="164" fontId="9" fillId="0" borderId="0" xfId="0" applyNumberFormat="1" applyFont="1"/>
    <xf numFmtId="3" fontId="9" fillId="0" borderId="0" xfId="0" applyNumberFormat="1" applyFont="1"/>
    <xf numFmtId="165" fontId="9" fillId="0" borderId="0" xfId="0" applyNumberFormat="1" applyFont="1"/>
    <xf numFmtId="167" fontId="10" fillId="4" borderId="4" xfId="1" applyNumberFormat="1" applyFont="1" applyFill="1" applyBorder="1"/>
    <xf numFmtId="0" fontId="9" fillId="0" borderId="5" xfId="0" applyFont="1" applyBorder="1"/>
    <xf numFmtId="0" fontId="10" fillId="0" borderId="5" xfId="0" applyFont="1" applyBorder="1"/>
    <xf numFmtId="0" fontId="10" fillId="4" borderId="6" xfId="0" applyFont="1" applyFill="1" applyBorder="1"/>
    <xf numFmtId="0" fontId="6" fillId="0" borderId="0" xfId="0" applyFont="1" applyAlignment="1">
      <alignment wrapText="1"/>
    </xf>
    <xf numFmtId="3" fontId="10" fillId="0" borderId="4" xfId="0" applyNumberFormat="1" applyFont="1" applyBorder="1"/>
    <xf numFmtId="0" fontId="9" fillId="0" borderId="5" xfId="0" applyFont="1" applyBorder="1" applyAlignment="1">
      <alignment horizontal="left" indent="2"/>
    </xf>
    <xf numFmtId="0" fontId="10" fillId="0" borderId="6" xfId="0" applyFont="1" applyBorder="1"/>
    <xf numFmtId="0" fontId="11" fillId="0" borderId="6" xfId="0" applyFont="1" applyBorder="1"/>
    <xf numFmtId="0" fontId="6" fillId="0" borderId="6" xfId="0" applyFont="1" applyBorder="1"/>
    <xf numFmtId="0" fontId="2" fillId="0" borderId="0" xfId="0" applyFont="1"/>
    <xf numFmtId="0" fontId="4" fillId="3" borderId="0" xfId="0" applyFont="1" applyFill="1"/>
    <xf numFmtId="0" fontId="6" fillId="0" borderId="7" xfId="0" applyFont="1" applyBorder="1"/>
    <xf numFmtId="0" fontId="10" fillId="5" borderId="0" xfId="0" applyFont="1" applyFill="1"/>
    <xf numFmtId="0" fontId="11" fillId="0" borderId="0" xfId="0" applyFont="1"/>
    <xf numFmtId="0" fontId="10" fillId="5" borderId="5" xfId="0" applyFont="1" applyFill="1" applyBorder="1"/>
    <xf numFmtId="0" fontId="6" fillId="0" borderId="5" xfId="0" applyFont="1" applyBorder="1"/>
    <xf numFmtId="0" fontId="9" fillId="0" borderId="0" xfId="0" applyFont="1" applyAlignment="1">
      <alignment horizontal="left" indent="1"/>
    </xf>
    <xf numFmtId="167" fontId="10" fillId="0" borderId="4" xfId="1" applyNumberFormat="1" applyFont="1" applyBorder="1"/>
    <xf numFmtId="0" fontId="10" fillId="0" borderId="4" xfId="0" applyFont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indent="2"/>
    </xf>
    <xf numFmtId="9" fontId="13" fillId="0" borderId="0" xfId="2" applyFont="1" applyBorder="1"/>
    <xf numFmtId="0" fontId="14" fillId="0" borderId="0" xfId="0" applyFont="1"/>
    <xf numFmtId="167" fontId="13" fillId="0" borderId="0" xfId="1" applyNumberFormat="1" applyFont="1"/>
    <xf numFmtId="164" fontId="13" fillId="0" borderId="0" xfId="0" applyNumberFormat="1" applyFont="1"/>
    <xf numFmtId="164" fontId="15" fillId="0" borderId="0" xfId="0" applyNumberFormat="1" applyFont="1"/>
    <xf numFmtId="0" fontId="16" fillId="0" borderId="0" xfId="0" applyFont="1"/>
    <xf numFmtId="0" fontId="15" fillId="0" borderId="0" xfId="0" applyFont="1"/>
    <xf numFmtId="9" fontId="13" fillId="0" borderId="0" xfId="2" applyFont="1"/>
    <xf numFmtId="10" fontId="13" fillId="0" borderId="0" xfId="2" applyNumberFormat="1" applyFont="1"/>
    <xf numFmtId="0" fontId="4" fillId="3" borderId="8" xfId="0" applyFont="1" applyFill="1" applyBorder="1"/>
    <xf numFmtId="0" fontId="6" fillId="0" borderId="5" xfId="0" applyFont="1" applyBorder="1" applyAlignment="1">
      <alignment horizontal="left" vertical="center"/>
    </xf>
    <xf numFmtId="0" fontId="14" fillId="0" borderId="5" xfId="0" applyFont="1" applyBorder="1"/>
    <xf numFmtId="10" fontId="14" fillId="0" borderId="0" xfId="0" applyNumberFormat="1" applyFont="1"/>
    <xf numFmtId="167" fontId="12" fillId="0" borderId="0" xfId="1" applyNumberFormat="1" applyFont="1" applyBorder="1" applyAlignment="1">
      <alignment horizontal="left" indent="1"/>
    </xf>
    <xf numFmtId="0" fontId="14" fillId="0" borderId="5" xfId="0" applyFont="1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9" fillId="4" borderId="4" xfId="0" applyFont="1" applyFill="1" applyBorder="1"/>
    <xf numFmtId="3" fontId="10" fillId="4" borderId="4" xfId="0" applyNumberFormat="1" applyFont="1" applyFill="1" applyBorder="1"/>
    <xf numFmtId="10" fontId="13" fillId="0" borderId="0" xfId="2" applyNumberFormat="1" applyFont="1" applyBorder="1"/>
    <xf numFmtId="9" fontId="14" fillId="0" borderId="0" xfId="2" applyFont="1"/>
    <xf numFmtId="0" fontId="10" fillId="4" borderId="4" xfId="0" applyFont="1" applyFill="1" applyBorder="1"/>
    <xf numFmtId="3" fontId="6" fillId="0" borderId="0" xfId="0" applyNumberFormat="1" applyFont="1"/>
    <xf numFmtId="167" fontId="12" fillId="0" borderId="0" xfId="1" applyNumberFormat="1" applyFont="1"/>
    <xf numFmtId="0" fontId="17" fillId="0" borderId="0" xfId="0" applyFont="1" applyAlignment="1">
      <alignment horizontal="left"/>
    </xf>
    <xf numFmtId="3" fontId="11" fillId="0" borderId="0" xfId="0" applyNumberFormat="1" applyFont="1"/>
    <xf numFmtId="0" fontId="11" fillId="4" borderId="0" xfId="0" applyFont="1" applyFill="1"/>
    <xf numFmtId="0" fontId="21" fillId="0" borderId="0" xfId="0" applyFont="1"/>
    <xf numFmtId="0" fontId="22" fillId="0" borderId="0" xfId="0" applyFont="1"/>
    <xf numFmtId="10" fontId="21" fillId="0" borderId="0" xfId="2" applyNumberFormat="1" applyFont="1"/>
    <xf numFmtId="0" fontId="21" fillId="0" borderId="0" xfId="0" applyFont="1" applyAlignment="1">
      <alignment horizontal="left" indent="1"/>
    </xf>
    <xf numFmtId="167" fontId="21" fillId="0" borderId="0" xfId="1" applyNumberFormat="1" applyFont="1"/>
    <xf numFmtId="0" fontId="22" fillId="0" borderId="4" xfId="0" applyFont="1" applyBorder="1"/>
    <xf numFmtId="0" fontId="21" fillId="0" borderId="4" xfId="0" applyFont="1" applyBorder="1"/>
    <xf numFmtId="167" fontId="21" fillId="0" borderId="0" xfId="0" applyNumberFormat="1" applyFont="1"/>
    <xf numFmtId="37" fontId="21" fillId="0" borderId="0" xfId="0" applyNumberFormat="1" applyFont="1"/>
    <xf numFmtId="0" fontId="6" fillId="0" borderId="12" xfId="0" applyFont="1" applyBorder="1"/>
    <xf numFmtId="0" fontId="6" fillId="4" borderId="9" xfId="0" applyFont="1" applyFill="1" applyBorder="1"/>
    <xf numFmtId="0" fontId="6" fillId="4" borderId="7" xfId="0" applyFont="1" applyFill="1" applyBorder="1"/>
    <xf numFmtId="0" fontId="6" fillId="0" borderId="10" xfId="0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9" xfId="0" applyFont="1" applyBorder="1"/>
    <xf numFmtId="37" fontId="6" fillId="0" borderId="12" xfId="0" applyNumberFormat="1" applyFont="1" applyBorder="1"/>
    <xf numFmtId="9" fontId="6" fillId="0" borderId="12" xfId="2" applyFont="1" applyBorder="1"/>
    <xf numFmtId="168" fontId="6" fillId="0" borderId="12" xfId="2" applyNumberFormat="1" applyFont="1" applyBorder="1"/>
    <xf numFmtId="10" fontId="6" fillId="0" borderId="12" xfId="2" applyNumberFormat="1" applyFont="1" applyBorder="1"/>
    <xf numFmtId="10" fontId="6" fillId="4" borderId="13" xfId="0" applyNumberFormat="1" applyFont="1" applyFill="1" applyBorder="1"/>
    <xf numFmtId="2" fontId="6" fillId="0" borderId="13" xfId="0" applyNumberFormat="1" applyFont="1" applyBorder="1"/>
    <xf numFmtId="10" fontId="6" fillId="0" borderId="12" xfId="0" applyNumberFormat="1" applyFont="1" applyBorder="1"/>
    <xf numFmtId="2" fontId="6" fillId="0" borderId="12" xfId="0" applyNumberFormat="1" applyFont="1" applyBorder="1"/>
    <xf numFmtId="10" fontId="21" fillId="0" borderId="0" xfId="0" applyNumberFormat="1" applyFont="1"/>
    <xf numFmtId="43" fontId="21" fillId="0" borderId="4" xfId="0" applyNumberFormat="1" applyFont="1" applyBorder="1"/>
    <xf numFmtId="167" fontId="6" fillId="0" borderId="0" xfId="0" applyNumberFormat="1" applyFont="1"/>
    <xf numFmtId="167" fontId="6" fillId="0" borderId="12" xfId="1" applyNumberFormat="1" applyFont="1" applyBorder="1"/>
    <xf numFmtId="9" fontId="6" fillId="0" borderId="0" xfId="2" applyFont="1" applyBorder="1"/>
    <xf numFmtId="1" fontId="6" fillId="0" borderId="0" xfId="0" applyNumberFormat="1" applyFont="1"/>
    <xf numFmtId="164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" fontId="14" fillId="0" borderId="0" xfId="0" applyNumberFormat="1" applyFont="1"/>
    <xf numFmtId="3" fontId="11" fillId="4" borderId="0" xfId="0" applyNumberFormat="1" applyFont="1" applyFill="1"/>
    <xf numFmtId="3" fontId="6" fillId="0" borderId="8" xfId="0" applyNumberFormat="1" applyFont="1" applyBorder="1"/>
    <xf numFmtId="0" fontId="11" fillId="0" borderId="8" xfId="0" applyFont="1" applyBorder="1"/>
    <xf numFmtId="0" fontId="14" fillId="0" borderId="8" xfId="0" applyFont="1" applyBorder="1" applyAlignment="1">
      <alignment horizontal="left" indent="1"/>
    </xf>
    <xf numFmtId="9" fontId="14" fillId="0" borderId="8" xfId="2" applyFont="1" applyBorder="1"/>
    <xf numFmtId="0" fontId="4" fillId="0" borderId="0" xfId="0" applyFont="1"/>
    <xf numFmtId="9" fontId="14" fillId="0" borderId="0" xfId="2" applyFont="1" applyFill="1" applyBorder="1"/>
    <xf numFmtId="9" fontId="14" fillId="0" borderId="0" xfId="0" applyNumberFormat="1" applyFont="1"/>
    <xf numFmtId="0" fontId="19" fillId="3" borderId="10" xfId="0" applyFont="1" applyFill="1" applyBorder="1"/>
    <xf numFmtId="0" fontId="19" fillId="3" borderId="8" xfId="0" applyFont="1" applyFill="1" applyBorder="1"/>
    <xf numFmtId="0" fontId="19" fillId="3" borderId="11" xfId="0" applyFont="1" applyFill="1" applyBorder="1"/>
    <xf numFmtId="0" fontId="19" fillId="3" borderId="5" xfId="0" applyFont="1" applyFill="1" applyBorder="1"/>
    <xf numFmtId="0" fontId="19" fillId="3" borderId="0" xfId="0" applyFont="1" applyFill="1"/>
    <xf numFmtId="0" fontId="19" fillId="3" borderId="12" xfId="0" applyFont="1" applyFill="1" applyBorder="1"/>
    <xf numFmtId="10" fontId="6" fillId="6" borderId="12" xfId="2" applyNumberFormat="1" applyFont="1" applyFill="1" applyBorder="1"/>
    <xf numFmtId="1" fontId="11" fillId="0" borderId="0" xfId="0" applyNumberFormat="1" applyFont="1"/>
    <xf numFmtId="0" fontId="6" fillId="2" borderId="5" xfId="0" applyFont="1" applyFill="1" applyBorder="1" applyAlignment="1">
      <alignment horizontal="left" vertical="center"/>
    </xf>
    <xf numFmtId="1" fontId="11" fillId="0" borderId="5" xfId="0" applyNumberFormat="1" applyFont="1" applyBorder="1"/>
    <xf numFmtId="9" fontId="14" fillId="0" borderId="5" xfId="2" applyFont="1" applyBorder="1"/>
    <xf numFmtId="167" fontId="11" fillId="4" borderId="0" xfId="0" applyNumberFormat="1" applyFont="1" applyFill="1"/>
    <xf numFmtId="1" fontId="6" fillId="0" borderId="5" xfId="0" applyNumberFormat="1" applyFont="1" applyBorder="1"/>
    <xf numFmtId="167" fontId="11" fillId="4" borderId="5" xfId="0" applyNumberFormat="1" applyFont="1" applyFill="1" applyBorder="1"/>
    <xf numFmtId="9" fontId="6" fillId="0" borderId="5" xfId="2" applyFont="1" applyBorder="1"/>
    <xf numFmtId="0" fontId="20" fillId="3" borderId="0" xfId="0" applyFont="1" applyFill="1"/>
    <xf numFmtId="0" fontId="24" fillId="7" borderId="0" xfId="0" applyFont="1" applyFill="1" applyAlignment="1">
      <alignment vertical="center"/>
    </xf>
    <xf numFmtId="0" fontId="25" fillId="7" borderId="0" xfId="0" applyFont="1" applyFill="1" applyAlignment="1">
      <alignment horizontal="right" vertical="center" wrapText="1"/>
    </xf>
    <xf numFmtId="0" fontId="24" fillId="7" borderId="0" xfId="0" applyFont="1" applyFill="1" applyAlignment="1">
      <alignment horizontal="left" vertical="center" wrapText="1"/>
    </xf>
    <xf numFmtId="0" fontId="25" fillId="7" borderId="0" xfId="0" applyFont="1" applyFill="1" applyAlignment="1">
      <alignment horizontal="left" vertical="center" wrapText="1"/>
    </xf>
    <xf numFmtId="0" fontId="26" fillId="0" borderId="0" xfId="0" applyFont="1"/>
    <xf numFmtId="0" fontId="25" fillId="7" borderId="4" xfId="0" applyFont="1" applyFill="1" applyBorder="1" applyAlignment="1">
      <alignment horizontal="left" vertical="center" wrapText="1"/>
    </xf>
    <xf numFmtId="0" fontId="25" fillId="8" borderId="0" xfId="0" applyFont="1" applyFill="1" applyAlignment="1">
      <alignment horizontal="left" vertical="center" wrapText="1"/>
    </xf>
    <xf numFmtId="3" fontId="26" fillId="0" borderId="0" xfId="0" applyNumberFormat="1" applyFont="1"/>
    <xf numFmtId="170" fontId="25" fillId="8" borderId="0" xfId="0" applyNumberFormat="1" applyFont="1" applyFill="1" applyAlignment="1">
      <alignment horizontal="right" vertical="center" wrapText="1"/>
    </xf>
    <xf numFmtId="0" fontId="25" fillId="9" borderId="0" xfId="0" applyFont="1" applyFill="1"/>
    <xf numFmtId="171" fontId="26" fillId="0" borderId="5" xfId="0" applyNumberFormat="1" applyFont="1" applyBorder="1"/>
    <xf numFmtId="171" fontId="26" fillId="0" borderId="0" xfId="0" applyNumberFormat="1" applyFont="1"/>
    <xf numFmtId="171" fontId="26" fillId="0" borderId="12" xfId="0" applyNumberFormat="1" applyFont="1" applyBorder="1"/>
    <xf numFmtId="0" fontId="27" fillId="9" borderId="0" xfId="0" applyFont="1" applyFill="1"/>
    <xf numFmtId="170" fontId="26" fillId="0" borderId="0" xfId="0" applyNumberFormat="1" applyFont="1"/>
    <xf numFmtId="169" fontId="26" fillId="0" borderId="0" xfId="0" applyNumberFormat="1" applyFont="1"/>
    <xf numFmtId="2" fontId="26" fillId="0" borderId="0" xfId="0" applyNumberFormat="1" applyFont="1"/>
    <xf numFmtId="170" fontId="5" fillId="8" borderId="0" xfId="0" applyNumberFormat="1" applyFont="1" applyFill="1" applyAlignment="1">
      <alignment horizontal="right" vertical="center" wrapText="1"/>
    </xf>
    <xf numFmtId="0" fontId="5" fillId="7" borderId="0" xfId="0" applyFont="1" applyFill="1" applyAlignment="1">
      <alignment horizontal="right" vertical="center" wrapText="1"/>
    </xf>
    <xf numFmtId="2" fontId="0" fillId="0" borderId="0" xfId="0" applyNumberFormat="1"/>
    <xf numFmtId="9" fontId="0" fillId="0" borderId="0" xfId="0" applyNumberFormat="1"/>
    <xf numFmtId="0" fontId="0" fillId="7" borderId="0" xfId="0" applyFill="1"/>
    <xf numFmtId="0" fontId="23" fillId="3" borderId="0" xfId="0" applyFont="1" applyFill="1" applyAlignment="1">
      <alignment vertical="top"/>
    </xf>
    <xf numFmtId="0" fontId="0" fillId="3" borderId="0" xfId="0" applyFill="1"/>
    <xf numFmtId="0" fontId="0" fillId="7" borderId="4" xfId="0" applyFill="1" applyBorder="1"/>
    <xf numFmtId="0" fontId="18" fillId="7" borderId="4" xfId="0" applyFont="1" applyFill="1" applyBorder="1"/>
    <xf numFmtId="0" fontId="0" fillId="8" borderId="0" xfId="0" applyFill="1"/>
    <xf numFmtId="3" fontId="0" fillId="7" borderId="4" xfId="0" applyNumberFormat="1" applyFill="1" applyBorder="1"/>
    <xf numFmtId="3" fontId="0" fillId="0" borderId="0" xfId="0" applyNumberFormat="1"/>
    <xf numFmtId="3" fontId="0" fillId="8" borderId="0" xfId="0" applyNumberFormat="1" applyFill="1"/>
    <xf numFmtId="0" fontId="0" fillId="3" borderId="0" xfId="0" applyFill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3" fontId="0" fillId="7" borderId="6" xfId="0" applyNumberFormat="1" applyFill="1" applyBorder="1" applyAlignment="1">
      <alignment wrapText="1"/>
    </xf>
    <xf numFmtId="3" fontId="0" fillId="7" borderId="4" xfId="0" applyNumberFormat="1" applyFill="1" applyBorder="1" applyAlignment="1">
      <alignment wrapText="1"/>
    </xf>
    <xf numFmtId="4" fontId="0" fillId="7" borderId="14" xfId="0" applyNumberFormat="1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14" xfId="0" applyFill="1" applyBorder="1" applyAlignment="1">
      <alignment wrapText="1"/>
    </xf>
    <xf numFmtId="4" fontId="0" fillId="0" borderId="12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3" fontId="0" fillId="0" borderId="0" xfId="0" applyNumberFormat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0" xfId="0" applyNumberFormat="1" applyAlignment="1">
      <alignment wrapText="1"/>
    </xf>
    <xf numFmtId="3" fontId="26" fillId="0" borderId="5" xfId="0" applyNumberFormat="1" applyFont="1" applyBorder="1" applyAlignment="1">
      <alignment wrapText="1"/>
    </xf>
    <xf numFmtId="4" fontId="26" fillId="0" borderId="0" xfId="0" applyNumberFormat="1" applyFont="1" applyAlignment="1">
      <alignment wrapText="1"/>
    </xf>
    <xf numFmtId="3" fontId="26" fillId="0" borderId="0" xfId="0" applyNumberFormat="1" applyFont="1" applyAlignment="1">
      <alignment wrapText="1"/>
    </xf>
    <xf numFmtId="4" fontId="26" fillId="0" borderId="12" xfId="0" applyNumberFormat="1" applyFont="1" applyBorder="1" applyAlignment="1">
      <alignment wrapText="1"/>
    </xf>
    <xf numFmtId="0" fontId="18" fillId="7" borderId="5" xfId="0" applyFont="1" applyFill="1" applyBorder="1" applyAlignment="1">
      <alignment wrapText="1"/>
    </xf>
    <xf numFmtId="0" fontId="18" fillId="7" borderId="0" xfId="0" applyFont="1" applyFill="1" applyAlignment="1">
      <alignment wrapText="1"/>
    </xf>
    <xf numFmtId="0" fontId="18" fillId="7" borderId="12" xfId="0" applyFont="1" applyFill="1" applyBorder="1" applyAlignment="1">
      <alignment wrapText="1"/>
    </xf>
    <xf numFmtId="171" fontId="18" fillId="7" borderId="6" xfId="0" applyNumberFormat="1" applyFont="1" applyFill="1" applyBorder="1" applyAlignment="1">
      <alignment wrapText="1"/>
    </xf>
    <xf numFmtId="171" fontId="18" fillId="7" borderId="4" xfId="0" applyNumberFormat="1" applyFont="1" applyFill="1" applyBorder="1" applyAlignment="1">
      <alignment wrapText="1"/>
    </xf>
    <xf numFmtId="171" fontId="18" fillId="7" borderId="14" xfId="0" applyNumberFormat="1" applyFont="1" applyFill="1" applyBorder="1" applyAlignment="1">
      <alignment wrapText="1"/>
    </xf>
    <xf numFmtId="171" fontId="18" fillId="8" borderId="5" xfId="0" applyNumberFormat="1" applyFont="1" applyFill="1" applyBorder="1" applyAlignment="1">
      <alignment wrapText="1"/>
    </xf>
    <xf numFmtId="171" fontId="18" fillId="8" borderId="0" xfId="0" applyNumberFormat="1" applyFont="1" applyFill="1" applyAlignment="1">
      <alignment wrapText="1"/>
    </xf>
    <xf numFmtId="171" fontId="18" fillId="8" borderId="12" xfId="0" applyNumberFormat="1" applyFont="1" applyFill="1" applyBorder="1" applyAlignment="1">
      <alignment wrapText="1"/>
    </xf>
    <xf numFmtId="171" fontId="0" fillId="0" borderId="5" xfId="0" applyNumberFormat="1" applyBorder="1" applyAlignment="1">
      <alignment wrapText="1"/>
    </xf>
    <xf numFmtId="171" fontId="0" fillId="0" borderId="0" xfId="0" applyNumberFormat="1" applyAlignment="1">
      <alignment wrapText="1"/>
    </xf>
    <xf numFmtId="171" fontId="0" fillId="0" borderId="12" xfId="0" applyNumberFormat="1" applyBorder="1" applyAlignment="1">
      <alignment wrapText="1"/>
    </xf>
    <xf numFmtId="0" fontId="23" fillId="3" borderId="0" xfId="0" applyFont="1" applyFill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0" fillId="7" borderId="0" xfId="0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than Gee" id="{54C9E44B-7C92-4BED-A361-A5406F8140B9}" userId="8ec6ec53a04c3b6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3" dT="2023-04-17T16:18:03.79" personId="{54C9E44B-7C92-4BED-A361-A5406F8140B9}" id="{93D293D2-2D81-4D92-8E55-BC72069562D8}">
    <text>Pulled from LTM Bloomberg Data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B412-5342-4511-B798-0D03004E22E2}">
  <dimension ref="A2:O76"/>
  <sheetViews>
    <sheetView showGridLines="0" topLeftCell="B1" zoomScale="60" zoomScaleNormal="60" workbookViewId="0">
      <selection activeCell="G23" sqref="G23"/>
    </sheetView>
  </sheetViews>
  <sheetFormatPr defaultRowHeight="14.4" x14ac:dyDescent="0.55000000000000004"/>
  <cols>
    <col min="1" max="1" width="12.734375" style="12" customWidth="1"/>
    <col min="2" max="2" width="75.734375" style="12" customWidth="1"/>
    <col min="3" max="6" width="16.734375" style="12" customWidth="1"/>
    <col min="7" max="10" width="17.5234375" style="12" customWidth="1"/>
    <col min="11" max="11" width="9.15625" style="12"/>
  </cols>
  <sheetData>
    <row r="2" spans="2:10" x14ac:dyDescent="0.55000000000000004">
      <c r="B2" s="20" t="s">
        <v>111</v>
      </c>
      <c r="C2" s="21"/>
      <c r="D2" s="21"/>
      <c r="E2" s="21"/>
      <c r="F2" s="21"/>
      <c r="G2" s="22"/>
      <c r="H2" s="22"/>
      <c r="I2" s="22"/>
      <c r="J2" s="22"/>
    </row>
    <row r="3" spans="2:10" x14ac:dyDescent="0.55000000000000004">
      <c r="B3" s="4" t="s">
        <v>100</v>
      </c>
      <c r="C3" s="5"/>
      <c r="D3" s="5"/>
      <c r="E3" s="5"/>
      <c r="F3" s="5"/>
      <c r="G3" s="6"/>
      <c r="H3" s="6"/>
      <c r="I3" s="6"/>
      <c r="J3" s="6"/>
    </row>
    <row r="4" spans="2:10" x14ac:dyDescent="0.55000000000000004">
      <c r="B4" s="7" t="s">
        <v>101</v>
      </c>
      <c r="C4" s="8" t="s">
        <v>102</v>
      </c>
      <c r="D4" s="8" t="s">
        <v>103</v>
      </c>
      <c r="E4" s="8" t="s">
        <v>104</v>
      </c>
      <c r="F4" s="9" t="s">
        <v>105</v>
      </c>
      <c r="G4" s="9" t="s">
        <v>106</v>
      </c>
      <c r="H4" s="9" t="s">
        <v>107</v>
      </c>
      <c r="I4" s="9" t="s">
        <v>108</v>
      </c>
      <c r="J4" s="9" t="s">
        <v>109</v>
      </c>
    </row>
    <row r="5" spans="2:10" x14ac:dyDescent="0.55000000000000004">
      <c r="B5" s="13" t="s">
        <v>0</v>
      </c>
      <c r="C5" s="23">
        <v>34608</v>
      </c>
      <c r="D5" s="23">
        <v>43075</v>
      </c>
      <c r="E5" s="23">
        <v>43653</v>
      </c>
      <c r="F5" s="75">
        <f>'Revenue Build'!N67</f>
        <v>39855.945</v>
      </c>
      <c r="G5" s="75">
        <f>'Revenue Build'!Q67</f>
        <v>41844.177649999998</v>
      </c>
      <c r="H5" s="75">
        <f>'Revenue Build'!T67</f>
        <v>44009.615265000008</v>
      </c>
      <c r="I5" s="75">
        <f>'Revenue Build'!W67</f>
        <v>46879.737243149997</v>
      </c>
      <c r="J5" s="75">
        <f>'Revenue Build'!Z67</f>
        <v>50229.337744346252</v>
      </c>
    </row>
    <row r="6" spans="2:10" x14ac:dyDescent="0.55000000000000004">
      <c r="B6" s="49" t="s">
        <v>149</v>
      </c>
      <c r="C6" s="73"/>
      <c r="D6" s="58">
        <f>D5/C5-1</f>
        <v>0.2446544151641239</v>
      </c>
      <c r="E6" s="58">
        <f t="shared" ref="E6:J6" si="0">E5/D5-1</f>
        <v>1.3418456181079508E-2</v>
      </c>
      <c r="F6" s="58">
        <f t="shared" si="0"/>
        <v>-8.6982681602639E-2</v>
      </c>
      <c r="G6" s="58">
        <f t="shared" si="0"/>
        <v>4.9885472543681919E-2</v>
      </c>
      <c r="H6" s="58">
        <f t="shared" si="0"/>
        <v>5.1750033973962273E-2</v>
      </c>
      <c r="I6" s="58">
        <f t="shared" si="0"/>
        <v>6.5215793432135349E-2</v>
      </c>
      <c r="J6" s="58">
        <f t="shared" si="0"/>
        <v>7.145092311040413E-2</v>
      </c>
    </row>
    <row r="7" spans="2:10" x14ac:dyDescent="0.55000000000000004">
      <c r="B7" s="74" t="s">
        <v>151</v>
      </c>
      <c r="C7" s="73"/>
      <c r="D7" s="58"/>
      <c r="E7" s="58"/>
      <c r="F7" s="58"/>
      <c r="G7" s="58"/>
      <c r="H7" s="58"/>
      <c r="I7" s="58"/>
      <c r="J7" s="58"/>
    </row>
    <row r="8" spans="2:10" x14ac:dyDescent="0.55000000000000004">
      <c r="B8" s="44" t="s">
        <v>1</v>
      </c>
      <c r="C8" s="14">
        <v>15003</v>
      </c>
      <c r="D8" s="14">
        <v>18537</v>
      </c>
      <c r="E8" s="14">
        <v>19142</v>
      </c>
      <c r="F8" s="72">
        <f>F$5*F9</f>
        <v>17337.336074999999</v>
      </c>
      <c r="G8" s="72">
        <f t="shared" ref="G8:J8" si="1">G$5*G9</f>
        <v>17783.775501249998</v>
      </c>
      <c r="H8" s="72">
        <f t="shared" si="1"/>
        <v>18263.990334975002</v>
      </c>
      <c r="I8" s="72">
        <f t="shared" si="1"/>
        <v>18986.293583475748</v>
      </c>
      <c r="J8" s="72">
        <f t="shared" si="1"/>
        <v>19840.588409016767</v>
      </c>
    </row>
    <row r="9" spans="2:10" x14ac:dyDescent="0.55000000000000004">
      <c r="B9" s="50" t="s">
        <v>150</v>
      </c>
      <c r="C9" s="58">
        <f>C8/C$5</f>
        <v>0.4335124826629681</v>
      </c>
      <c r="D9" s="58">
        <f t="shared" ref="D9:E9" si="2">D8/D$5</f>
        <v>0.43034242600116079</v>
      </c>
      <c r="E9" s="58">
        <f t="shared" si="2"/>
        <v>0.43850365381531625</v>
      </c>
      <c r="F9" s="58">
        <v>0.435</v>
      </c>
      <c r="G9" s="58">
        <f>F9-0.01</f>
        <v>0.42499999999999999</v>
      </c>
      <c r="H9" s="58">
        <f t="shared" ref="H9:J9" si="3">G9-0.01</f>
        <v>0.41499999999999998</v>
      </c>
      <c r="I9" s="58">
        <f t="shared" si="3"/>
        <v>0.40499999999999997</v>
      </c>
      <c r="J9" s="58">
        <f t="shared" si="3"/>
        <v>0.39499999999999996</v>
      </c>
    </row>
    <row r="10" spans="2:10" x14ac:dyDescent="0.55000000000000004">
      <c r="B10" s="44" t="s">
        <v>2</v>
      </c>
      <c r="C10" s="14">
        <v>2132</v>
      </c>
      <c r="D10" s="14">
        <v>2047</v>
      </c>
      <c r="E10" s="14">
        <v>2013</v>
      </c>
      <c r="F10" s="72">
        <f>F$5*F11</f>
        <v>1992.7972500000001</v>
      </c>
      <c r="G10" s="72">
        <f t="shared" ref="G10" si="4">G$5*G11</f>
        <v>2092.2088825000001</v>
      </c>
      <c r="H10" s="72">
        <f t="shared" ref="H10" si="5">H$5*H11</f>
        <v>2200.4807632500006</v>
      </c>
      <c r="I10" s="72">
        <f t="shared" ref="I10" si="6">I$5*I11</f>
        <v>2343.9868621575001</v>
      </c>
      <c r="J10" s="72">
        <f t="shared" ref="J10" si="7">J$5*J11</f>
        <v>2511.4668872173129</v>
      </c>
    </row>
    <row r="11" spans="2:10" x14ac:dyDescent="0.55000000000000004">
      <c r="B11" s="50" t="s">
        <v>150</v>
      </c>
      <c r="C11" s="58">
        <f>C10/C$5</f>
        <v>6.160425335182617E-2</v>
      </c>
      <c r="D11" s="58">
        <f t="shared" ref="D11" si="8">D10/D$5</f>
        <v>4.7521764364480558E-2</v>
      </c>
      <c r="E11" s="58">
        <f t="shared" ref="E11" si="9">E10/E$5</f>
        <v>4.6113669163631368E-2</v>
      </c>
      <c r="F11" s="58">
        <v>0.05</v>
      </c>
      <c r="G11" s="58">
        <v>0.05</v>
      </c>
      <c r="H11" s="58">
        <v>0.05</v>
      </c>
      <c r="I11" s="58">
        <v>0.05</v>
      </c>
      <c r="J11" s="58">
        <v>0.05</v>
      </c>
    </row>
    <row r="12" spans="2:10" x14ac:dyDescent="0.55000000000000004">
      <c r="B12" s="44" t="s">
        <v>3</v>
      </c>
      <c r="C12" s="14">
        <v>2420</v>
      </c>
      <c r="D12" s="14">
        <v>2742</v>
      </c>
      <c r="E12" s="14">
        <v>2888</v>
      </c>
      <c r="F12" s="72">
        <f>F$5*F13</f>
        <v>2789.9161500000005</v>
      </c>
      <c r="G12" s="72">
        <f t="shared" ref="G12" si="10">G$5*G13</f>
        <v>3138.3133237500001</v>
      </c>
      <c r="H12" s="72">
        <f t="shared" ref="H12" si="11">H$5*H13</f>
        <v>3520.7692212000011</v>
      </c>
      <c r="I12" s="72">
        <f t="shared" ref="I12" si="12">I$5*I13</f>
        <v>3984.7776656677506</v>
      </c>
      <c r="J12" s="72">
        <f t="shared" ref="J12" si="13">J$5*J13</f>
        <v>4520.6403969911644</v>
      </c>
    </row>
    <row r="13" spans="2:10" x14ac:dyDescent="0.55000000000000004">
      <c r="B13" s="50" t="s">
        <v>150</v>
      </c>
      <c r="C13" s="58">
        <f>C12/C$5</f>
        <v>6.9926028663892748E-2</v>
      </c>
      <c r="D13" s="58">
        <f t="shared" ref="D13" si="14">D12/D$5</f>
        <v>6.3656413232733605E-2</v>
      </c>
      <c r="E13" s="58">
        <f t="shared" ref="E13" si="15">E12/E$5</f>
        <v>6.6158110553684743E-2</v>
      </c>
      <c r="F13" s="58">
        <v>7.0000000000000007E-2</v>
      </c>
      <c r="G13" s="58">
        <f>F13+0.005</f>
        <v>7.5000000000000011E-2</v>
      </c>
      <c r="H13" s="58">
        <f t="shared" ref="H13:J13" si="16">G13+0.005</f>
        <v>8.0000000000000016E-2</v>
      </c>
      <c r="I13" s="58">
        <f t="shared" si="16"/>
        <v>8.500000000000002E-2</v>
      </c>
      <c r="J13" s="58">
        <f t="shared" si="16"/>
        <v>9.0000000000000024E-2</v>
      </c>
    </row>
    <row r="14" spans="2:10" x14ac:dyDescent="0.55000000000000004">
      <c r="B14" s="44" t="s">
        <v>4</v>
      </c>
      <c r="C14" s="14">
        <v>9696</v>
      </c>
      <c r="D14" s="14">
        <v>11324</v>
      </c>
      <c r="E14" s="14">
        <v>11248</v>
      </c>
      <c r="F14" s="72">
        <f>F$5*F15</f>
        <v>10362.545700000001</v>
      </c>
      <c r="G14" s="72">
        <f t="shared" ref="G14" si="17">G$5*G15</f>
        <v>10879.486188999999</v>
      </c>
      <c r="H14" s="72">
        <f t="shared" ref="H14" si="18">H$5*H15</f>
        <v>11442.499968900001</v>
      </c>
      <c r="I14" s="72">
        <f t="shared" ref="I14" si="19">I$5*I15</f>
        <v>12188.731683218999</v>
      </c>
      <c r="J14" s="72">
        <f t="shared" ref="J14" si="20">J$5*J15</f>
        <v>12557.334436086563</v>
      </c>
    </row>
    <row r="15" spans="2:10" x14ac:dyDescent="0.55000000000000004">
      <c r="B15" s="50" t="s">
        <v>150</v>
      </c>
      <c r="C15" s="58">
        <f>C14/C$5</f>
        <v>0.28016643550624132</v>
      </c>
      <c r="D15" s="58">
        <f t="shared" ref="D15" si="21">D14/D$5</f>
        <v>0.26289030760301801</v>
      </c>
      <c r="E15" s="58">
        <f t="shared" ref="E15" si="22">E14/E$5</f>
        <v>0.25766843057750899</v>
      </c>
      <c r="F15" s="58">
        <v>0.26</v>
      </c>
      <c r="G15" s="58">
        <v>0.26</v>
      </c>
      <c r="H15" s="58">
        <v>0.26</v>
      </c>
      <c r="I15" s="58">
        <v>0.26</v>
      </c>
      <c r="J15" s="58">
        <v>0.25</v>
      </c>
    </row>
    <row r="16" spans="2:10" x14ac:dyDescent="0.55000000000000004">
      <c r="B16" s="30" t="s">
        <v>5</v>
      </c>
      <c r="C16" s="27">
        <f>C5-C8-C10-C12-C14</f>
        <v>5357</v>
      </c>
      <c r="D16" s="27">
        <f t="shared" ref="D16:J16" si="23">D5-D8-D10-D12-D14</f>
        <v>8425</v>
      </c>
      <c r="E16" s="27">
        <f t="shared" si="23"/>
        <v>8362</v>
      </c>
      <c r="F16" s="27">
        <f t="shared" si="23"/>
        <v>7373.3498249999993</v>
      </c>
      <c r="G16" s="27">
        <f t="shared" si="23"/>
        <v>7950.3937535000005</v>
      </c>
      <c r="H16" s="27">
        <f t="shared" si="23"/>
        <v>8581.8749766750025</v>
      </c>
      <c r="I16" s="27">
        <f t="shared" si="23"/>
        <v>9375.9474486300005</v>
      </c>
      <c r="J16" s="27">
        <f t="shared" si="23"/>
        <v>10799.307615034446</v>
      </c>
    </row>
    <row r="17" spans="2:15" x14ac:dyDescent="0.55000000000000004">
      <c r="B17" s="13" t="s">
        <v>6</v>
      </c>
      <c r="C17" s="14">
        <v>546</v>
      </c>
      <c r="D17" s="14">
        <v>533</v>
      </c>
      <c r="E17" s="14">
        <v>558</v>
      </c>
      <c r="F17" s="72">
        <f>550</f>
        <v>550</v>
      </c>
      <c r="G17" s="72">
        <f>550</f>
        <v>550</v>
      </c>
      <c r="H17" s="72">
        <f>550</f>
        <v>550</v>
      </c>
      <c r="I17" s="72">
        <f>550</f>
        <v>550</v>
      </c>
      <c r="J17" s="72">
        <f>550</f>
        <v>550</v>
      </c>
    </row>
    <row r="18" spans="2:15" x14ac:dyDescent="0.55000000000000004">
      <c r="B18" s="13" t="s">
        <v>7</v>
      </c>
      <c r="C18" s="14">
        <v>-46</v>
      </c>
      <c r="D18" s="14">
        <v>-43</v>
      </c>
      <c r="E18" s="14">
        <v>-183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2:15" x14ac:dyDescent="0.55000000000000004">
      <c r="B19" s="13" t="s">
        <v>8</v>
      </c>
      <c r="C19" s="14">
        <v>-8</v>
      </c>
      <c r="D19" s="14">
        <v>1</v>
      </c>
      <c r="E19" s="14">
        <v>2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</row>
    <row r="20" spans="2:15" x14ac:dyDescent="0.55000000000000004">
      <c r="B20" s="13" t="s">
        <v>9</v>
      </c>
      <c r="C20" s="14">
        <v>-103</v>
      </c>
      <c r="D20" s="14">
        <v>-277</v>
      </c>
      <c r="E20" s="14">
        <v>-321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</row>
    <row r="21" spans="2:15" x14ac:dyDescent="0.55000000000000004">
      <c r="B21" s="30" t="s">
        <v>10</v>
      </c>
      <c r="C21" s="27">
        <f>C16-C17-C18-C19-C20</f>
        <v>4968</v>
      </c>
      <c r="D21" s="27">
        <f t="shared" ref="D21:J21" si="24">D16-D17-D18-D19-D20</f>
        <v>8211</v>
      </c>
      <c r="E21" s="27">
        <f t="shared" si="24"/>
        <v>8306</v>
      </c>
      <c r="F21" s="27">
        <f t="shared" si="24"/>
        <v>6823.3498249999993</v>
      </c>
      <c r="G21" s="27">
        <f t="shared" si="24"/>
        <v>7400.3937535000005</v>
      </c>
      <c r="H21" s="27">
        <f t="shared" si="24"/>
        <v>8031.8749766750025</v>
      </c>
      <c r="I21" s="27">
        <f t="shared" si="24"/>
        <v>8825.9474486300005</v>
      </c>
      <c r="J21" s="27">
        <f t="shared" si="24"/>
        <v>10249.307615034446</v>
      </c>
    </row>
    <row r="22" spans="2:15" x14ac:dyDescent="0.55000000000000004">
      <c r="B22" s="13" t="s">
        <v>11</v>
      </c>
      <c r="C22" s="14">
        <v>497</v>
      </c>
      <c r="D22" s="14">
        <v>1140</v>
      </c>
      <c r="E22" s="14">
        <v>1373</v>
      </c>
      <c r="F22" s="72">
        <f>F21*F23</f>
        <v>1194.0862193749997</v>
      </c>
      <c r="G22" s="72">
        <f t="shared" ref="G22:J22" si="25">G21*G23</f>
        <v>1295.0689068624999</v>
      </c>
      <c r="H22" s="72">
        <f t="shared" si="25"/>
        <v>1405.5781209181253</v>
      </c>
      <c r="I22" s="72">
        <f t="shared" si="25"/>
        <v>1544.54080351025</v>
      </c>
      <c r="J22" s="72">
        <f t="shared" si="25"/>
        <v>1793.628832631028</v>
      </c>
    </row>
    <row r="23" spans="2:15" x14ac:dyDescent="0.55000000000000004">
      <c r="B23" s="50" t="s">
        <v>152</v>
      </c>
      <c r="C23" s="58">
        <f>C22/C21</f>
        <v>0.1000402576489533</v>
      </c>
      <c r="D23" s="58">
        <f t="shared" ref="D23:E23" si="26">D22/D21</f>
        <v>0.13883814395323346</v>
      </c>
      <c r="E23" s="58">
        <f t="shared" si="26"/>
        <v>0.16530219118709366</v>
      </c>
      <c r="F23" s="58">
        <v>0.17499999999999999</v>
      </c>
      <c r="G23" s="58">
        <v>0.17499999999999999</v>
      </c>
      <c r="H23" s="58">
        <v>0.17499999999999999</v>
      </c>
      <c r="I23" s="58">
        <v>0.17499999999999999</v>
      </c>
      <c r="J23" s="58">
        <v>0.17499999999999999</v>
      </c>
    </row>
    <row r="24" spans="2:15" x14ac:dyDescent="0.55000000000000004">
      <c r="B24" s="46" t="s">
        <v>12</v>
      </c>
      <c r="C24" s="45">
        <f>C21-C22</f>
        <v>4471</v>
      </c>
      <c r="D24" s="45">
        <f t="shared" ref="D24:J24" si="27">D21-D22</f>
        <v>7071</v>
      </c>
      <c r="E24" s="45">
        <f t="shared" si="27"/>
        <v>6933</v>
      </c>
      <c r="F24" s="45">
        <f t="shared" si="27"/>
        <v>5629.2636056249994</v>
      </c>
      <c r="G24" s="45">
        <f t="shared" si="27"/>
        <v>6105.3248466375007</v>
      </c>
      <c r="H24" s="45">
        <f t="shared" si="27"/>
        <v>6626.2968557568774</v>
      </c>
      <c r="I24" s="45">
        <f t="shared" si="27"/>
        <v>7281.4066451197505</v>
      </c>
      <c r="J24" s="45">
        <f t="shared" si="27"/>
        <v>8455.6787824034182</v>
      </c>
    </row>
    <row r="25" spans="2:15" x14ac:dyDescent="0.55000000000000004">
      <c r="B25" s="13" t="s">
        <v>13</v>
      </c>
      <c r="C25" s="14">
        <v>24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</row>
    <row r="26" spans="2:15" x14ac:dyDescent="0.55000000000000004">
      <c r="B26" s="71" t="s">
        <v>15</v>
      </c>
      <c r="C26" s="27">
        <f>C24-C25</f>
        <v>4447</v>
      </c>
      <c r="D26" s="27">
        <f t="shared" ref="D26:J26" si="28">D24-D25</f>
        <v>7071</v>
      </c>
      <c r="E26" s="27">
        <f t="shared" si="28"/>
        <v>6933</v>
      </c>
      <c r="F26" s="27">
        <f t="shared" si="28"/>
        <v>5629.2636056249994</v>
      </c>
      <c r="G26" s="27">
        <f t="shared" si="28"/>
        <v>6105.3248466375007</v>
      </c>
      <c r="H26" s="27">
        <f t="shared" si="28"/>
        <v>6626.2968557568774</v>
      </c>
      <c r="I26" s="27">
        <f t="shared" si="28"/>
        <v>7281.4066451197505</v>
      </c>
      <c r="J26" s="27">
        <f t="shared" si="28"/>
        <v>8455.6787824034182</v>
      </c>
      <c r="O26" s="1"/>
    </row>
    <row r="27" spans="2:15" x14ac:dyDescent="0.55000000000000004">
      <c r="C27" s="19"/>
      <c r="D27" s="19"/>
      <c r="E27" s="19"/>
      <c r="G27" s="14"/>
      <c r="H27"/>
      <c r="I27"/>
    </row>
    <row r="28" spans="2:15" x14ac:dyDescent="0.55000000000000004">
      <c r="G28" s="14"/>
      <c r="H28" s="3"/>
      <c r="I28"/>
    </row>
    <row r="29" spans="2:15" x14ac:dyDescent="0.55000000000000004">
      <c r="G29" s="14"/>
      <c r="H29"/>
      <c r="I29"/>
    </row>
    <row r="30" spans="2:15" x14ac:dyDescent="0.55000000000000004">
      <c r="G30" s="14"/>
      <c r="H30" s="2"/>
      <c r="I30"/>
    </row>
    <row r="31" spans="2:15" x14ac:dyDescent="0.55000000000000004">
      <c r="G31" s="14"/>
      <c r="H31"/>
      <c r="I31"/>
    </row>
    <row r="32" spans="2:15" x14ac:dyDescent="0.55000000000000004">
      <c r="G32" s="14"/>
      <c r="H32"/>
      <c r="I32"/>
    </row>
    <row r="33" spans="7:9" x14ac:dyDescent="0.55000000000000004">
      <c r="G33" s="14"/>
      <c r="H33" s="10"/>
      <c r="I33"/>
    </row>
    <row r="34" spans="7:9" x14ac:dyDescent="0.55000000000000004">
      <c r="G34" s="14"/>
      <c r="H34" s="11"/>
      <c r="I34"/>
    </row>
    <row r="35" spans="7:9" x14ac:dyDescent="0.55000000000000004">
      <c r="G35" s="14"/>
      <c r="H35" s="10"/>
      <c r="I35"/>
    </row>
    <row r="36" spans="7:9" x14ac:dyDescent="0.55000000000000004">
      <c r="G36" s="14"/>
      <c r="H36"/>
      <c r="I36"/>
    </row>
    <row r="37" spans="7:9" x14ac:dyDescent="0.55000000000000004">
      <c r="H37"/>
      <c r="I37"/>
    </row>
    <row r="38" spans="7:9" x14ac:dyDescent="0.55000000000000004">
      <c r="H38" s="10"/>
      <c r="I38"/>
    </row>
    <row r="39" spans="7:9" x14ac:dyDescent="0.55000000000000004">
      <c r="H39" s="11"/>
      <c r="I39"/>
    </row>
    <row r="40" spans="7:9" x14ac:dyDescent="0.55000000000000004">
      <c r="H40" s="10"/>
      <c r="I40"/>
    </row>
    <row r="41" spans="7:9" x14ac:dyDescent="0.55000000000000004">
      <c r="H41"/>
      <c r="I41"/>
    </row>
    <row r="42" spans="7:9" x14ac:dyDescent="0.55000000000000004">
      <c r="H42" s="3"/>
      <c r="I42"/>
    </row>
    <row r="43" spans="7:9" x14ac:dyDescent="0.55000000000000004">
      <c r="H43" s="3"/>
      <c r="I43"/>
    </row>
    <row r="44" spans="7:9" x14ac:dyDescent="0.55000000000000004">
      <c r="H44" s="3"/>
      <c r="I44"/>
    </row>
    <row r="45" spans="7:9" x14ac:dyDescent="0.55000000000000004">
      <c r="H45" s="3"/>
      <c r="I45"/>
    </row>
    <row r="62" spans="2:5" x14ac:dyDescent="0.55000000000000004">
      <c r="B62" s="18" t="s">
        <v>16</v>
      </c>
      <c r="C62" s="19"/>
      <c r="D62" s="19"/>
      <c r="E62" s="19"/>
    </row>
    <row r="63" spans="2:5" x14ac:dyDescent="0.55000000000000004">
      <c r="B63" s="18" t="s">
        <v>17</v>
      </c>
      <c r="C63" s="14">
        <v>2.5099999999999998</v>
      </c>
      <c r="D63" s="14">
        <v>3.97</v>
      </c>
      <c r="E63" s="14">
        <v>3.94</v>
      </c>
    </row>
    <row r="64" spans="2:5" x14ac:dyDescent="0.55000000000000004">
      <c r="B64" s="18" t="s">
        <v>18</v>
      </c>
      <c r="C64" s="14">
        <v>0.01</v>
      </c>
      <c r="D64" s="14" t="s">
        <v>14</v>
      </c>
      <c r="E64" s="14" t="s">
        <v>14</v>
      </c>
    </row>
    <row r="65" spans="2:5" x14ac:dyDescent="0.55000000000000004">
      <c r="B65" s="18" t="s">
        <v>15</v>
      </c>
      <c r="C65" s="14">
        <v>2.52</v>
      </c>
      <c r="D65" s="14">
        <v>3.97</v>
      </c>
      <c r="E65" s="14">
        <v>3.94</v>
      </c>
    </row>
    <row r="66" spans="2:5" x14ac:dyDescent="0.55000000000000004">
      <c r="C66" s="19"/>
      <c r="D66" s="19"/>
      <c r="E66" s="19"/>
    </row>
    <row r="67" spans="2:5" x14ac:dyDescent="0.55000000000000004">
      <c r="B67" s="18" t="s">
        <v>19</v>
      </c>
      <c r="C67" s="19"/>
      <c r="D67" s="19"/>
      <c r="E67" s="19"/>
    </row>
    <row r="68" spans="2:5" x14ac:dyDescent="0.55000000000000004">
      <c r="B68" s="18" t="s">
        <v>17</v>
      </c>
      <c r="C68" s="14">
        <v>2.4900000000000002</v>
      </c>
      <c r="D68" s="14">
        <v>3.94</v>
      </c>
      <c r="E68" s="14">
        <v>3.91</v>
      </c>
    </row>
    <row r="69" spans="2:5" x14ac:dyDescent="0.55000000000000004">
      <c r="B69" s="18" t="s">
        <v>18</v>
      </c>
      <c r="C69" s="14">
        <v>0.01</v>
      </c>
      <c r="D69" s="14" t="s">
        <v>14</v>
      </c>
      <c r="E69" s="14" t="s">
        <v>14</v>
      </c>
    </row>
    <row r="70" spans="2:5" x14ac:dyDescent="0.55000000000000004">
      <c r="B70" s="18" t="s">
        <v>15</v>
      </c>
      <c r="C70" s="14">
        <v>2.5</v>
      </c>
      <c r="D70" s="14">
        <v>3.94</v>
      </c>
      <c r="E70" s="14">
        <v>3.91</v>
      </c>
    </row>
    <row r="71" spans="2:5" x14ac:dyDescent="0.55000000000000004">
      <c r="C71" s="19"/>
      <c r="D71" s="19"/>
      <c r="E71" s="19"/>
    </row>
    <row r="72" spans="2:5" x14ac:dyDescent="0.55000000000000004">
      <c r="C72" s="14">
        <v>1773</v>
      </c>
      <c r="D72" s="19"/>
      <c r="E72" s="19"/>
    </row>
    <row r="73" spans="2:5" x14ac:dyDescent="0.55000000000000004">
      <c r="B73" s="18" t="s">
        <v>20</v>
      </c>
      <c r="C73" s="14">
        <v>13</v>
      </c>
      <c r="D73" s="14">
        <v>1775</v>
      </c>
      <c r="E73" s="14">
        <v>1753</v>
      </c>
    </row>
    <row r="74" spans="2:5" x14ac:dyDescent="0.55000000000000004">
      <c r="B74" s="18" t="s">
        <v>21</v>
      </c>
      <c r="C74" s="14">
        <v>1786</v>
      </c>
      <c r="D74" s="14">
        <v>14</v>
      </c>
      <c r="E74" s="14">
        <v>11</v>
      </c>
    </row>
    <row r="75" spans="2:5" x14ac:dyDescent="0.55000000000000004">
      <c r="B75" s="18" t="s">
        <v>22</v>
      </c>
      <c r="C75" s="14">
        <v>9</v>
      </c>
      <c r="D75" s="14">
        <v>1789</v>
      </c>
      <c r="E75" s="14">
        <v>1764</v>
      </c>
    </row>
    <row r="76" spans="2:5" x14ac:dyDescent="0.55000000000000004">
      <c r="B76" s="18" t="s">
        <v>23</v>
      </c>
      <c r="D76" s="14" t="s">
        <v>14</v>
      </c>
      <c r="E76" s="14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2BC3-309E-48AA-99F9-1B3CB3CFB298}">
  <dimension ref="A2:V53"/>
  <sheetViews>
    <sheetView showGridLines="0" workbookViewId="0">
      <selection activeCell="E20" sqref="E20"/>
    </sheetView>
  </sheetViews>
  <sheetFormatPr defaultColWidth="8.734375" defaultRowHeight="14.4" x14ac:dyDescent="0.55000000000000004"/>
  <cols>
    <col min="1" max="1" width="12.734375" style="12" customWidth="1"/>
    <col min="2" max="2" width="75.734375" style="12" customWidth="1"/>
    <col min="3" max="6" width="16.734375" style="12" customWidth="1"/>
    <col min="7" max="11" width="17.5234375" style="12" customWidth="1"/>
    <col min="12" max="16384" width="8.734375" style="12"/>
  </cols>
  <sheetData>
    <row r="2" spans="1:15" x14ac:dyDescent="0.55000000000000004">
      <c r="A2" s="18"/>
      <c r="B2" s="20" t="s">
        <v>111</v>
      </c>
      <c r="C2" s="21"/>
      <c r="D2" s="21"/>
      <c r="E2" s="21"/>
      <c r="F2" s="21"/>
      <c r="G2" s="22"/>
      <c r="H2" s="22"/>
      <c r="I2" s="22"/>
      <c r="J2" s="22"/>
      <c r="K2" s="118"/>
    </row>
    <row r="3" spans="1:15" x14ac:dyDescent="0.55000000000000004">
      <c r="B3" s="4" t="s">
        <v>100</v>
      </c>
      <c r="C3" s="5"/>
      <c r="D3" s="5"/>
      <c r="E3" s="5"/>
      <c r="F3" s="5"/>
      <c r="G3" s="6"/>
      <c r="H3" s="6"/>
      <c r="I3" s="6"/>
      <c r="J3" s="6"/>
      <c r="L3" s="18"/>
      <c r="M3" s="18"/>
      <c r="N3" s="18"/>
      <c r="O3" s="18"/>
    </row>
    <row r="4" spans="1:15" x14ac:dyDescent="0.55000000000000004">
      <c r="B4" s="7" t="s">
        <v>101</v>
      </c>
      <c r="C4" s="8" t="s">
        <v>102</v>
      </c>
      <c r="D4" s="8" t="s">
        <v>103</v>
      </c>
      <c r="E4" s="8" t="s">
        <v>104</v>
      </c>
      <c r="F4" s="9" t="s">
        <v>105</v>
      </c>
      <c r="G4" s="9" t="s">
        <v>106</v>
      </c>
      <c r="H4" s="9" t="s">
        <v>107</v>
      </c>
      <c r="I4" s="9" t="s">
        <v>108</v>
      </c>
      <c r="J4" s="9" t="s">
        <v>109</v>
      </c>
      <c r="K4" s="47"/>
    </row>
    <row r="5" spans="1:15" x14ac:dyDescent="0.55000000000000004">
      <c r="B5" s="29" t="s">
        <v>24</v>
      </c>
      <c r="C5" s="13"/>
      <c r="D5" s="13"/>
    </row>
    <row r="6" spans="1:15" x14ac:dyDescent="0.55000000000000004">
      <c r="B6" s="28" t="s">
        <v>25</v>
      </c>
      <c r="C6" s="14">
        <v>4495</v>
      </c>
      <c r="D6" s="14">
        <v>7071</v>
      </c>
      <c r="E6" s="14">
        <v>6933</v>
      </c>
      <c r="L6" s="15"/>
    </row>
    <row r="7" spans="1:15" x14ac:dyDescent="0.55000000000000004">
      <c r="B7" s="28" t="s">
        <v>26</v>
      </c>
      <c r="C7" s="19"/>
      <c r="D7" s="19"/>
      <c r="E7" s="19"/>
    </row>
    <row r="8" spans="1:15" x14ac:dyDescent="0.55000000000000004">
      <c r="B8" s="28" t="s">
        <v>27</v>
      </c>
      <c r="C8" s="14">
        <v>1195</v>
      </c>
      <c r="D8" s="14">
        <v>1491</v>
      </c>
      <c r="E8" s="14">
        <v>1254</v>
      </c>
      <c r="L8" s="16"/>
    </row>
    <row r="9" spans="1:15" x14ac:dyDescent="0.55000000000000004">
      <c r="B9" s="28" t="s">
        <v>2</v>
      </c>
      <c r="C9" s="14">
        <v>2132</v>
      </c>
      <c r="D9" s="14">
        <v>2047</v>
      </c>
      <c r="E9" s="14">
        <v>2013</v>
      </c>
      <c r="L9" s="16"/>
    </row>
    <row r="10" spans="1:15" x14ac:dyDescent="0.55000000000000004">
      <c r="B10" s="28" t="s">
        <v>28</v>
      </c>
      <c r="C10" s="14">
        <v>546</v>
      </c>
      <c r="D10" s="14">
        <v>640</v>
      </c>
      <c r="E10" s="14">
        <v>685</v>
      </c>
      <c r="L10" s="16"/>
    </row>
    <row r="11" spans="1:15" x14ac:dyDescent="0.55000000000000004">
      <c r="B11" s="28" t="s">
        <v>29</v>
      </c>
      <c r="C11" s="14">
        <v>425</v>
      </c>
      <c r="D11" s="14">
        <v>55</v>
      </c>
      <c r="E11" s="14">
        <v>215</v>
      </c>
      <c r="L11" s="16"/>
    </row>
    <row r="12" spans="1:15" x14ac:dyDescent="0.55000000000000004">
      <c r="B12" s="28" t="s">
        <v>30</v>
      </c>
      <c r="C12" s="14">
        <v>-924</v>
      </c>
      <c r="D12" s="14">
        <v>-383</v>
      </c>
      <c r="E12" s="14">
        <v>-68</v>
      </c>
      <c r="L12" s="17"/>
    </row>
    <row r="13" spans="1:15" x14ac:dyDescent="0.55000000000000004">
      <c r="B13" s="28" t="s">
        <v>31</v>
      </c>
      <c r="C13" s="14">
        <v>-493</v>
      </c>
      <c r="D13" s="14">
        <v>-456</v>
      </c>
      <c r="E13" s="14">
        <v>-1413</v>
      </c>
      <c r="L13" s="17"/>
    </row>
    <row r="14" spans="1:15" x14ac:dyDescent="0.55000000000000004">
      <c r="B14" s="28" t="s">
        <v>32</v>
      </c>
      <c r="C14" s="14">
        <v>-627</v>
      </c>
      <c r="D14" s="14">
        <v>-312</v>
      </c>
      <c r="E14" s="14">
        <v>-75</v>
      </c>
      <c r="L14" s="17"/>
    </row>
    <row r="15" spans="1:15" x14ac:dyDescent="0.55000000000000004">
      <c r="B15" s="28" t="s">
        <v>33</v>
      </c>
      <c r="C15" s="14">
        <v>1766</v>
      </c>
      <c r="D15" s="14">
        <v>1288</v>
      </c>
      <c r="E15" s="14">
        <v>420</v>
      </c>
      <c r="L15" s="16"/>
    </row>
    <row r="16" spans="1:15" x14ac:dyDescent="0.55000000000000004">
      <c r="B16" s="28" t="s">
        <v>34</v>
      </c>
      <c r="C16" s="14">
        <v>-614</v>
      </c>
      <c r="D16" s="14">
        <v>-908</v>
      </c>
      <c r="E16" s="14">
        <v>-383</v>
      </c>
      <c r="L16" s="17"/>
    </row>
    <row r="17" spans="2:22" x14ac:dyDescent="0.55000000000000004">
      <c r="B17" s="30" t="s">
        <v>35</v>
      </c>
      <c r="C17" s="27">
        <f>SUM(C6:C16)</f>
        <v>7901</v>
      </c>
      <c r="D17" s="27">
        <f t="shared" ref="D17:E17" si="0">SUM(D6:D16)</f>
        <v>10533</v>
      </c>
      <c r="E17" s="27">
        <f t="shared" si="0"/>
        <v>9581</v>
      </c>
      <c r="L17" s="16"/>
    </row>
    <row r="18" spans="2:22" x14ac:dyDescent="0.55000000000000004">
      <c r="B18" s="29" t="s">
        <v>36</v>
      </c>
      <c r="C18" s="19"/>
      <c r="D18" s="19"/>
      <c r="E18" s="19"/>
    </row>
    <row r="19" spans="2:22" x14ac:dyDescent="0.55000000000000004">
      <c r="B19" s="28" t="s">
        <v>37</v>
      </c>
      <c r="C19" s="14">
        <v>-2177</v>
      </c>
      <c r="D19" s="14">
        <v>-1885</v>
      </c>
      <c r="E19" s="14">
        <v>-1777</v>
      </c>
      <c r="L19" s="17"/>
    </row>
    <row r="20" spans="2:22" x14ac:dyDescent="0.55000000000000004">
      <c r="B20" s="28" t="s">
        <v>38</v>
      </c>
      <c r="C20" s="14">
        <v>-42</v>
      </c>
      <c r="D20" s="14">
        <v>-187</v>
      </c>
      <c r="E20" s="14">
        <v>0</v>
      </c>
      <c r="L20" s="18"/>
    </row>
    <row r="21" spans="2:22" x14ac:dyDescent="0.55000000000000004">
      <c r="B21" s="28" t="s">
        <v>39</v>
      </c>
      <c r="C21" s="14">
        <v>58</v>
      </c>
      <c r="D21" s="14">
        <v>134</v>
      </c>
      <c r="E21" s="14">
        <v>48</v>
      </c>
      <c r="L21" s="16"/>
      <c r="V21" s="31"/>
    </row>
    <row r="22" spans="2:22" x14ac:dyDescent="0.55000000000000004">
      <c r="B22" s="28" t="s">
        <v>40</v>
      </c>
      <c r="C22" s="14">
        <v>-83</v>
      </c>
      <c r="D22" s="14">
        <v>-173</v>
      </c>
      <c r="E22" s="14">
        <v>-185</v>
      </c>
      <c r="L22" s="17"/>
    </row>
    <row r="23" spans="2:22" x14ac:dyDescent="0.55000000000000004">
      <c r="B23" s="28" t="s">
        <v>41</v>
      </c>
      <c r="C23" s="14">
        <v>10</v>
      </c>
      <c r="D23" s="14">
        <v>77</v>
      </c>
      <c r="E23" s="14">
        <v>152</v>
      </c>
      <c r="L23" s="16"/>
    </row>
    <row r="24" spans="2:22" x14ac:dyDescent="0.55000000000000004">
      <c r="B24" s="28" t="s">
        <v>42</v>
      </c>
      <c r="C24" s="14">
        <v>19</v>
      </c>
      <c r="D24" s="14">
        <v>26</v>
      </c>
      <c r="E24" s="14">
        <v>22</v>
      </c>
      <c r="L24" s="16"/>
    </row>
    <row r="25" spans="2:22" x14ac:dyDescent="0.55000000000000004">
      <c r="B25" s="30" t="s">
        <v>43</v>
      </c>
      <c r="C25" s="27">
        <f>SUM(C19:C24)</f>
        <v>-2215</v>
      </c>
      <c r="D25" s="27">
        <f t="shared" ref="D25:E25" si="1">SUM(D19:D24)</f>
        <v>-2008</v>
      </c>
      <c r="E25" s="27">
        <f t="shared" si="1"/>
        <v>-1740</v>
      </c>
      <c r="L25" s="17"/>
    </row>
    <row r="26" spans="2:22" x14ac:dyDescent="0.55000000000000004">
      <c r="B26" s="29" t="s">
        <v>44</v>
      </c>
      <c r="C26" s="19"/>
      <c r="D26" s="19"/>
      <c r="E26" s="19"/>
    </row>
    <row r="27" spans="2:22" x14ac:dyDescent="0.55000000000000004">
      <c r="B27" s="28" t="s">
        <v>45</v>
      </c>
      <c r="C27" s="14">
        <v>2</v>
      </c>
      <c r="D27" s="14">
        <v>-204</v>
      </c>
      <c r="E27" s="14">
        <v>47</v>
      </c>
      <c r="L27" s="16"/>
    </row>
    <row r="28" spans="2:22" x14ac:dyDescent="0.55000000000000004">
      <c r="B28" s="28" t="s">
        <v>46</v>
      </c>
      <c r="C28" s="14">
        <v>1281</v>
      </c>
      <c r="D28" s="14">
        <v>4</v>
      </c>
      <c r="E28" s="14">
        <v>7</v>
      </c>
      <c r="L28" s="16"/>
    </row>
    <row r="29" spans="2:22" x14ac:dyDescent="0.55000000000000004">
      <c r="B29" s="28" t="s">
        <v>47</v>
      </c>
      <c r="C29" s="14">
        <v>-1333</v>
      </c>
      <c r="D29" s="14">
        <v>-48</v>
      </c>
      <c r="E29" s="14">
        <v>-753</v>
      </c>
      <c r="L29" s="17"/>
    </row>
    <row r="30" spans="2:22" x14ac:dyDescent="0.55000000000000004">
      <c r="B30" s="28" t="s">
        <v>48</v>
      </c>
      <c r="C30" s="14">
        <v>-403</v>
      </c>
      <c r="D30" s="14">
        <v>-2299</v>
      </c>
      <c r="E30" s="14">
        <v>-3795</v>
      </c>
      <c r="L30" s="17"/>
    </row>
    <row r="31" spans="2:22" x14ac:dyDescent="0.55000000000000004">
      <c r="B31" s="28" t="s">
        <v>49</v>
      </c>
      <c r="C31" s="14">
        <v>245</v>
      </c>
      <c r="D31" s="14">
        <v>255</v>
      </c>
      <c r="E31" s="14">
        <v>167</v>
      </c>
      <c r="L31" s="16"/>
    </row>
    <row r="32" spans="2:22" x14ac:dyDescent="0.55000000000000004">
      <c r="B32" s="28" t="s">
        <v>50</v>
      </c>
      <c r="C32" s="14">
        <v>-2560</v>
      </c>
      <c r="D32" s="14">
        <v>-3202</v>
      </c>
      <c r="E32" s="14">
        <v>-3309</v>
      </c>
      <c r="L32" s="17"/>
    </row>
    <row r="33" spans="2:17" x14ac:dyDescent="0.55000000000000004">
      <c r="B33" s="28" t="s">
        <v>42</v>
      </c>
      <c r="C33" s="14">
        <v>-11</v>
      </c>
      <c r="D33" s="14">
        <v>0</v>
      </c>
      <c r="E33" s="14">
        <v>0</v>
      </c>
      <c r="L33" s="18"/>
    </row>
    <row r="34" spans="2:17" x14ac:dyDescent="0.55000000000000004">
      <c r="B34" s="30" t="s">
        <v>51</v>
      </c>
      <c r="C34" s="27">
        <f>SUM(C27:C33)</f>
        <v>-2779</v>
      </c>
      <c r="D34" s="27">
        <f t="shared" ref="D34:E34" si="2">SUM(D27:D33)</f>
        <v>-5494</v>
      </c>
      <c r="E34" s="27">
        <f t="shared" si="2"/>
        <v>-7636</v>
      </c>
      <c r="L34" s="17"/>
    </row>
    <row r="35" spans="2:17" x14ac:dyDescent="0.55000000000000004">
      <c r="C35" s="19"/>
      <c r="D35" s="19"/>
      <c r="E35" s="19"/>
    </row>
    <row r="42" spans="2:17" x14ac:dyDescent="0.55000000000000004">
      <c r="Q42" s="15"/>
    </row>
    <row r="43" spans="2:17" x14ac:dyDescent="0.55000000000000004">
      <c r="Q43" s="16"/>
    </row>
    <row r="46" spans="2:17" x14ac:dyDescent="0.55000000000000004">
      <c r="B46" s="13" t="s">
        <v>52</v>
      </c>
      <c r="C46" s="14">
        <v>71</v>
      </c>
      <c r="D46" s="14">
        <v>-70</v>
      </c>
      <c r="E46" s="14">
        <v>-122</v>
      </c>
      <c r="L46" s="17"/>
    </row>
    <row r="47" spans="2:17" x14ac:dyDescent="0.55000000000000004">
      <c r="B47" s="13" t="s">
        <v>53</v>
      </c>
      <c r="C47" s="14">
        <v>2978</v>
      </c>
      <c r="D47" s="14">
        <v>2961</v>
      </c>
      <c r="E47" s="14">
        <v>83</v>
      </c>
      <c r="L47" s="16"/>
    </row>
    <row r="48" spans="2:17" x14ac:dyDescent="0.55000000000000004">
      <c r="B48" s="13" t="s">
        <v>54</v>
      </c>
      <c r="C48" s="14">
        <v>3860</v>
      </c>
      <c r="D48" s="14">
        <v>6838</v>
      </c>
      <c r="E48" s="14">
        <v>9799</v>
      </c>
      <c r="L48" s="16"/>
    </row>
    <row r="49" spans="2:14" x14ac:dyDescent="0.55000000000000004">
      <c r="B49" s="13" t="s">
        <v>55</v>
      </c>
      <c r="C49" s="14">
        <v>6838</v>
      </c>
      <c r="D49" s="14">
        <v>9799</v>
      </c>
      <c r="E49" s="14">
        <v>9882</v>
      </c>
      <c r="L49" s="15"/>
    </row>
    <row r="51" spans="2:14" x14ac:dyDescent="0.55000000000000004">
      <c r="B51" s="13" t="s">
        <v>56</v>
      </c>
      <c r="C51" s="13"/>
      <c r="D51" s="13"/>
    </row>
    <row r="52" spans="2:14" x14ac:dyDescent="0.55000000000000004">
      <c r="B52" s="13" t="s">
        <v>57</v>
      </c>
      <c r="C52" s="13"/>
      <c r="D52" s="13"/>
      <c r="I52" s="15">
        <v>1941</v>
      </c>
      <c r="J52" s="15"/>
      <c r="L52" s="15"/>
      <c r="N52" s="15">
        <v>970</v>
      </c>
    </row>
    <row r="53" spans="2:14" x14ac:dyDescent="0.55000000000000004">
      <c r="B53" s="13" t="s">
        <v>58</v>
      </c>
      <c r="C53" s="13"/>
      <c r="D53" s="13"/>
      <c r="I53" s="16">
        <v>544</v>
      </c>
      <c r="J53" s="16"/>
      <c r="L53" s="16"/>
      <c r="N53" s="16">
        <v>549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4CDD-FDFE-4095-9C9E-AB66A39C27B6}">
  <dimension ref="A2:U49"/>
  <sheetViews>
    <sheetView showGridLines="0" topLeftCell="A29" workbookViewId="0">
      <selection activeCell="B2" sqref="B2"/>
    </sheetView>
  </sheetViews>
  <sheetFormatPr defaultColWidth="9.15625" defaultRowHeight="14.4" x14ac:dyDescent="0.55000000000000004"/>
  <cols>
    <col min="1" max="1" width="12.734375" style="12" customWidth="1"/>
    <col min="2" max="2" width="75.734375" style="12" customWidth="1"/>
    <col min="3" max="6" width="16.734375" style="12" customWidth="1"/>
    <col min="7" max="11" width="17.5234375" style="12" customWidth="1"/>
    <col min="12" max="16384" width="9.15625" style="12"/>
  </cols>
  <sheetData>
    <row r="2" spans="1:11" x14ac:dyDescent="0.55000000000000004">
      <c r="A2" s="18"/>
      <c r="B2" s="20" t="s">
        <v>111</v>
      </c>
      <c r="C2" s="21"/>
      <c r="D2" s="21"/>
      <c r="E2" s="21"/>
      <c r="F2" s="21"/>
      <c r="G2" s="22"/>
      <c r="H2" s="22"/>
      <c r="I2" s="22"/>
      <c r="J2" s="22"/>
      <c r="K2" s="118"/>
    </row>
    <row r="3" spans="1:11" x14ac:dyDescent="0.55000000000000004">
      <c r="B3" s="4" t="s">
        <v>100</v>
      </c>
      <c r="C3" s="5"/>
      <c r="D3" s="5"/>
      <c r="E3" s="5"/>
      <c r="F3" s="5"/>
      <c r="G3" s="6"/>
      <c r="H3" s="6"/>
      <c r="I3" s="6"/>
      <c r="J3" s="6"/>
    </row>
    <row r="4" spans="1:11" x14ac:dyDescent="0.55000000000000004">
      <c r="B4" s="7" t="s">
        <v>101</v>
      </c>
      <c r="C4" s="8" t="s">
        <v>102</v>
      </c>
      <c r="D4" s="8" t="s">
        <v>103</v>
      </c>
      <c r="E4" s="8" t="s">
        <v>104</v>
      </c>
      <c r="F4" s="9" t="s">
        <v>105</v>
      </c>
      <c r="G4" s="9" t="s">
        <v>106</v>
      </c>
      <c r="H4" s="9" t="s">
        <v>107</v>
      </c>
      <c r="I4" s="9" t="s">
        <v>108</v>
      </c>
      <c r="J4" s="9" t="s">
        <v>109</v>
      </c>
      <c r="K4" s="47"/>
    </row>
    <row r="5" spans="1:11" x14ac:dyDescent="0.55000000000000004">
      <c r="B5" s="29" t="s">
        <v>59</v>
      </c>
    </row>
    <row r="6" spans="1:11" x14ac:dyDescent="0.55000000000000004">
      <c r="B6" s="28" t="s">
        <v>60</v>
      </c>
      <c r="C6" s="107">
        <v>6838</v>
      </c>
      <c r="D6" s="24">
        <v>9799</v>
      </c>
      <c r="E6" s="24">
        <v>9882</v>
      </c>
    </row>
    <row r="7" spans="1:11" x14ac:dyDescent="0.55000000000000004">
      <c r="B7" s="28" t="s">
        <v>61</v>
      </c>
      <c r="C7" s="108">
        <v>310</v>
      </c>
      <c r="D7" s="25">
        <v>450</v>
      </c>
      <c r="E7" s="25">
        <v>288</v>
      </c>
    </row>
    <row r="8" spans="1:11" x14ac:dyDescent="0.55000000000000004">
      <c r="B8" s="28" t="s">
        <v>62</v>
      </c>
      <c r="C8" s="108">
        <v>6414</v>
      </c>
      <c r="D8" s="25">
        <v>6487</v>
      </c>
      <c r="E8" s="25">
        <v>6218</v>
      </c>
    </row>
    <row r="9" spans="1:11" x14ac:dyDescent="0.55000000000000004">
      <c r="B9" s="28" t="s">
        <v>63</v>
      </c>
      <c r="C9" s="12" t="s">
        <v>173</v>
      </c>
    </row>
    <row r="10" spans="1:11" x14ac:dyDescent="0.55000000000000004">
      <c r="B10" s="33" t="s">
        <v>64</v>
      </c>
      <c r="C10" s="108">
        <v>3030</v>
      </c>
      <c r="D10" s="25">
        <v>3081</v>
      </c>
      <c r="E10" s="25">
        <v>3805</v>
      </c>
    </row>
    <row r="11" spans="1:11" x14ac:dyDescent="0.55000000000000004">
      <c r="B11" s="33" t="s">
        <v>65</v>
      </c>
      <c r="C11" s="108">
        <v>712</v>
      </c>
      <c r="D11" s="25">
        <v>694</v>
      </c>
      <c r="E11" s="25">
        <v>680</v>
      </c>
    </row>
    <row r="12" spans="1:11" x14ac:dyDescent="0.55000000000000004">
      <c r="B12" s="33" t="s">
        <v>66</v>
      </c>
      <c r="C12" s="108">
        <v>1270</v>
      </c>
      <c r="D12" s="25">
        <v>1382</v>
      </c>
      <c r="E12" s="25">
        <v>1688</v>
      </c>
    </row>
    <row r="13" spans="1:11" x14ac:dyDescent="0.55000000000000004">
      <c r="B13" s="28" t="s">
        <v>67</v>
      </c>
      <c r="C13" s="108">
        <v>5012</v>
      </c>
      <c r="D13" s="25">
        <f>SUM(D10:D12)</f>
        <v>5157</v>
      </c>
      <c r="E13" s="25">
        <f>SUM(E10:E12)</f>
        <v>6173</v>
      </c>
    </row>
    <row r="14" spans="1:11" x14ac:dyDescent="0.55000000000000004">
      <c r="B14" s="28" t="s">
        <v>68</v>
      </c>
      <c r="C14" s="108">
        <v>1867</v>
      </c>
      <c r="D14" s="25">
        <v>2346</v>
      </c>
      <c r="E14" s="25">
        <v>2663</v>
      </c>
    </row>
    <row r="15" spans="1:11" x14ac:dyDescent="0.55000000000000004">
      <c r="B15" s="34" t="s">
        <v>69</v>
      </c>
      <c r="C15" s="32">
        <f>SUM(C6:C8)+C13+C14</f>
        <v>20441</v>
      </c>
      <c r="D15" s="32">
        <f>SUM(D6:D8)+D13+D14</f>
        <v>24239</v>
      </c>
      <c r="E15" s="32">
        <f>SUM(E6:E8)+E13+E14</f>
        <v>25224</v>
      </c>
    </row>
    <row r="16" spans="1:11" x14ac:dyDescent="0.55000000000000004">
      <c r="B16" s="28" t="s">
        <v>70</v>
      </c>
      <c r="C16" s="108">
        <v>821</v>
      </c>
      <c r="D16" s="25">
        <v>816</v>
      </c>
      <c r="E16" s="25">
        <v>766</v>
      </c>
    </row>
    <row r="17" spans="2:21" x14ac:dyDescent="0.55000000000000004">
      <c r="B17" s="28" t="s">
        <v>71</v>
      </c>
      <c r="C17" s="12" t="s">
        <v>173</v>
      </c>
    </row>
    <row r="18" spans="2:21" x14ac:dyDescent="0.55000000000000004">
      <c r="B18" s="33" t="s">
        <v>72</v>
      </c>
      <c r="C18" s="108">
        <v>538</v>
      </c>
      <c r="D18" s="25">
        <v>525</v>
      </c>
      <c r="E18" s="25">
        <v>511</v>
      </c>
    </row>
    <row r="19" spans="2:21" x14ac:dyDescent="0.55000000000000004">
      <c r="B19" s="33" t="s">
        <v>73</v>
      </c>
      <c r="C19" s="108">
        <v>4014</v>
      </c>
      <c r="D19" s="25">
        <v>4007</v>
      </c>
      <c r="E19" s="25">
        <v>4053</v>
      </c>
    </row>
    <row r="20" spans="2:21" x14ac:dyDescent="0.55000000000000004">
      <c r="B20" s="33" t="s">
        <v>74</v>
      </c>
      <c r="C20" s="108">
        <v>12884</v>
      </c>
      <c r="D20" s="25">
        <v>13528</v>
      </c>
      <c r="E20" s="25">
        <v>14164</v>
      </c>
    </row>
    <row r="21" spans="2:21" x14ac:dyDescent="0.55000000000000004">
      <c r="B21" s="33" t="s">
        <v>75</v>
      </c>
      <c r="C21" s="108">
        <v>1357</v>
      </c>
      <c r="D21" s="25">
        <v>1304</v>
      </c>
      <c r="E21" s="25">
        <v>1484</v>
      </c>
    </row>
    <row r="22" spans="2:21" x14ac:dyDescent="0.55000000000000004">
      <c r="B22" s="35" t="s">
        <v>112</v>
      </c>
      <c r="C22" s="32">
        <f>SUM(C18:C21)</f>
        <v>18793</v>
      </c>
      <c r="D22" s="32">
        <f>SUM(D18:D21)</f>
        <v>19364</v>
      </c>
      <c r="E22" s="32">
        <f>SUM(E18:E21)</f>
        <v>20212</v>
      </c>
    </row>
    <row r="23" spans="2:21" x14ac:dyDescent="0.55000000000000004">
      <c r="B23" s="28" t="s">
        <v>76</v>
      </c>
      <c r="C23" s="108">
        <v>9764</v>
      </c>
      <c r="D23" s="25">
        <v>10405</v>
      </c>
      <c r="E23" s="25">
        <v>11050</v>
      </c>
    </row>
    <row r="24" spans="2:21" x14ac:dyDescent="0.55000000000000004">
      <c r="B24" s="28" t="s">
        <v>77</v>
      </c>
      <c r="C24" s="108">
        <v>9029</v>
      </c>
      <c r="D24" s="25">
        <v>8959</v>
      </c>
      <c r="E24" s="25">
        <v>9162</v>
      </c>
      <c r="U24" s="31"/>
    </row>
    <row r="25" spans="2:21" x14ac:dyDescent="0.55000000000000004">
      <c r="B25" s="28" t="s">
        <v>78</v>
      </c>
      <c r="C25" s="108">
        <v>14784</v>
      </c>
      <c r="D25" s="25">
        <v>12739</v>
      </c>
      <c r="E25" s="25">
        <v>10454</v>
      </c>
    </row>
    <row r="26" spans="2:21" x14ac:dyDescent="0.55000000000000004">
      <c r="B26" s="28" t="s">
        <v>79</v>
      </c>
      <c r="C26" s="108">
        <v>23744</v>
      </c>
      <c r="D26" s="25">
        <v>23231</v>
      </c>
      <c r="E26" s="25">
        <v>22799</v>
      </c>
    </row>
    <row r="27" spans="2:21" x14ac:dyDescent="0.55000000000000004">
      <c r="B27" s="28" t="s">
        <v>80</v>
      </c>
      <c r="C27" s="108">
        <v>3729</v>
      </c>
      <c r="D27" s="25">
        <v>5212</v>
      </c>
      <c r="E27" s="25">
        <v>6033</v>
      </c>
    </row>
    <row r="28" spans="2:21" x14ac:dyDescent="0.55000000000000004">
      <c r="B28" s="35" t="s">
        <v>113</v>
      </c>
      <c r="C28" s="32">
        <v>72548</v>
      </c>
      <c r="D28" s="32">
        <v>75196</v>
      </c>
      <c r="E28" s="32">
        <v>74438</v>
      </c>
    </row>
    <row r="29" spans="2:21" x14ac:dyDescent="0.55000000000000004">
      <c r="B29" s="29" t="s">
        <v>81</v>
      </c>
    </row>
    <row r="30" spans="2:21" x14ac:dyDescent="0.55000000000000004">
      <c r="B30" s="28" t="s">
        <v>82</v>
      </c>
      <c r="C30" s="108">
        <v>3946</v>
      </c>
      <c r="D30" s="24">
        <v>4408</v>
      </c>
      <c r="E30" s="24">
        <v>4607</v>
      </c>
    </row>
    <row r="31" spans="2:21" x14ac:dyDescent="0.55000000000000004">
      <c r="B31" s="28" t="s">
        <v>83</v>
      </c>
      <c r="C31" s="108">
        <v>1416</v>
      </c>
      <c r="D31" s="25">
        <v>1625</v>
      </c>
      <c r="E31" s="25">
        <v>1556</v>
      </c>
    </row>
    <row r="32" spans="2:21" x14ac:dyDescent="0.55000000000000004">
      <c r="B32" s="28" t="s">
        <v>84</v>
      </c>
      <c r="C32" s="108">
        <v>5165</v>
      </c>
      <c r="D32" s="25">
        <v>5181</v>
      </c>
      <c r="E32" s="25">
        <v>5845</v>
      </c>
    </row>
    <row r="33" spans="2:5" x14ac:dyDescent="0.55000000000000004">
      <c r="B33" s="28" t="s">
        <v>85</v>
      </c>
      <c r="C33" s="108">
        <v>798</v>
      </c>
      <c r="D33" s="25">
        <v>831</v>
      </c>
      <c r="E33" s="25">
        <v>887</v>
      </c>
    </row>
    <row r="34" spans="2:5" x14ac:dyDescent="0.55000000000000004">
      <c r="B34" s="28" t="s">
        <v>86</v>
      </c>
      <c r="C34" s="108">
        <v>362</v>
      </c>
      <c r="D34" s="25">
        <v>306</v>
      </c>
      <c r="E34" s="25">
        <v>343</v>
      </c>
    </row>
    <row r="35" spans="2:5" x14ac:dyDescent="0.55000000000000004">
      <c r="B35" s="28" t="s">
        <v>87</v>
      </c>
      <c r="C35" s="108">
        <v>7</v>
      </c>
      <c r="D35" s="25">
        <v>754</v>
      </c>
      <c r="E35" s="25">
        <v>2251</v>
      </c>
    </row>
    <row r="36" spans="2:5" x14ac:dyDescent="0.55000000000000004">
      <c r="B36" s="29" t="s">
        <v>88</v>
      </c>
      <c r="C36" s="110">
        <f>SUM(C30:C35)</f>
        <v>11694</v>
      </c>
      <c r="D36" s="109">
        <f t="shared" ref="D36:E36" si="0">SUM(D30:D35)</f>
        <v>13105</v>
      </c>
      <c r="E36" s="109">
        <f t="shared" si="0"/>
        <v>15489</v>
      </c>
    </row>
    <row r="37" spans="2:5" x14ac:dyDescent="0.55000000000000004">
      <c r="B37" s="28" t="s">
        <v>89</v>
      </c>
      <c r="C37" s="108">
        <v>18527</v>
      </c>
      <c r="D37" s="25">
        <v>17296</v>
      </c>
      <c r="E37" s="25">
        <v>14522</v>
      </c>
    </row>
    <row r="38" spans="2:5" x14ac:dyDescent="0.55000000000000004">
      <c r="B38" s="28" t="s">
        <v>90</v>
      </c>
      <c r="C38" s="108">
        <v>9111</v>
      </c>
      <c r="D38" s="25">
        <v>8771</v>
      </c>
      <c r="E38" s="25">
        <v>7522</v>
      </c>
    </row>
    <row r="39" spans="2:5" x14ac:dyDescent="0.55000000000000004">
      <c r="B39" s="34" t="s">
        <v>114</v>
      </c>
      <c r="C39" s="32">
        <f>SUM(C36:C38)</f>
        <v>39332</v>
      </c>
      <c r="D39" s="32">
        <f>SUM(D36:D38)</f>
        <v>39172</v>
      </c>
      <c r="E39" s="32">
        <f>SUM(E36:E38)</f>
        <v>37533</v>
      </c>
    </row>
    <row r="40" spans="2:5" x14ac:dyDescent="0.55000000000000004">
      <c r="B40" s="29" t="s">
        <v>91</v>
      </c>
      <c r="C40" s="12" t="s">
        <v>173</v>
      </c>
    </row>
    <row r="41" spans="2:5" x14ac:dyDescent="0.55000000000000004">
      <c r="B41" s="28" t="s">
        <v>92</v>
      </c>
      <c r="C41" s="14">
        <v>0</v>
      </c>
      <c r="D41" s="14">
        <v>0</v>
      </c>
      <c r="E41" s="14">
        <v>0</v>
      </c>
    </row>
    <row r="42" spans="2:5" x14ac:dyDescent="0.55000000000000004">
      <c r="B42" s="28" t="s">
        <v>93</v>
      </c>
      <c r="C42" s="108">
        <v>24145</v>
      </c>
      <c r="D42" s="25">
        <v>24470</v>
      </c>
      <c r="E42" s="25">
        <v>24709</v>
      </c>
    </row>
    <row r="43" spans="2:5" x14ac:dyDescent="0.55000000000000004">
      <c r="B43" s="28" t="s">
        <v>94</v>
      </c>
      <c r="C43" s="111">
        <v>-10042</v>
      </c>
      <c r="D43" s="26">
        <v>-11822</v>
      </c>
      <c r="E43" s="26">
        <v>-15229</v>
      </c>
    </row>
    <row r="44" spans="2:5" x14ac:dyDescent="0.55000000000000004">
      <c r="B44" s="28" t="s">
        <v>95</v>
      </c>
      <c r="C44" s="108">
        <v>27627</v>
      </c>
      <c r="D44" s="25">
        <v>31528</v>
      </c>
      <c r="E44" s="25">
        <v>35257</v>
      </c>
    </row>
    <row r="45" spans="2:5" x14ac:dyDescent="0.55000000000000004">
      <c r="B45" s="28" t="s">
        <v>96</v>
      </c>
      <c r="C45" s="111">
        <v>-8946</v>
      </c>
      <c r="D45" s="26">
        <v>-8374</v>
      </c>
      <c r="E45" s="26">
        <v>-8051</v>
      </c>
    </row>
    <row r="46" spans="2:5" x14ac:dyDescent="0.55000000000000004">
      <c r="B46" s="28" t="s">
        <v>97</v>
      </c>
      <c r="C46" s="108">
        <v>32784</v>
      </c>
      <c r="D46" s="25">
        <f>SUM(D42:D45)</f>
        <v>35802</v>
      </c>
      <c r="E46" s="25">
        <f>SUM(E42:E45)</f>
        <v>36686</v>
      </c>
    </row>
    <row r="47" spans="2:5" x14ac:dyDescent="0.55000000000000004">
      <c r="B47" s="28" t="s">
        <v>98</v>
      </c>
      <c r="C47" s="108">
        <v>219</v>
      </c>
      <c r="D47" s="25">
        <v>222</v>
      </c>
      <c r="E47" s="25">
        <v>219</v>
      </c>
    </row>
    <row r="48" spans="2:5" x14ac:dyDescent="0.55000000000000004">
      <c r="B48" s="29" t="s">
        <v>99</v>
      </c>
      <c r="C48" s="108">
        <v>33003</v>
      </c>
      <c r="D48" s="16">
        <f>D46+D47</f>
        <v>36024</v>
      </c>
      <c r="E48" s="16">
        <f>E46+E47</f>
        <v>36905</v>
      </c>
    </row>
    <row r="49" spans="2:5" x14ac:dyDescent="0.55000000000000004">
      <c r="B49" s="36" t="s">
        <v>115</v>
      </c>
      <c r="C49" s="32">
        <v>72548</v>
      </c>
      <c r="D49" s="32">
        <f>D39+D48</f>
        <v>75196</v>
      </c>
      <c r="E49" s="32">
        <f>E39+E48</f>
        <v>74438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C7BA-29A0-4371-BAE5-EE70DFCC2227}">
  <dimension ref="B1:AJ68"/>
  <sheetViews>
    <sheetView showGridLines="0" zoomScale="80" zoomScaleNormal="80" workbookViewId="0">
      <selection activeCell="E38" sqref="E38"/>
    </sheetView>
  </sheetViews>
  <sheetFormatPr defaultColWidth="9.15625" defaultRowHeight="14.4" outlineLevelRow="1" outlineLevelCol="1" x14ac:dyDescent="0.55000000000000004"/>
  <cols>
    <col min="1" max="1" width="9.15625" style="12"/>
    <col min="2" max="2" width="45.734375" style="12" customWidth="1"/>
    <col min="3" max="4" width="16.734375" style="12" hidden="1" customWidth="1" outlineLevel="1"/>
    <col min="5" max="5" width="16.734375" style="12" customWidth="1" collapsed="1"/>
    <col min="6" max="6" width="16.734375" style="12" hidden="1" customWidth="1" outlineLevel="1"/>
    <col min="7" max="7" width="17.5234375" style="12" hidden="1" customWidth="1" outlineLevel="1"/>
    <col min="8" max="8" width="17.5234375" style="12" customWidth="1" collapsed="1"/>
    <col min="9" max="10" width="17.5234375" style="12" hidden="1" customWidth="1" outlineLevel="1"/>
    <col min="11" max="11" width="17.5234375" style="12" customWidth="1" collapsed="1"/>
    <col min="12" max="13" width="17.5234375" style="12" hidden="1" customWidth="1" outlineLevel="1"/>
    <col min="14" max="14" width="17.5234375" style="12" customWidth="1" collapsed="1"/>
    <col min="15" max="16" width="17.5234375" style="12" hidden="1" customWidth="1" outlineLevel="1"/>
    <col min="17" max="17" width="17.5234375" style="12" customWidth="1" collapsed="1"/>
    <col min="18" max="19" width="17.5234375" style="12" hidden="1" customWidth="1" outlineLevel="1"/>
    <col min="20" max="20" width="17.5234375" style="12" customWidth="1" collapsed="1"/>
    <col min="21" max="22" width="17.5234375" style="12" hidden="1" customWidth="1" outlineLevel="1"/>
    <col min="23" max="23" width="17.5234375" style="12" customWidth="1" collapsed="1"/>
    <col min="24" max="25" width="17.5234375" style="12" hidden="1" customWidth="1" outlineLevel="1"/>
    <col min="26" max="26" width="17.5234375" style="12" customWidth="1" collapsed="1"/>
    <col min="27" max="16384" width="9.15625" style="12"/>
  </cols>
  <sheetData>
    <row r="1" spans="2:36" x14ac:dyDescent="0.55000000000000004">
      <c r="L1" s="39"/>
    </row>
    <row r="2" spans="2:36" x14ac:dyDescent="0.55000000000000004">
      <c r="B2" s="20" t="s">
        <v>111</v>
      </c>
      <c r="C2" s="21"/>
      <c r="D2" s="21"/>
      <c r="E2" s="21"/>
      <c r="F2" s="21"/>
      <c r="G2" s="22"/>
      <c r="H2" s="22"/>
      <c r="I2" s="22"/>
      <c r="J2" s="22"/>
      <c r="K2" s="22"/>
      <c r="L2" s="38"/>
      <c r="M2" s="21"/>
      <c r="N2" s="21"/>
      <c r="O2" s="21"/>
      <c r="P2" s="21"/>
      <c r="Q2" s="21"/>
      <c r="R2" s="21"/>
      <c r="S2" s="21"/>
      <c r="T2" s="21"/>
      <c r="U2" s="60"/>
      <c r="V2" s="21"/>
      <c r="W2" s="21"/>
      <c r="X2" s="21"/>
      <c r="Y2" s="21"/>
      <c r="Z2" s="21"/>
    </row>
    <row r="3" spans="2:36" x14ac:dyDescent="0.55000000000000004">
      <c r="B3" s="4" t="s">
        <v>116</v>
      </c>
      <c r="C3" s="198" t="s">
        <v>102</v>
      </c>
      <c r="D3" s="198"/>
      <c r="E3" s="198"/>
      <c r="F3" s="198" t="s">
        <v>134</v>
      </c>
      <c r="G3" s="198"/>
      <c r="H3" s="198"/>
      <c r="I3" s="198" t="s">
        <v>135</v>
      </c>
      <c r="J3" s="198"/>
      <c r="K3" s="198"/>
      <c r="L3" s="199" t="s">
        <v>142</v>
      </c>
      <c r="M3" s="198"/>
      <c r="N3" s="198"/>
      <c r="O3" s="198" t="s">
        <v>143</v>
      </c>
      <c r="P3" s="198"/>
      <c r="Q3" s="198"/>
      <c r="R3" s="198" t="s">
        <v>144</v>
      </c>
      <c r="S3" s="198"/>
      <c r="T3" s="198"/>
      <c r="U3" s="198" t="s">
        <v>145</v>
      </c>
      <c r="V3" s="198"/>
      <c r="W3" s="198"/>
      <c r="X3" s="198" t="s">
        <v>146</v>
      </c>
      <c r="Y3" s="198"/>
      <c r="Z3" s="198"/>
    </row>
    <row r="4" spans="2:36" x14ac:dyDescent="0.55000000000000004">
      <c r="B4" s="7" t="s">
        <v>101</v>
      </c>
      <c r="C4" s="40" t="s">
        <v>117</v>
      </c>
      <c r="D4" s="40" t="s">
        <v>118</v>
      </c>
      <c r="E4" s="40" t="s">
        <v>119</v>
      </c>
      <c r="F4" s="40" t="s">
        <v>117</v>
      </c>
      <c r="G4" s="40" t="s">
        <v>118</v>
      </c>
      <c r="H4" s="40" t="s">
        <v>119</v>
      </c>
      <c r="I4" s="40" t="s">
        <v>117</v>
      </c>
      <c r="J4" s="40" t="s">
        <v>118</v>
      </c>
      <c r="K4" s="40" t="s">
        <v>119</v>
      </c>
      <c r="L4" s="42" t="s">
        <v>117</v>
      </c>
      <c r="M4" s="40" t="s">
        <v>118</v>
      </c>
      <c r="N4" s="40" t="s">
        <v>119</v>
      </c>
      <c r="O4" s="40" t="s">
        <v>117</v>
      </c>
      <c r="P4" s="40" t="s">
        <v>118</v>
      </c>
      <c r="Q4" s="40" t="s">
        <v>119</v>
      </c>
      <c r="R4" s="40" t="s">
        <v>117</v>
      </c>
      <c r="S4" s="40" t="s">
        <v>118</v>
      </c>
      <c r="T4" s="40" t="s">
        <v>119</v>
      </c>
      <c r="U4" s="40" t="s">
        <v>117</v>
      </c>
      <c r="V4" s="40" t="s">
        <v>118</v>
      </c>
      <c r="W4" s="40" t="s">
        <v>119</v>
      </c>
      <c r="X4" s="40" t="s">
        <v>117</v>
      </c>
      <c r="Y4" s="40" t="s">
        <v>118</v>
      </c>
      <c r="Z4" s="40" t="s">
        <v>119</v>
      </c>
    </row>
    <row r="5" spans="2:36" x14ac:dyDescent="0.55000000000000004">
      <c r="B5" s="48" t="s">
        <v>136</v>
      </c>
      <c r="C5" s="18"/>
      <c r="D5" s="18"/>
      <c r="E5" s="18"/>
      <c r="F5" s="18"/>
      <c r="G5" s="18"/>
      <c r="H5" s="18"/>
      <c r="I5" s="18"/>
      <c r="J5" s="18"/>
      <c r="K5" s="18"/>
      <c r="L5" s="61"/>
      <c r="M5" s="47"/>
      <c r="N5" s="47"/>
      <c r="O5" s="47"/>
      <c r="P5" s="47"/>
      <c r="Q5" s="47"/>
      <c r="R5" s="47"/>
      <c r="S5" s="47"/>
    </row>
    <row r="6" spans="2:36" hidden="1" outlineLevel="1" x14ac:dyDescent="0.55000000000000004">
      <c r="B6" s="44" t="s">
        <v>120</v>
      </c>
      <c r="C6" s="14">
        <v>0</v>
      </c>
      <c r="D6" s="24">
        <v>3209</v>
      </c>
      <c r="E6" s="24">
        <f>SUM(C6:D6)</f>
        <v>3209</v>
      </c>
      <c r="F6" s="14">
        <v>0</v>
      </c>
      <c r="G6" s="24">
        <v>3539</v>
      </c>
      <c r="H6" s="24">
        <f>SUM(F6:G6)</f>
        <v>3539</v>
      </c>
      <c r="I6" s="14">
        <v>0</v>
      </c>
      <c r="J6" s="24">
        <v>3728</v>
      </c>
      <c r="K6" s="24">
        <f>SUM(I6:J6)</f>
        <v>3728</v>
      </c>
      <c r="L6" s="43"/>
      <c r="P6" s="2"/>
      <c r="Q6"/>
      <c r="R6"/>
      <c r="S6"/>
      <c r="T6"/>
      <c r="V6" s="37"/>
      <c r="W6"/>
      <c r="X6"/>
      <c r="Y6"/>
      <c r="Z6"/>
      <c r="AA6"/>
      <c r="AB6"/>
      <c r="AC6"/>
      <c r="AD6"/>
      <c r="AF6" s="37"/>
      <c r="AG6"/>
      <c r="AH6"/>
      <c r="AI6"/>
      <c r="AJ6"/>
    </row>
    <row r="7" spans="2:36" s="52" customFormat="1" hidden="1" outlineLevel="1" x14ac:dyDescent="0.55000000000000004">
      <c r="B7" s="50" t="s">
        <v>141</v>
      </c>
      <c r="C7" s="53"/>
      <c r="D7" s="54"/>
      <c r="E7" s="54"/>
      <c r="F7" s="53"/>
      <c r="G7" s="54"/>
      <c r="H7" s="51">
        <f>H6/E6-1</f>
        <v>0.10283577438454339</v>
      </c>
      <c r="I7" s="53"/>
      <c r="J7" s="54"/>
      <c r="K7" s="51">
        <f>K6/H6-1</f>
        <v>5.3404916643119416E-2</v>
      </c>
      <c r="L7" s="62"/>
      <c r="N7" s="63"/>
      <c r="P7" s="55"/>
      <c r="Q7" s="56"/>
      <c r="R7" s="56"/>
      <c r="S7" s="56"/>
      <c r="T7" s="56"/>
      <c r="V7" s="57"/>
      <c r="W7" s="56"/>
      <c r="X7" s="56"/>
      <c r="Y7" s="56"/>
      <c r="Z7" s="56"/>
      <c r="AA7" s="56"/>
      <c r="AB7" s="56"/>
      <c r="AC7" s="56"/>
      <c r="AD7" s="56"/>
      <c r="AF7" s="57"/>
      <c r="AG7" s="56"/>
      <c r="AH7" s="56"/>
      <c r="AI7" s="56"/>
      <c r="AJ7" s="56"/>
    </row>
    <row r="8" spans="2:36" hidden="1" outlineLevel="1" x14ac:dyDescent="0.55000000000000004">
      <c r="B8" s="50" t="s">
        <v>140</v>
      </c>
      <c r="C8" s="59"/>
      <c r="D8" s="59"/>
      <c r="E8" s="59">
        <f>E6/$E$67</f>
        <v>9.2724225612575123E-2</v>
      </c>
      <c r="F8" s="59"/>
      <c r="G8" s="59"/>
      <c r="H8" s="59">
        <f>H6/$H$67</f>
        <v>8.2159024956471274E-2</v>
      </c>
      <c r="I8" s="59"/>
      <c r="J8" s="59"/>
      <c r="K8" s="59">
        <f>K6/$K$67</f>
        <v>8.5400774288135986E-2</v>
      </c>
      <c r="L8" s="43"/>
      <c r="P8" s="2"/>
      <c r="Q8"/>
      <c r="R8"/>
      <c r="S8"/>
      <c r="T8"/>
      <c r="V8" s="37"/>
      <c r="W8"/>
      <c r="X8"/>
      <c r="Y8"/>
      <c r="Z8"/>
      <c r="AA8"/>
      <c r="AB8"/>
      <c r="AC8"/>
      <c r="AD8"/>
      <c r="AF8" s="37"/>
      <c r="AG8"/>
      <c r="AH8"/>
      <c r="AI8"/>
      <c r="AJ8"/>
    </row>
    <row r="9" spans="2:36" hidden="1" outlineLevel="1" x14ac:dyDescent="0.55000000000000004">
      <c r="B9" s="44" t="s">
        <v>42</v>
      </c>
      <c r="C9" s="14">
        <v>0</v>
      </c>
      <c r="D9" s="25">
        <v>1094</v>
      </c>
      <c r="E9" s="24">
        <f>SUM(C9:D9)</f>
        <v>1094</v>
      </c>
      <c r="F9" s="14">
        <v>0</v>
      </c>
      <c r="G9" s="25">
        <v>1179</v>
      </c>
      <c r="H9" s="25">
        <f>SUM(F9:G9)</f>
        <v>1179</v>
      </c>
      <c r="I9" s="14">
        <v>0</v>
      </c>
      <c r="J9" s="25">
        <v>1184</v>
      </c>
      <c r="K9" s="25">
        <f>SUM(I9:J9)</f>
        <v>1184</v>
      </c>
      <c r="L9" s="43"/>
      <c r="P9" s="3"/>
      <c r="Q9"/>
      <c r="R9"/>
      <c r="S9"/>
      <c r="T9"/>
      <c r="V9" s="37"/>
      <c r="W9"/>
      <c r="X9"/>
      <c r="Y9"/>
      <c r="Z9"/>
      <c r="AA9"/>
      <c r="AB9"/>
      <c r="AC9"/>
      <c r="AD9"/>
      <c r="AF9" s="37"/>
      <c r="AG9"/>
      <c r="AH9"/>
      <c r="AI9"/>
      <c r="AJ9"/>
    </row>
    <row r="10" spans="2:36" hidden="1" outlineLevel="1" x14ac:dyDescent="0.55000000000000004">
      <c r="B10" s="50" t="s">
        <v>141</v>
      </c>
      <c r="C10" s="53"/>
      <c r="D10" s="54"/>
      <c r="E10" s="54"/>
      <c r="F10" s="53"/>
      <c r="G10" s="54"/>
      <c r="H10" s="51">
        <f>H9/E9-1</f>
        <v>7.7696526508226782E-2</v>
      </c>
      <c r="I10" s="53"/>
      <c r="J10" s="54"/>
      <c r="K10" s="51">
        <f>K9/H9-1</f>
        <v>4.2408821034776167E-3</v>
      </c>
      <c r="L10" s="43"/>
      <c r="P10" s="3"/>
      <c r="Q10"/>
      <c r="R10"/>
      <c r="S10"/>
      <c r="T10"/>
      <c r="V10" s="37"/>
      <c r="W10"/>
      <c r="X10"/>
      <c r="Y10"/>
      <c r="Z10"/>
      <c r="AA10"/>
      <c r="AB10"/>
      <c r="AC10"/>
      <c r="AD10"/>
      <c r="AF10" s="37"/>
      <c r="AG10"/>
      <c r="AH10"/>
      <c r="AI10"/>
      <c r="AJ10"/>
    </row>
    <row r="11" spans="2:36" hidden="1" outlineLevel="1" x14ac:dyDescent="0.55000000000000004">
      <c r="B11" s="50" t="s">
        <v>140</v>
      </c>
      <c r="C11" s="53"/>
      <c r="D11" s="54"/>
      <c r="E11" s="54"/>
      <c r="F11" s="53"/>
      <c r="G11" s="54"/>
      <c r="H11" s="51"/>
      <c r="I11" s="53"/>
      <c r="J11" s="54"/>
      <c r="K11" s="51"/>
      <c r="L11" s="43"/>
      <c r="P11" s="3"/>
      <c r="Q11"/>
      <c r="R11"/>
      <c r="S11"/>
      <c r="T11"/>
      <c r="V11" s="37"/>
      <c r="W11"/>
      <c r="X11"/>
      <c r="Y11"/>
      <c r="Z11"/>
      <c r="AA11"/>
      <c r="AB11"/>
      <c r="AC11"/>
      <c r="AD11"/>
      <c r="AF11" s="37"/>
      <c r="AG11"/>
      <c r="AH11"/>
      <c r="AI11"/>
      <c r="AJ11"/>
    </row>
    <row r="12" spans="2:36" collapsed="1" x14ac:dyDescent="0.55000000000000004">
      <c r="B12" s="67" t="s">
        <v>119</v>
      </c>
      <c r="C12" s="27">
        <f>SUM(C6:C9)</f>
        <v>0</v>
      </c>
      <c r="D12" s="27">
        <f>SUM(D6:D9)</f>
        <v>4303</v>
      </c>
      <c r="E12" s="27">
        <f>SUM(C12:D12)</f>
        <v>4303</v>
      </c>
      <c r="F12" s="27">
        <f>SUM(F6:F9)</f>
        <v>0</v>
      </c>
      <c r="G12" s="27">
        <f>SUM(G6:G9)</f>
        <v>4718</v>
      </c>
      <c r="H12" s="27">
        <f>SUM(F12:G12)</f>
        <v>4718</v>
      </c>
      <c r="I12" s="27">
        <f>SUM(I6:I9)</f>
        <v>0</v>
      </c>
      <c r="J12" s="27">
        <f>SUM(J6:J9)</f>
        <v>4912</v>
      </c>
      <c r="K12" s="27">
        <f>SUM(I12:J12)</f>
        <v>4912</v>
      </c>
      <c r="L12" s="27">
        <f t="shared" ref="L12:M12" si="0">SUM(L6:L9)</f>
        <v>0</v>
      </c>
      <c r="M12" s="27">
        <f t="shared" si="0"/>
        <v>0</v>
      </c>
      <c r="N12" s="27">
        <f>K12*(1+N13)</f>
        <v>4813.76</v>
      </c>
      <c r="O12" s="27">
        <f t="shared" ref="O12:Q12" si="1">L12*(1+O13)</f>
        <v>0</v>
      </c>
      <c r="P12" s="27">
        <f t="shared" si="1"/>
        <v>0</v>
      </c>
      <c r="Q12" s="27">
        <f t="shared" si="1"/>
        <v>5054.4480000000003</v>
      </c>
      <c r="R12" s="27">
        <f t="shared" ref="R12" si="2">O12*(1+R13)</f>
        <v>0</v>
      </c>
      <c r="S12" s="27">
        <f t="shared" ref="S12" si="3">P12*(1+S13)</f>
        <v>0</v>
      </c>
      <c r="T12" s="27">
        <f t="shared" ref="T12" si="4">Q12*(1+T13)</f>
        <v>5307.1704000000009</v>
      </c>
      <c r="U12" s="27">
        <f t="shared" ref="U12" si="5">R12*(1+U13)</f>
        <v>0</v>
      </c>
      <c r="V12" s="27">
        <f t="shared" ref="V12" si="6">S12*(1+V13)</f>
        <v>0</v>
      </c>
      <c r="W12" s="27">
        <f t="shared" ref="W12" si="7">T12*(1+W13)</f>
        <v>5545.9930680000007</v>
      </c>
      <c r="X12" s="27">
        <f t="shared" ref="X12" si="8">U12*(1+X13)</f>
        <v>0</v>
      </c>
      <c r="Y12" s="27">
        <f t="shared" ref="Y12" si="9">V12*(1+Y13)</f>
        <v>0</v>
      </c>
      <c r="Z12" s="27">
        <f t="shared" ref="Z12" si="10">W12*(1+Z13)</f>
        <v>5795.5627560600005</v>
      </c>
      <c r="AA12"/>
      <c r="AB12"/>
      <c r="AC12"/>
      <c r="AD12"/>
      <c r="AF12" s="37"/>
      <c r="AG12"/>
      <c r="AH12"/>
      <c r="AI12"/>
      <c r="AJ12"/>
    </row>
    <row r="13" spans="2:36" x14ac:dyDescent="0.55000000000000004">
      <c r="B13" s="50" t="s">
        <v>141</v>
      </c>
      <c r="C13" s="64"/>
      <c r="D13" s="64"/>
      <c r="E13" s="51"/>
      <c r="F13" s="53"/>
      <c r="G13" s="54"/>
      <c r="H13" s="51">
        <f>H12/E12-1</f>
        <v>9.6444341157332136E-2</v>
      </c>
      <c r="I13" s="53"/>
      <c r="J13" s="54"/>
      <c r="K13" s="51">
        <f>K12/H12-1</f>
        <v>4.1119118270453558E-2</v>
      </c>
      <c r="L13" s="65"/>
      <c r="M13" s="66"/>
      <c r="N13" s="69">
        <v>-0.02</v>
      </c>
      <c r="O13" s="69"/>
      <c r="P13" s="69"/>
      <c r="Q13" s="69">
        <v>0.05</v>
      </c>
      <c r="R13" s="69"/>
      <c r="S13" s="69"/>
      <c r="T13" s="69">
        <v>0.05</v>
      </c>
      <c r="U13" s="69"/>
      <c r="V13" s="69"/>
      <c r="W13" s="69">
        <v>4.4999999999999998E-2</v>
      </c>
      <c r="X13" s="69">
        <v>4.4999999999999998E-2</v>
      </c>
      <c r="Y13" s="69">
        <v>4.4999999999999998E-2</v>
      </c>
      <c r="Z13" s="69">
        <v>4.4999999999999998E-2</v>
      </c>
      <c r="AA13"/>
      <c r="AB13"/>
      <c r="AC13"/>
      <c r="AD13"/>
      <c r="AF13" s="37"/>
      <c r="AG13"/>
      <c r="AH13"/>
      <c r="AI13"/>
      <c r="AJ13"/>
    </row>
    <row r="14" spans="2:36" x14ac:dyDescent="0.55000000000000004">
      <c r="B14" s="50" t="s">
        <v>140</v>
      </c>
      <c r="C14" s="64"/>
      <c r="D14" s="64"/>
      <c r="E14" s="51">
        <f>E12/E$67</f>
        <v>0.12433541377716135</v>
      </c>
      <c r="F14" s="51">
        <f t="shared" ref="F14:K14" si="11">F12/F$67</f>
        <v>0</v>
      </c>
      <c r="G14" s="51">
        <f t="shared" si="11"/>
        <v>0.17848900994968411</v>
      </c>
      <c r="H14" s="51">
        <f t="shared" si="11"/>
        <v>0.10952988972721997</v>
      </c>
      <c r="I14" s="51">
        <f t="shared" si="11"/>
        <v>0</v>
      </c>
      <c r="J14" s="51">
        <f t="shared" si="11"/>
        <v>0.1925443926149504</v>
      </c>
      <c r="K14" s="51">
        <f t="shared" si="11"/>
        <v>0.11252376698050535</v>
      </c>
      <c r="L14" s="65"/>
      <c r="M14" s="66"/>
      <c r="N14" s="69">
        <f>N12/N67</f>
        <v>0.12077897036439608</v>
      </c>
      <c r="O14" s="69"/>
      <c r="P14" s="69"/>
      <c r="Q14" s="69">
        <f>Q12/Q$67</f>
        <v>0.12079214561885411</v>
      </c>
      <c r="R14" s="69" t="e">
        <f t="shared" ref="R14:Z14" si="12">R12/R$67</f>
        <v>#DIV/0!</v>
      </c>
      <c r="S14" s="69" t="e">
        <f t="shared" si="12"/>
        <v>#DIV/0!</v>
      </c>
      <c r="T14" s="69">
        <f t="shared" si="12"/>
        <v>0.12059115645622766</v>
      </c>
      <c r="U14" s="69" t="e">
        <f t="shared" si="12"/>
        <v>#DIV/0!</v>
      </c>
      <c r="V14" s="69" t="e">
        <f t="shared" si="12"/>
        <v>#DIV/0!</v>
      </c>
      <c r="W14" s="69">
        <f t="shared" si="12"/>
        <v>0.1183025629865358</v>
      </c>
      <c r="X14" s="69" t="e">
        <f t="shared" si="12"/>
        <v>#DIV/0!</v>
      </c>
      <c r="Y14" s="69" t="e">
        <f t="shared" si="12"/>
        <v>#DIV/0!</v>
      </c>
      <c r="Z14" s="69">
        <f t="shared" si="12"/>
        <v>0.11538202604935482</v>
      </c>
      <c r="AA14"/>
      <c r="AB14"/>
      <c r="AC14"/>
      <c r="AD14"/>
      <c r="AF14" s="37"/>
      <c r="AG14"/>
      <c r="AH14"/>
      <c r="AI14"/>
      <c r="AJ14"/>
    </row>
    <row r="15" spans="2:36" x14ac:dyDescent="0.55000000000000004">
      <c r="B15" s="18" t="s">
        <v>137</v>
      </c>
      <c r="E15" s="41"/>
      <c r="H15" s="41"/>
      <c r="K15" s="41"/>
      <c r="L15" s="43"/>
      <c r="P15"/>
      <c r="Q15"/>
      <c r="R15"/>
      <c r="S15"/>
      <c r="T15"/>
      <c r="V15"/>
      <c r="W15"/>
      <c r="X15"/>
      <c r="Y15"/>
      <c r="Z15"/>
      <c r="AA15"/>
      <c r="AB15"/>
      <c r="AC15"/>
      <c r="AD15"/>
      <c r="AF15"/>
      <c r="AG15"/>
      <c r="AH15"/>
      <c r="AI15"/>
      <c r="AJ15"/>
    </row>
    <row r="16" spans="2:36" hidden="1" outlineLevel="1" x14ac:dyDescent="0.55000000000000004">
      <c r="B16" s="44" t="s">
        <v>121</v>
      </c>
      <c r="C16" s="25">
        <v>1987</v>
      </c>
      <c r="D16" s="25">
        <v>2140</v>
      </c>
      <c r="E16" s="25">
        <f t="shared" ref="E16:E19" si="13">SUM(C16:D16)</f>
        <v>4127</v>
      </c>
      <c r="F16" s="25">
        <v>2192</v>
      </c>
      <c r="G16" s="25">
        <v>2106</v>
      </c>
      <c r="H16" s="25">
        <f t="shared" ref="H16" si="14">SUM(F16:G16)</f>
        <v>4298</v>
      </c>
      <c r="I16" s="25">
        <v>1562</v>
      </c>
      <c r="J16" s="25">
        <v>1919</v>
      </c>
      <c r="K16" s="25">
        <f t="shared" ref="K16" si="15">SUM(I16:J16)</f>
        <v>3481</v>
      </c>
      <c r="L16" s="43"/>
      <c r="P16" s="3"/>
      <c r="Q16"/>
      <c r="R16"/>
      <c r="S16"/>
      <c r="T16"/>
      <c r="V16" s="3"/>
      <c r="W16"/>
      <c r="X16"/>
      <c r="Y16"/>
      <c r="Z16"/>
      <c r="AA16"/>
      <c r="AB16"/>
      <c r="AC16"/>
      <c r="AD16"/>
      <c r="AF16" s="3"/>
      <c r="AG16"/>
      <c r="AH16"/>
      <c r="AI16"/>
      <c r="AJ16"/>
    </row>
    <row r="17" spans="2:36" hidden="1" outlineLevel="1" x14ac:dyDescent="0.55000000000000004">
      <c r="B17" s="50" t="s">
        <v>141</v>
      </c>
      <c r="C17" s="53"/>
      <c r="D17" s="54"/>
      <c r="E17" s="54"/>
      <c r="F17" s="53"/>
      <c r="G17" s="54"/>
      <c r="H17" s="51">
        <f>H16/E16-1</f>
        <v>4.1434456021322896E-2</v>
      </c>
      <c r="I17" s="53"/>
      <c r="J17" s="54"/>
      <c r="K17" s="51">
        <f>K16/H16-1</f>
        <v>-0.190088413215449</v>
      </c>
      <c r="L17" s="43"/>
      <c r="P17" s="3"/>
      <c r="Q17"/>
      <c r="R17"/>
      <c r="S17"/>
      <c r="T17"/>
      <c r="V17" s="3"/>
      <c r="W17"/>
      <c r="X17"/>
      <c r="Y17"/>
      <c r="Z17"/>
      <c r="AA17"/>
      <c r="AB17"/>
      <c r="AC17"/>
      <c r="AD17"/>
      <c r="AF17" s="3"/>
      <c r="AG17"/>
      <c r="AH17"/>
      <c r="AI17"/>
      <c r="AJ17"/>
    </row>
    <row r="18" spans="2:36" hidden="1" outlineLevel="1" x14ac:dyDescent="0.55000000000000004">
      <c r="B18" s="50" t="s">
        <v>140</v>
      </c>
      <c r="C18" s="59"/>
      <c r="D18" s="59"/>
      <c r="E18" s="59">
        <f>E16/$E$67</f>
        <v>0.11924988441978733</v>
      </c>
      <c r="F18" s="59"/>
      <c r="G18" s="59"/>
      <c r="H18" s="59">
        <f>H16/$H$67</f>
        <v>9.977945443993036E-2</v>
      </c>
      <c r="I18" s="59"/>
      <c r="J18" s="59"/>
      <c r="K18" s="59">
        <f>K16/$K$67</f>
        <v>7.9742514832886635E-2</v>
      </c>
      <c r="L18" s="43"/>
      <c r="P18" s="3"/>
      <c r="Q18"/>
      <c r="R18"/>
      <c r="S18"/>
      <c r="T18"/>
      <c r="V18" s="3"/>
      <c r="W18"/>
      <c r="X18"/>
      <c r="Y18"/>
      <c r="Z18"/>
      <c r="AA18"/>
      <c r="AB18"/>
      <c r="AC18"/>
      <c r="AD18"/>
      <c r="AF18" s="3"/>
      <c r="AG18"/>
      <c r="AH18"/>
      <c r="AI18"/>
      <c r="AJ18"/>
    </row>
    <row r="19" spans="2:36" hidden="1" outlineLevel="1" x14ac:dyDescent="0.55000000000000004">
      <c r="B19" s="44" t="s">
        <v>122</v>
      </c>
      <c r="C19" s="25">
        <v>1292</v>
      </c>
      <c r="D19" s="25">
        <v>2228</v>
      </c>
      <c r="E19" s="25">
        <f t="shared" si="13"/>
        <v>3520</v>
      </c>
      <c r="F19" s="25">
        <v>1364</v>
      </c>
      <c r="G19" s="25">
        <v>2632</v>
      </c>
      <c r="H19" s="25">
        <f t="shared" ref="H19" si="16">SUM(F19:G19)</f>
        <v>3996</v>
      </c>
      <c r="I19" s="25">
        <v>1357</v>
      </c>
      <c r="J19" s="25">
        <v>2621</v>
      </c>
      <c r="K19" s="25">
        <f t="shared" ref="K19" si="17">SUM(I19:J19)</f>
        <v>3978</v>
      </c>
      <c r="L19" s="43"/>
      <c r="P19" s="3"/>
      <c r="Q19"/>
      <c r="R19"/>
      <c r="S19"/>
      <c r="T19"/>
      <c r="V19" s="3"/>
      <c r="W19"/>
      <c r="X19"/>
      <c r="Y19"/>
      <c r="Z19"/>
      <c r="AA19"/>
      <c r="AB19"/>
      <c r="AC19"/>
      <c r="AD19"/>
      <c r="AF19" s="3"/>
      <c r="AG19"/>
      <c r="AH19"/>
      <c r="AI19"/>
      <c r="AJ19"/>
    </row>
    <row r="20" spans="2:36" hidden="1" outlineLevel="1" x14ac:dyDescent="0.55000000000000004">
      <c r="B20" s="50" t="s">
        <v>141</v>
      </c>
      <c r="C20" s="53"/>
      <c r="D20" s="54"/>
      <c r="E20" s="54"/>
      <c r="F20" s="53"/>
      <c r="G20" s="54"/>
      <c r="H20" s="51">
        <f>H19/E19-1</f>
        <v>0.13522727272727275</v>
      </c>
      <c r="I20" s="53"/>
      <c r="J20" s="54"/>
      <c r="K20" s="51">
        <f>K19/H19-1</f>
        <v>-4.5045045045044585E-3</v>
      </c>
      <c r="L20" s="43"/>
      <c r="P20" s="3"/>
      <c r="Q20"/>
      <c r="R20"/>
      <c r="S20"/>
      <c r="T20"/>
      <c r="V20" s="3"/>
      <c r="W20"/>
      <c r="X20"/>
      <c r="Y20"/>
      <c r="Z20"/>
      <c r="AA20"/>
      <c r="AB20"/>
      <c r="AC20"/>
      <c r="AD20"/>
      <c r="AF20" s="3"/>
      <c r="AG20"/>
      <c r="AH20"/>
      <c r="AI20"/>
      <c r="AJ20"/>
    </row>
    <row r="21" spans="2:36" hidden="1" outlineLevel="1" x14ac:dyDescent="0.55000000000000004">
      <c r="B21" s="50" t="s">
        <v>140</v>
      </c>
      <c r="C21" s="59"/>
      <c r="D21" s="59"/>
      <c r="E21" s="59">
        <f>E19/$E$67</f>
        <v>0.10171058714748035</v>
      </c>
      <c r="F21" s="59"/>
      <c r="G21" s="59"/>
      <c r="H21" s="59">
        <f>H19/$H$67</f>
        <v>9.2768427161926875E-2</v>
      </c>
      <c r="I21" s="59"/>
      <c r="J21" s="59"/>
      <c r="K21" s="59">
        <f>K19/$K$67</f>
        <v>9.1127757542436946E-2</v>
      </c>
      <c r="L21" s="43"/>
      <c r="P21" s="3"/>
      <c r="Q21"/>
      <c r="R21"/>
      <c r="S21"/>
      <c r="T21"/>
      <c r="V21" s="3"/>
      <c r="W21"/>
      <c r="X21"/>
      <c r="Y21"/>
      <c r="Z21"/>
      <c r="AA21"/>
      <c r="AB21"/>
      <c r="AC21"/>
      <c r="AD21"/>
      <c r="AF21" s="3"/>
      <c r="AG21"/>
      <c r="AH21"/>
      <c r="AI21"/>
      <c r="AJ21"/>
    </row>
    <row r="22" spans="2:36" collapsed="1" x14ac:dyDescent="0.55000000000000004">
      <c r="B22" s="67" t="s">
        <v>119</v>
      </c>
      <c r="C22" s="68">
        <f>SUM(C16:C19)</f>
        <v>3279</v>
      </c>
      <c r="D22" s="68">
        <f>SUM(D16:D19)</f>
        <v>4368</v>
      </c>
      <c r="E22" s="68">
        <f>SUM(C22:D22)</f>
        <v>7647</v>
      </c>
      <c r="F22" s="68">
        <f t="shared" ref="F22:I22" si="18">SUM(F16:F19)</f>
        <v>3556</v>
      </c>
      <c r="G22" s="68">
        <f t="shared" si="18"/>
        <v>4738</v>
      </c>
      <c r="H22" s="68">
        <f>SUM(F22:G22)</f>
        <v>8294</v>
      </c>
      <c r="I22" s="68">
        <f t="shared" si="18"/>
        <v>2919</v>
      </c>
      <c r="J22" s="68">
        <f>SUM(J16:J19)</f>
        <v>4540</v>
      </c>
      <c r="K22" s="68">
        <f>SUM(I22:J22)</f>
        <v>7459</v>
      </c>
      <c r="L22" s="68">
        <f t="shared" ref="L22" si="19">SUM(L16:L19)</f>
        <v>0</v>
      </c>
      <c r="M22" s="68">
        <f t="shared" ref="M22" si="20">SUM(M16:M19)</f>
        <v>0</v>
      </c>
      <c r="N22" s="27">
        <f>K22*(1+N23)</f>
        <v>6974.165</v>
      </c>
      <c r="O22" s="27">
        <f t="shared" ref="O22:Q22" si="21">L22*(1+O23)</f>
        <v>0</v>
      </c>
      <c r="P22" s="27">
        <f t="shared" si="21"/>
        <v>0</v>
      </c>
      <c r="Q22" s="27">
        <f t="shared" si="21"/>
        <v>7322.8732500000006</v>
      </c>
      <c r="R22" s="27">
        <f t="shared" ref="R22" si="22">O22*(1+R23)</f>
        <v>0</v>
      </c>
      <c r="S22" s="27">
        <f t="shared" ref="S22" si="23">P22*(1+S23)</f>
        <v>0</v>
      </c>
      <c r="T22" s="27">
        <f t="shared" ref="T22" si="24">Q22*(1+T23)</f>
        <v>7762.2456450000009</v>
      </c>
      <c r="U22" s="27">
        <f t="shared" ref="U22" si="25">R22*(1+U23)</f>
        <v>0</v>
      </c>
      <c r="V22" s="27">
        <f t="shared" ref="V22" si="26">S22*(1+V23)</f>
        <v>0</v>
      </c>
      <c r="W22" s="27">
        <f t="shared" ref="W22" si="27">T22*(1+W23)</f>
        <v>8305.6028401500007</v>
      </c>
      <c r="X22" s="27">
        <f t="shared" ref="X22" si="28">U22*(1+X23)</f>
        <v>0</v>
      </c>
      <c r="Y22" s="27">
        <f t="shared" ref="Y22" si="29">V22*(1+Y23)</f>
        <v>0</v>
      </c>
      <c r="Z22" s="27">
        <f t="shared" ref="Z22" si="30">W22*(1+Z23)</f>
        <v>8928.5230531612506</v>
      </c>
      <c r="AA22"/>
      <c r="AB22"/>
      <c r="AC22"/>
      <c r="AD22"/>
      <c r="AF22" s="3"/>
      <c r="AG22"/>
      <c r="AH22"/>
      <c r="AI22"/>
      <c r="AJ22"/>
    </row>
    <row r="23" spans="2:36" x14ac:dyDescent="0.55000000000000004">
      <c r="B23" s="50" t="s">
        <v>141</v>
      </c>
      <c r="C23" s="64"/>
      <c r="D23" s="64"/>
      <c r="E23" s="54"/>
      <c r="F23" s="53"/>
      <c r="G23" s="54"/>
      <c r="H23" s="51">
        <f>H22/E22-1</f>
        <v>8.4608343141101106E-2</v>
      </c>
      <c r="I23" s="53"/>
      <c r="J23" s="54"/>
      <c r="K23" s="51">
        <f>K22/H22-1</f>
        <v>-0.10067518688208343</v>
      </c>
      <c r="L23" s="65"/>
      <c r="M23" s="66"/>
      <c r="N23" s="69">
        <v>-6.5000000000000002E-2</v>
      </c>
      <c r="O23" s="69"/>
      <c r="P23" s="69"/>
      <c r="Q23" s="69">
        <v>0.05</v>
      </c>
      <c r="R23" s="69"/>
      <c r="S23" s="69"/>
      <c r="T23" s="69">
        <v>0.06</v>
      </c>
      <c r="U23" s="69"/>
      <c r="V23" s="69"/>
      <c r="W23" s="69">
        <v>7.0000000000000007E-2</v>
      </c>
      <c r="X23" s="69"/>
      <c r="Y23" s="69"/>
      <c r="Z23" s="69">
        <v>7.4999999999999997E-2</v>
      </c>
      <c r="AA23"/>
      <c r="AB23"/>
      <c r="AC23"/>
      <c r="AD23"/>
      <c r="AF23" s="3"/>
      <c r="AG23"/>
      <c r="AH23"/>
      <c r="AI23"/>
      <c r="AJ23"/>
    </row>
    <row r="24" spans="2:36" x14ac:dyDescent="0.55000000000000004">
      <c r="B24" s="50" t="s">
        <v>140</v>
      </c>
      <c r="C24" s="64"/>
      <c r="D24" s="64"/>
      <c r="E24" s="51">
        <f>E22/E$67</f>
        <v>0.2209604715672677</v>
      </c>
      <c r="F24" s="51">
        <f t="shared" ref="F24:K24" si="31">F22/F$67</f>
        <v>0.21367624083643794</v>
      </c>
      <c r="G24" s="51">
        <f t="shared" si="31"/>
        <v>0.17924563991979722</v>
      </c>
      <c r="H24" s="51">
        <f t="shared" si="31"/>
        <v>0.19254788160185723</v>
      </c>
      <c r="I24" s="51">
        <f t="shared" si="31"/>
        <v>0.16089736522985337</v>
      </c>
      <c r="J24" s="51">
        <f t="shared" si="31"/>
        <v>0.17796244757163576</v>
      </c>
      <c r="K24" s="51">
        <f t="shared" si="31"/>
        <v>0.17087027237532357</v>
      </c>
      <c r="L24" s="65"/>
      <c r="M24" s="66"/>
      <c r="N24" s="69">
        <f>AVERAGE(E24:K24)</f>
        <v>0.18802290272888181</v>
      </c>
      <c r="O24" s="69"/>
      <c r="P24" s="69"/>
      <c r="Q24" s="69">
        <f>Q22/Q$67</f>
        <v>0.17500339739619666</v>
      </c>
      <c r="R24" s="69" t="e">
        <f t="shared" ref="R24:Z24" si="32">R22/R$67</f>
        <v>#DIV/0!</v>
      </c>
      <c r="S24" s="69" t="e">
        <f t="shared" si="32"/>
        <v>#DIV/0!</v>
      </c>
      <c r="T24" s="69">
        <f t="shared" si="32"/>
        <v>0.17637613049467316</v>
      </c>
      <c r="U24" s="69" t="e">
        <f t="shared" si="32"/>
        <v>#DIV/0!</v>
      </c>
      <c r="V24" s="69" t="e">
        <f t="shared" si="32"/>
        <v>#DIV/0!</v>
      </c>
      <c r="W24" s="69">
        <f t="shared" si="32"/>
        <v>0.17716828908557083</v>
      </c>
      <c r="X24" s="69" t="e">
        <f t="shared" si="32"/>
        <v>#DIV/0!</v>
      </c>
      <c r="Y24" s="69" t="e">
        <f t="shared" si="32"/>
        <v>#DIV/0!</v>
      </c>
      <c r="Z24" s="69">
        <f t="shared" si="32"/>
        <v>0.17775514179790741</v>
      </c>
      <c r="AA24"/>
      <c r="AB24"/>
      <c r="AC24"/>
      <c r="AD24"/>
      <c r="AF24" s="3"/>
      <c r="AG24"/>
      <c r="AH24"/>
      <c r="AI24"/>
      <c r="AJ24"/>
    </row>
    <row r="25" spans="2:36" x14ac:dyDescent="0.55000000000000004">
      <c r="B25" s="18" t="s">
        <v>138</v>
      </c>
      <c r="E25" s="41"/>
      <c r="H25" s="41"/>
      <c r="K25" s="41"/>
      <c r="L25" s="43"/>
      <c r="P25"/>
      <c r="Q25"/>
      <c r="R25"/>
      <c r="S25"/>
      <c r="T25"/>
      <c r="V25"/>
      <c r="W25"/>
      <c r="X25"/>
      <c r="Y25"/>
      <c r="Z25"/>
      <c r="AA25"/>
      <c r="AB25"/>
      <c r="AC25"/>
      <c r="AD25"/>
      <c r="AF25"/>
      <c r="AG25"/>
      <c r="AH25"/>
      <c r="AI25"/>
      <c r="AJ25"/>
    </row>
    <row r="26" spans="2:36" hidden="1" outlineLevel="1" x14ac:dyDescent="0.55000000000000004">
      <c r="B26" s="44" t="s">
        <v>123</v>
      </c>
      <c r="C26" s="25">
        <v>1166</v>
      </c>
      <c r="D26" s="25">
        <v>3309</v>
      </c>
      <c r="E26" s="25">
        <f t="shared" ref="E26:E35" si="33">SUM(C26:D26)</f>
        <v>4475</v>
      </c>
      <c r="F26" s="25">
        <v>1145</v>
      </c>
      <c r="G26" s="25">
        <v>3983</v>
      </c>
      <c r="H26" s="25">
        <f t="shared" ref="H26" si="34">SUM(F26:G26)</f>
        <v>5128</v>
      </c>
      <c r="I26" s="25">
        <v>1137</v>
      </c>
      <c r="J26" s="25">
        <v>3751</v>
      </c>
      <c r="K26" s="25">
        <f t="shared" ref="K26" si="35">SUM(I26:J26)</f>
        <v>4888</v>
      </c>
      <c r="L26" s="43"/>
      <c r="P26" s="3"/>
      <c r="Q26"/>
      <c r="R26"/>
      <c r="S26"/>
      <c r="T26"/>
      <c r="V26" s="3"/>
      <c r="W26"/>
      <c r="X26"/>
      <c r="Y26"/>
      <c r="Z26"/>
      <c r="AA26"/>
      <c r="AB26"/>
      <c r="AC26"/>
      <c r="AD26"/>
      <c r="AF26" s="3"/>
      <c r="AG26"/>
      <c r="AH26"/>
      <c r="AI26"/>
      <c r="AJ26"/>
    </row>
    <row r="27" spans="2:36" hidden="1" outlineLevel="1" x14ac:dyDescent="0.55000000000000004">
      <c r="B27" s="50" t="s">
        <v>141</v>
      </c>
      <c r="C27" s="53"/>
      <c r="D27" s="54"/>
      <c r="E27" s="54"/>
      <c r="F27" s="53"/>
      <c r="G27" s="54"/>
      <c r="H27" s="51">
        <f>H26/E26-1</f>
        <v>0.14592178770949715</v>
      </c>
      <c r="I27" s="53"/>
      <c r="J27" s="54"/>
      <c r="K27" s="51">
        <f>K26/H26-1</f>
        <v>-4.6801872074882955E-2</v>
      </c>
      <c r="L27" s="43"/>
      <c r="P27" s="3"/>
      <c r="Q27"/>
      <c r="R27"/>
      <c r="S27"/>
      <c r="T27"/>
      <c r="V27" s="3"/>
      <c r="W27"/>
      <c r="X27"/>
      <c r="Y27"/>
      <c r="Z27"/>
      <c r="AA27"/>
      <c r="AB27"/>
      <c r="AC27"/>
      <c r="AD27"/>
      <c r="AF27" s="3"/>
      <c r="AG27"/>
      <c r="AH27"/>
      <c r="AI27"/>
      <c r="AJ27"/>
    </row>
    <row r="28" spans="2:36" hidden="1" outlineLevel="1" x14ac:dyDescent="0.55000000000000004">
      <c r="B28" s="50" t="s">
        <v>140</v>
      </c>
      <c r="C28" s="59"/>
      <c r="D28" s="59"/>
      <c r="E28" s="59">
        <f>E26/$E$67</f>
        <v>0.12930536292186778</v>
      </c>
      <c r="F28" s="59"/>
      <c r="G28" s="59"/>
      <c r="H28" s="59">
        <f>H26/$H$67</f>
        <v>0.11904817179338363</v>
      </c>
      <c r="I28" s="59"/>
      <c r="J28" s="59"/>
      <c r="K28" s="59">
        <f>K26/$K$67</f>
        <v>0.11197397658809245</v>
      </c>
      <c r="L28" s="43"/>
      <c r="P28" s="3"/>
      <c r="Q28"/>
      <c r="R28"/>
      <c r="S28"/>
      <c r="T28"/>
      <c r="V28" s="3"/>
      <c r="W28"/>
      <c r="X28"/>
      <c r="Y28"/>
      <c r="Z28"/>
      <c r="AA28"/>
      <c r="AB28"/>
      <c r="AC28"/>
      <c r="AD28"/>
      <c r="AF28" s="3"/>
      <c r="AG28"/>
      <c r="AH28"/>
      <c r="AI28"/>
      <c r="AJ28"/>
    </row>
    <row r="29" spans="2:36" hidden="1" outlineLevel="1" x14ac:dyDescent="0.55000000000000004">
      <c r="B29" s="44" t="s">
        <v>124</v>
      </c>
      <c r="C29" s="25">
        <v>621</v>
      </c>
      <c r="D29" s="25">
        <v>817</v>
      </c>
      <c r="E29" s="25">
        <f t="shared" si="33"/>
        <v>1438</v>
      </c>
      <c r="F29" s="25">
        <v>566</v>
      </c>
      <c r="G29" s="25">
        <v>861</v>
      </c>
      <c r="H29" s="25">
        <f t="shared" ref="H29" si="36">SUM(F29:G29)</f>
        <v>1427</v>
      </c>
      <c r="I29" s="25">
        <v>370</v>
      </c>
      <c r="J29" s="25">
        <v>625</v>
      </c>
      <c r="K29" s="25">
        <f t="shared" ref="K29" si="37">SUM(I29:J29)</f>
        <v>995</v>
      </c>
      <c r="L29" s="43"/>
      <c r="P29" s="3"/>
      <c r="Q29"/>
      <c r="R29"/>
      <c r="S29"/>
      <c r="T29"/>
      <c r="V29" s="3"/>
      <c r="W29"/>
      <c r="X29"/>
      <c r="Y29"/>
      <c r="Z29"/>
      <c r="AA29"/>
      <c r="AB29"/>
      <c r="AC29"/>
      <c r="AD29"/>
      <c r="AF29" s="3"/>
      <c r="AG29"/>
      <c r="AH29"/>
      <c r="AI29"/>
      <c r="AJ29"/>
    </row>
    <row r="30" spans="2:36" hidden="1" outlineLevel="1" x14ac:dyDescent="0.55000000000000004">
      <c r="B30" s="50" t="s">
        <v>141</v>
      </c>
      <c r="C30" s="53"/>
      <c r="D30" s="54"/>
      <c r="E30" s="54"/>
      <c r="F30" s="53"/>
      <c r="G30" s="54"/>
      <c r="H30" s="51">
        <f>H29/E29-1</f>
        <v>-7.6495132127955001E-3</v>
      </c>
      <c r="I30" s="53"/>
      <c r="J30" s="54"/>
      <c r="K30" s="51">
        <f>K29/H29-1</f>
        <v>-0.30273300630693767</v>
      </c>
      <c r="L30" s="43"/>
      <c r="P30" s="3"/>
      <c r="Q30"/>
      <c r="R30"/>
      <c r="S30"/>
      <c r="T30"/>
      <c r="V30" s="3"/>
      <c r="W30"/>
      <c r="X30"/>
      <c r="Y30"/>
      <c r="Z30"/>
      <c r="AA30"/>
      <c r="AB30"/>
      <c r="AC30"/>
      <c r="AD30"/>
      <c r="AF30" s="3"/>
      <c r="AG30"/>
      <c r="AH30"/>
      <c r="AI30"/>
      <c r="AJ30"/>
    </row>
    <row r="31" spans="2:36" hidden="1" outlineLevel="1" x14ac:dyDescent="0.55000000000000004">
      <c r="B31" s="50" t="s">
        <v>140</v>
      </c>
      <c r="C31" s="59"/>
      <c r="D31" s="59"/>
      <c r="E31" s="59">
        <f>E29/$E$67</f>
        <v>4.1551086453999075E-2</v>
      </c>
      <c r="F31" s="59"/>
      <c r="G31" s="59"/>
      <c r="H31" s="59">
        <f>H29/$H$67</f>
        <v>3.3128264654672085E-2</v>
      </c>
      <c r="I31" s="59"/>
      <c r="J31" s="59"/>
      <c r="K31" s="59">
        <f>K29/$K$67</f>
        <v>2.2793393352117837E-2</v>
      </c>
      <c r="L31" s="43"/>
      <c r="P31" s="3"/>
      <c r="Q31"/>
      <c r="R31"/>
      <c r="S31"/>
      <c r="T31"/>
      <c r="V31" s="3"/>
      <c r="W31"/>
      <c r="X31"/>
      <c r="Y31"/>
      <c r="Z31"/>
      <c r="AA31"/>
      <c r="AB31"/>
      <c r="AC31"/>
      <c r="AD31"/>
      <c r="AF31" s="3"/>
      <c r="AG31"/>
      <c r="AH31"/>
      <c r="AI31"/>
      <c r="AJ31"/>
    </row>
    <row r="32" spans="2:36" hidden="1" outlineLevel="1" x14ac:dyDescent="0.55000000000000004">
      <c r="B32" s="44" t="s">
        <v>125</v>
      </c>
      <c r="C32" s="25">
        <v>369</v>
      </c>
      <c r="D32" s="25">
        <v>147</v>
      </c>
      <c r="E32" s="25">
        <f t="shared" si="33"/>
        <v>516</v>
      </c>
      <c r="F32" s="25">
        <v>384</v>
      </c>
      <c r="G32" s="25">
        <v>152</v>
      </c>
      <c r="H32" s="25">
        <f t="shared" ref="H32" si="38">SUM(F32:G32)</f>
        <v>536</v>
      </c>
      <c r="I32" s="25">
        <v>372</v>
      </c>
      <c r="J32" s="25">
        <v>153</v>
      </c>
      <c r="K32" s="25">
        <f t="shared" ref="K32" si="39">SUM(I32:J32)</f>
        <v>525</v>
      </c>
      <c r="L32" s="43"/>
      <c r="P32" s="3"/>
      <c r="Q32"/>
      <c r="R32"/>
      <c r="S32"/>
      <c r="T32"/>
      <c r="V32" s="3"/>
      <c r="W32"/>
      <c r="X32"/>
      <c r="Y32"/>
      <c r="Z32"/>
      <c r="AA32"/>
      <c r="AB32"/>
      <c r="AC32"/>
      <c r="AD32"/>
      <c r="AF32" s="3"/>
      <c r="AG32"/>
      <c r="AH32"/>
      <c r="AI32"/>
      <c r="AJ32"/>
    </row>
    <row r="33" spans="2:36" hidden="1" outlineLevel="1" x14ac:dyDescent="0.55000000000000004">
      <c r="B33" s="50" t="s">
        <v>141</v>
      </c>
      <c r="C33" s="53"/>
      <c r="D33" s="54"/>
      <c r="E33" s="54"/>
      <c r="F33" s="53"/>
      <c r="G33" s="54"/>
      <c r="H33" s="51">
        <f>H32/E32-1</f>
        <v>3.8759689922480689E-2</v>
      </c>
      <c r="I33" s="53"/>
      <c r="J33" s="54"/>
      <c r="K33" s="51">
        <f>K32/H32-1</f>
        <v>-2.0522388059701524E-2</v>
      </c>
      <c r="L33" s="43"/>
      <c r="P33" s="3"/>
      <c r="Q33"/>
      <c r="R33"/>
      <c r="S33"/>
      <c r="T33"/>
      <c r="V33" s="3"/>
      <c r="W33"/>
      <c r="X33"/>
      <c r="Y33"/>
      <c r="Z33"/>
      <c r="AA33"/>
      <c r="AB33"/>
      <c r="AC33"/>
      <c r="AD33"/>
      <c r="AF33" s="3"/>
      <c r="AG33"/>
      <c r="AH33"/>
      <c r="AI33"/>
      <c r="AJ33"/>
    </row>
    <row r="34" spans="2:36" hidden="1" outlineLevel="1" x14ac:dyDescent="0.55000000000000004">
      <c r="B34" s="50" t="s">
        <v>140</v>
      </c>
      <c r="C34" s="59"/>
      <c r="D34" s="59"/>
      <c r="E34" s="59">
        <f>E32/$E$67</f>
        <v>1.4909847434119279E-2</v>
      </c>
      <c r="F34" s="59"/>
      <c r="G34" s="59"/>
      <c r="H34" s="59">
        <f>H32/$H$67</f>
        <v>1.2443412652350551E-2</v>
      </c>
      <c r="I34" s="59"/>
      <c r="J34" s="59"/>
      <c r="K34" s="59">
        <f>K32/$K$67</f>
        <v>1.2026664834032025E-2</v>
      </c>
      <c r="L34" s="43"/>
      <c r="P34" s="3"/>
      <c r="Q34"/>
      <c r="R34"/>
      <c r="S34"/>
      <c r="T34"/>
      <c r="V34" s="3"/>
      <c r="W34"/>
      <c r="X34"/>
      <c r="Y34"/>
      <c r="Z34"/>
      <c r="AA34"/>
      <c r="AB34"/>
      <c r="AC34"/>
      <c r="AD34"/>
      <c r="AF34" s="3"/>
      <c r="AG34"/>
      <c r="AH34"/>
      <c r="AI34"/>
      <c r="AJ34"/>
    </row>
    <row r="35" spans="2:36" hidden="1" outlineLevel="1" x14ac:dyDescent="0.55000000000000004">
      <c r="B35" s="44" t="s">
        <v>126</v>
      </c>
      <c r="C35" s="25">
        <v>2618</v>
      </c>
      <c r="D35" s="25">
        <v>1758</v>
      </c>
      <c r="E35" s="25">
        <f t="shared" si="33"/>
        <v>4376</v>
      </c>
      <c r="F35" s="25">
        <v>5034</v>
      </c>
      <c r="G35" s="25">
        <v>3519</v>
      </c>
      <c r="H35" s="25">
        <f t="shared" ref="H35" si="40">SUM(F35:G35)</f>
        <v>8553</v>
      </c>
      <c r="I35" s="25">
        <v>6767</v>
      </c>
      <c r="J35" s="25">
        <v>3409</v>
      </c>
      <c r="K35" s="25">
        <f t="shared" ref="K35" si="41">SUM(I35:J35)</f>
        <v>10176</v>
      </c>
      <c r="L35" s="43"/>
      <c r="P35" s="3"/>
      <c r="Q35"/>
      <c r="R35"/>
      <c r="S35"/>
      <c r="T35"/>
      <c r="V35" s="3"/>
      <c r="W35"/>
      <c r="X35"/>
      <c r="Y35"/>
      <c r="Z35"/>
      <c r="AA35"/>
      <c r="AB35"/>
      <c r="AC35"/>
      <c r="AD35"/>
      <c r="AF35" s="3"/>
      <c r="AG35"/>
      <c r="AH35"/>
      <c r="AI35"/>
      <c r="AJ35"/>
    </row>
    <row r="36" spans="2:36" hidden="1" outlineLevel="1" x14ac:dyDescent="0.55000000000000004">
      <c r="B36" s="50" t="s">
        <v>141</v>
      </c>
      <c r="C36" s="53"/>
      <c r="D36" s="54"/>
      <c r="E36" s="54"/>
      <c r="F36" s="53"/>
      <c r="G36" s="54"/>
      <c r="H36" s="51">
        <f>H35/E35-1</f>
        <v>0.95452468007312619</v>
      </c>
      <c r="I36" s="53"/>
      <c r="J36" s="54"/>
      <c r="K36" s="51">
        <f>K35/H35-1</f>
        <v>0.18975797965626096</v>
      </c>
      <c r="L36" s="43"/>
      <c r="P36" s="3"/>
      <c r="Q36"/>
      <c r="R36"/>
      <c r="S36"/>
      <c r="T36"/>
      <c r="V36" s="3"/>
      <c r="W36"/>
      <c r="X36"/>
      <c r="Y36"/>
      <c r="Z36"/>
      <c r="AA36"/>
      <c r="AB36"/>
      <c r="AC36"/>
      <c r="AD36"/>
      <c r="AF36" s="3"/>
      <c r="AG36"/>
      <c r="AH36"/>
      <c r="AI36"/>
      <c r="AJ36"/>
    </row>
    <row r="37" spans="2:36" hidden="1" outlineLevel="1" x14ac:dyDescent="0.55000000000000004">
      <c r="B37" s="50" t="s">
        <v>140</v>
      </c>
      <c r="C37" s="59"/>
      <c r="D37" s="59"/>
      <c r="E37" s="59">
        <f>E35/$E$67</f>
        <v>0.1264447526583449</v>
      </c>
      <c r="F37" s="59"/>
      <c r="G37" s="59"/>
      <c r="H37" s="59">
        <f>H35/$H$67</f>
        <v>0.19856065002901915</v>
      </c>
      <c r="I37" s="59"/>
      <c r="J37" s="59"/>
      <c r="K37" s="59">
        <f>K35/$K$67</f>
        <v>0.23311112638306647</v>
      </c>
      <c r="L37" s="43"/>
      <c r="P37" s="3"/>
      <c r="Q37"/>
      <c r="R37"/>
      <c r="S37"/>
      <c r="T37"/>
      <c r="V37" s="3"/>
      <c r="W37"/>
      <c r="X37"/>
      <c r="Y37"/>
      <c r="Z37"/>
      <c r="AA37"/>
      <c r="AB37"/>
      <c r="AC37"/>
      <c r="AD37"/>
      <c r="AF37" s="3"/>
      <c r="AG37"/>
      <c r="AH37"/>
      <c r="AI37"/>
      <c r="AJ37"/>
    </row>
    <row r="38" spans="2:36" collapsed="1" x14ac:dyDescent="0.55000000000000004">
      <c r="B38" s="67" t="s">
        <v>119</v>
      </c>
      <c r="C38" s="68">
        <f>SUM(C26:C35)</f>
        <v>4774</v>
      </c>
      <c r="D38" s="68">
        <f>SUM(D26:D35)</f>
        <v>6031</v>
      </c>
      <c r="E38" s="68">
        <f>SUM(C38:D38)</f>
        <v>10805</v>
      </c>
      <c r="F38" s="68">
        <f t="shared" ref="F38:I38" si="42">SUM(F26:F35)</f>
        <v>7129</v>
      </c>
      <c r="G38" s="68">
        <f t="shared" si="42"/>
        <v>8515</v>
      </c>
      <c r="H38" s="68">
        <f>SUM(F38:G38)</f>
        <v>15644</v>
      </c>
      <c r="I38" s="68">
        <f t="shared" si="42"/>
        <v>8646</v>
      </c>
      <c r="J38" s="68">
        <f>SUM(J26:J35)</f>
        <v>7938</v>
      </c>
      <c r="K38" s="68">
        <f>SUM(I38:J38)</f>
        <v>16584</v>
      </c>
      <c r="L38" s="68">
        <f t="shared" ref="L38" si="43">SUM(L26:L35)</f>
        <v>0</v>
      </c>
      <c r="M38" s="68">
        <f t="shared" ref="M38" si="44">SUM(M26:M35)</f>
        <v>0</v>
      </c>
      <c r="N38" s="27">
        <f>K38*(1+N39)</f>
        <v>14262.24</v>
      </c>
      <c r="O38" s="27">
        <f t="shared" ref="O38:Q38" si="45">L38*(1+O39)</f>
        <v>0</v>
      </c>
      <c r="P38" s="27">
        <f t="shared" si="45"/>
        <v>0</v>
      </c>
      <c r="Q38" s="27">
        <f t="shared" si="45"/>
        <v>14832.729600000001</v>
      </c>
      <c r="R38" s="27">
        <f t="shared" ref="R38" si="46">O38*(1+R39)</f>
        <v>0</v>
      </c>
      <c r="S38" s="27">
        <f t="shared" ref="S38" si="47">P38*(1+S39)</f>
        <v>0</v>
      </c>
      <c r="T38" s="27">
        <f t="shared" ref="T38" si="48">Q38*(1+T39)</f>
        <v>15574.366080000002</v>
      </c>
      <c r="U38" s="27">
        <f t="shared" ref="U38" si="49">R38*(1+U39)</f>
        <v>0</v>
      </c>
      <c r="V38" s="27">
        <f t="shared" ref="V38" si="50">S38*(1+V39)</f>
        <v>0</v>
      </c>
      <c r="W38" s="27">
        <f t="shared" ref="W38" si="51">T38*(1+W39)</f>
        <v>16586.6998752</v>
      </c>
      <c r="X38" s="27">
        <f t="shared" ref="X38" si="52">U38*(1+X39)</f>
        <v>0</v>
      </c>
      <c r="Y38" s="27">
        <f t="shared" ref="Y38" si="53">V38*(1+Y39)</f>
        <v>0</v>
      </c>
      <c r="Z38" s="27">
        <f t="shared" ref="Z38" si="54">W38*(1+Z39)</f>
        <v>17830.702365839999</v>
      </c>
      <c r="AA38"/>
      <c r="AB38"/>
      <c r="AC38"/>
      <c r="AD38"/>
      <c r="AF38" s="3"/>
      <c r="AG38"/>
      <c r="AH38"/>
      <c r="AI38"/>
      <c r="AJ38"/>
    </row>
    <row r="39" spans="2:36" x14ac:dyDescent="0.55000000000000004">
      <c r="B39" s="50" t="s">
        <v>141</v>
      </c>
      <c r="C39" s="64"/>
      <c r="D39" s="64"/>
      <c r="E39" s="54"/>
      <c r="F39" s="53"/>
      <c r="G39" s="54"/>
      <c r="H39" s="51">
        <f>H38/E38-1</f>
        <v>0.4478482184173993</v>
      </c>
      <c r="I39" s="53"/>
      <c r="J39" s="54"/>
      <c r="K39" s="51">
        <f>K38/H38-1</f>
        <v>6.0086934287906013E-2</v>
      </c>
      <c r="L39" s="65"/>
      <c r="M39" s="66"/>
      <c r="N39" s="69">
        <v>-0.14000000000000001</v>
      </c>
      <c r="O39" s="69"/>
      <c r="P39" s="69"/>
      <c r="Q39" s="69">
        <v>0.04</v>
      </c>
      <c r="R39" s="69"/>
      <c r="S39" s="69"/>
      <c r="T39" s="69">
        <v>0.05</v>
      </c>
      <c r="U39" s="69"/>
      <c r="V39" s="69"/>
      <c r="W39" s="69">
        <v>6.5000000000000002E-2</v>
      </c>
      <c r="X39" s="69"/>
      <c r="Y39" s="69"/>
      <c r="Z39" s="69">
        <v>7.4999999999999997E-2</v>
      </c>
      <c r="AA39"/>
      <c r="AB39"/>
      <c r="AC39"/>
      <c r="AD39"/>
      <c r="AF39" s="3"/>
      <c r="AG39"/>
      <c r="AH39"/>
      <c r="AI39"/>
      <c r="AJ39"/>
    </row>
    <row r="40" spans="2:36" x14ac:dyDescent="0.55000000000000004">
      <c r="B40" s="50" t="s">
        <v>140</v>
      </c>
      <c r="C40" s="64"/>
      <c r="D40" s="64"/>
      <c r="E40" s="51">
        <f>E38/E$67</f>
        <v>0.312211049468331</v>
      </c>
      <c r="F40" s="51">
        <f t="shared" ref="F40:K40" si="55">F38/F$67</f>
        <v>0.4283739935103954</v>
      </c>
      <c r="G40" s="51">
        <f t="shared" si="55"/>
        <v>0.32213520977565924</v>
      </c>
      <c r="H40" s="51">
        <f t="shared" si="55"/>
        <v>0.3631804991294254</v>
      </c>
      <c r="I40" s="51">
        <f t="shared" si="55"/>
        <v>0.47657369639510527</v>
      </c>
      <c r="J40" s="51">
        <f t="shared" si="55"/>
        <v>0.31115989181137549</v>
      </c>
      <c r="K40" s="51">
        <f t="shared" si="55"/>
        <v>0.37990516115730877</v>
      </c>
      <c r="L40" s="65"/>
      <c r="M40" s="66"/>
      <c r="N40" s="69">
        <f>AVERAGE(E40:K40)</f>
        <v>0.37050564303537153</v>
      </c>
      <c r="O40" s="69"/>
      <c r="P40" s="69"/>
      <c r="Q40" s="69">
        <f>Q38/Q$67</f>
        <v>0.35447535196094365</v>
      </c>
      <c r="R40" s="69" t="e">
        <f t="shared" ref="R40:Z40" si="56">R38/R$67</f>
        <v>#DIV/0!</v>
      </c>
      <c r="S40" s="69" t="e">
        <f t="shared" si="56"/>
        <v>#DIV/0!</v>
      </c>
      <c r="T40" s="69">
        <f t="shared" si="56"/>
        <v>0.35388553129174916</v>
      </c>
      <c r="U40" s="69" t="e">
        <f t="shared" si="56"/>
        <v>#DIV/0!</v>
      </c>
      <c r="V40" s="69" t="e">
        <f t="shared" si="56"/>
        <v>#DIV/0!</v>
      </c>
      <c r="W40" s="69">
        <f t="shared" si="56"/>
        <v>0.3538138404908322</v>
      </c>
      <c r="X40" s="69" t="e">
        <f t="shared" si="56"/>
        <v>#DIV/0!</v>
      </c>
      <c r="Y40" s="69" t="e">
        <f t="shared" si="56"/>
        <v>#DIV/0!</v>
      </c>
      <c r="Z40" s="69">
        <f t="shared" si="56"/>
        <v>0.35498581439782173</v>
      </c>
      <c r="AA40"/>
      <c r="AB40"/>
      <c r="AC40"/>
      <c r="AD40"/>
      <c r="AF40" s="3"/>
      <c r="AG40"/>
      <c r="AH40"/>
      <c r="AI40"/>
      <c r="AJ40"/>
    </row>
    <row r="41" spans="2:36" x14ac:dyDescent="0.55000000000000004">
      <c r="B41" s="18" t="s">
        <v>139</v>
      </c>
      <c r="E41" s="41"/>
      <c r="H41" s="41"/>
      <c r="K41" s="41"/>
      <c r="L41" s="43"/>
      <c r="P41"/>
      <c r="Q41"/>
      <c r="R41"/>
      <c r="S41"/>
      <c r="T41"/>
      <c r="V41"/>
      <c r="W41"/>
      <c r="X41"/>
      <c r="Y41"/>
      <c r="Z41"/>
      <c r="AA41"/>
      <c r="AB41"/>
      <c r="AC41"/>
      <c r="AD41"/>
      <c r="AF41"/>
      <c r="AG41"/>
      <c r="AH41"/>
      <c r="AI41"/>
      <c r="AJ41"/>
    </row>
    <row r="42" spans="2:36" hidden="1" outlineLevel="1" x14ac:dyDescent="0.55000000000000004">
      <c r="B42" s="44" t="s">
        <v>127</v>
      </c>
      <c r="C42" s="25">
        <v>903</v>
      </c>
      <c r="D42" s="25">
        <v>1011</v>
      </c>
      <c r="E42" s="25">
        <f t="shared" ref="E42:E60" si="57">SUM(C42:D42)</f>
        <v>1914</v>
      </c>
      <c r="F42" s="25">
        <v>1018</v>
      </c>
      <c r="G42" s="25">
        <v>1180</v>
      </c>
      <c r="H42" s="25">
        <f t="shared" ref="H42" si="58">SUM(F42:G42)</f>
        <v>2198</v>
      </c>
      <c r="I42" s="25">
        <v>1029</v>
      </c>
      <c r="J42" s="25">
        <v>1090</v>
      </c>
      <c r="K42" s="25">
        <f t="shared" ref="K42" si="59">SUM(I42:J42)</f>
        <v>2119</v>
      </c>
      <c r="L42" s="43"/>
      <c r="P42" s="3"/>
      <c r="Q42"/>
      <c r="R42"/>
      <c r="S42"/>
      <c r="T42"/>
      <c r="V42" s="3"/>
      <c r="W42"/>
      <c r="X42"/>
      <c r="Y42"/>
      <c r="Z42"/>
      <c r="AA42"/>
      <c r="AB42"/>
      <c r="AC42"/>
      <c r="AD42"/>
      <c r="AF42" s="3"/>
      <c r="AG42"/>
      <c r="AH42"/>
      <c r="AI42"/>
      <c r="AJ42"/>
    </row>
    <row r="43" spans="2:36" hidden="1" outlineLevel="1" x14ac:dyDescent="0.55000000000000004">
      <c r="B43" s="50" t="s">
        <v>141</v>
      </c>
      <c r="C43" s="53"/>
      <c r="D43" s="54"/>
      <c r="E43" s="54"/>
      <c r="F43" s="53"/>
      <c r="G43" s="54"/>
      <c r="H43" s="51">
        <f>H42/E42-1</f>
        <v>0.14838035527690696</v>
      </c>
      <c r="I43" s="53"/>
      <c r="J43" s="54"/>
      <c r="K43" s="51">
        <f>K42/H42-1</f>
        <v>-3.5941765241128354E-2</v>
      </c>
      <c r="L43" s="43"/>
      <c r="P43" s="3"/>
      <c r="Q43"/>
      <c r="R43"/>
      <c r="S43"/>
      <c r="T43"/>
      <c r="V43" s="3"/>
      <c r="W43"/>
      <c r="X43"/>
      <c r="Y43"/>
      <c r="Z43"/>
      <c r="AA43"/>
      <c r="AB43"/>
      <c r="AC43"/>
      <c r="AD43"/>
      <c r="AF43" s="3"/>
      <c r="AG43"/>
      <c r="AH43"/>
      <c r="AI43"/>
      <c r="AJ43"/>
    </row>
    <row r="44" spans="2:36" hidden="1" outlineLevel="1" x14ac:dyDescent="0.55000000000000004">
      <c r="B44" s="50" t="s">
        <v>140</v>
      </c>
      <c r="C44" s="59"/>
      <c r="D44" s="59"/>
      <c r="E44" s="59">
        <f>E42/$E$67</f>
        <v>5.5305131761442444E-2</v>
      </c>
      <c r="F44" s="59"/>
      <c r="G44" s="59"/>
      <c r="H44" s="59">
        <f>H42/$H$67</f>
        <v>5.10272780034823E-2</v>
      </c>
      <c r="I44" s="59"/>
      <c r="J44" s="59"/>
      <c r="K44" s="59">
        <f>K42/$K$67</f>
        <v>4.8541910063454971E-2</v>
      </c>
      <c r="L44" s="43"/>
      <c r="P44" s="3"/>
      <c r="Q44"/>
      <c r="R44"/>
      <c r="S44"/>
      <c r="T44"/>
      <c r="V44" s="3"/>
      <c r="W44"/>
      <c r="X44"/>
      <c r="Y44"/>
      <c r="Z44"/>
      <c r="AA44"/>
      <c r="AB44"/>
      <c r="AC44"/>
      <c r="AD44"/>
      <c r="AF44" s="3"/>
      <c r="AG44"/>
      <c r="AH44"/>
      <c r="AI44"/>
      <c r="AJ44"/>
    </row>
    <row r="45" spans="2:36" hidden="1" outlineLevel="1" x14ac:dyDescent="0.55000000000000004">
      <c r="B45" s="44" t="s">
        <v>128</v>
      </c>
      <c r="C45" s="25">
        <v>660</v>
      </c>
      <c r="D45" s="25">
        <v>918</v>
      </c>
      <c r="E45" s="25">
        <f t="shared" si="57"/>
        <v>1578</v>
      </c>
      <c r="F45" s="25">
        <v>778</v>
      </c>
      <c r="G45" s="25">
        <v>1129</v>
      </c>
      <c r="H45" s="25">
        <f t="shared" ref="H45" si="60">SUM(F45:G45)</f>
        <v>1907</v>
      </c>
      <c r="I45" s="25">
        <v>909</v>
      </c>
      <c r="J45" s="25">
        <v>1018</v>
      </c>
      <c r="K45" s="25">
        <f t="shared" ref="K45" si="61">SUM(I45:J45)</f>
        <v>1927</v>
      </c>
      <c r="L45" s="43"/>
      <c r="P45" s="3"/>
      <c r="Q45"/>
      <c r="R45"/>
      <c r="S45"/>
      <c r="T45"/>
      <c r="V45" s="3"/>
      <c r="W45"/>
      <c r="X45"/>
      <c r="Y45"/>
      <c r="Z45"/>
      <c r="AA45"/>
      <c r="AB45"/>
      <c r="AC45"/>
      <c r="AD45"/>
      <c r="AF45" s="3"/>
      <c r="AG45"/>
      <c r="AH45"/>
      <c r="AI45"/>
      <c r="AJ45"/>
    </row>
    <row r="46" spans="2:36" hidden="1" outlineLevel="1" x14ac:dyDescent="0.55000000000000004">
      <c r="B46" s="50" t="s">
        <v>141</v>
      </c>
      <c r="C46" s="53"/>
      <c r="D46" s="54"/>
      <c r="E46" s="54"/>
      <c r="F46" s="53"/>
      <c r="G46" s="54"/>
      <c r="H46" s="51">
        <f>H45/E45-1</f>
        <v>0.20849176172370099</v>
      </c>
      <c r="I46" s="53"/>
      <c r="J46" s="54"/>
      <c r="K46" s="51">
        <f>K45/H45-1</f>
        <v>1.0487676979548999E-2</v>
      </c>
      <c r="L46" s="43"/>
      <c r="P46" s="3"/>
      <c r="Q46"/>
      <c r="R46"/>
      <c r="S46"/>
      <c r="T46"/>
      <c r="V46" s="3"/>
      <c r="W46"/>
      <c r="X46"/>
      <c r="Y46"/>
      <c r="Z46"/>
      <c r="AA46"/>
      <c r="AB46"/>
      <c r="AC46"/>
      <c r="AD46"/>
      <c r="AF46" s="3"/>
      <c r="AG46"/>
      <c r="AH46"/>
      <c r="AI46"/>
      <c r="AJ46"/>
    </row>
    <row r="47" spans="2:36" hidden="1" outlineLevel="1" x14ac:dyDescent="0.55000000000000004">
      <c r="B47" s="50" t="s">
        <v>140</v>
      </c>
      <c r="C47" s="59"/>
      <c r="D47" s="59"/>
      <c r="E47" s="59">
        <f>E45/$E$67</f>
        <v>4.5596393897364772E-2</v>
      </c>
      <c r="F47" s="59"/>
      <c r="G47" s="59"/>
      <c r="H47" s="59">
        <f>H45/$H$67</f>
        <v>4.4271619268717352E-2</v>
      </c>
      <c r="I47" s="59"/>
      <c r="J47" s="59"/>
      <c r="K47" s="59">
        <f>K45/$K$67</f>
        <v>4.4143586924151837E-2</v>
      </c>
      <c r="L47" s="43"/>
      <c r="P47" s="3"/>
      <c r="Q47"/>
      <c r="R47"/>
      <c r="S47"/>
      <c r="T47"/>
      <c r="V47" s="3"/>
      <c r="W47"/>
      <c r="X47"/>
      <c r="Y47"/>
      <c r="Z47"/>
      <c r="AA47"/>
      <c r="AB47"/>
      <c r="AC47"/>
      <c r="AD47"/>
      <c r="AF47" s="3"/>
      <c r="AG47"/>
      <c r="AH47"/>
      <c r="AI47"/>
      <c r="AJ47"/>
    </row>
    <row r="48" spans="2:36" hidden="1" outlineLevel="1" x14ac:dyDescent="0.55000000000000004">
      <c r="B48" s="44" t="s">
        <v>129</v>
      </c>
      <c r="C48" s="25">
        <v>547</v>
      </c>
      <c r="D48" s="25">
        <v>193</v>
      </c>
      <c r="E48" s="25">
        <f t="shared" si="57"/>
        <v>740</v>
      </c>
      <c r="F48" s="25">
        <v>654</v>
      </c>
      <c r="G48" s="25">
        <v>235</v>
      </c>
      <c r="H48" s="25">
        <f t="shared" ref="H48" si="62">SUM(F48:G48)</f>
        <v>889</v>
      </c>
      <c r="I48" s="25">
        <v>694</v>
      </c>
      <c r="J48" s="25">
        <v>226</v>
      </c>
      <c r="K48" s="25">
        <f t="shared" ref="K48" si="63">SUM(I48:J48)</f>
        <v>920</v>
      </c>
      <c r="L48" s="43"/>
      <c r="P48" s="3"/>
      <c r="Q48"/>
      <c r="R48"/>
      <c r="S48"/>
      <c r="T48"/>
      <c r="V48" s="3"/>
      <c r="W48"/>
      <c r="X48"/>
      <c r="Y48"/>
      <c r="Z48"/>
      <c r="AA48"/>
      <c r="AB48"/>
      <c r="AC48"/>
      <c r="AD48"/>
      <c r="AF48" s="3"/>
      <c r="AG48"/>
      <c r="AH48"/>
      <c r="AI48"/>
      <c r="AJ48"/>
    </row>
    <row r="49" spans="2:36" hidden="1" outlineLevel="1" x14ac:dyDescent="0.55000000000000004">
      <c r="B49" s="50" t="s">
        <v>141</v>
      </c>
      <c r="C49" s="53"/>
      <c r="D49" s="54"/>
      <c r="E49" s="54"/>
      <c r="F49" s="53"/>
      <c r="G49" s="54"/>
      <c r="H49" s="51">
        <f>H48/E48-1</f>
        <v>0.2013513513513514</v>
      </c>
      <c r="I49" s="53"/>
      <c r="J49" s="54"/>
      <c r="K49" s="51">
        <f>K48/H48-1</f>
        <v>3.4870641169853833E-2</v>
      </c>
      <c r="L49" s="43"/>
      <c r="P49" s="3"/>
      <c r="Q49"/>
      <c r="R49"/>
      <c r="S49"/>
      <c r="T49"/>
      <c r="V49" s="3"/>
      <c r="W49"/>
      <c r="X49"/>
      <c r="Y49"/>
      <c r="Z49"/>
      <c r="AA49"/>
      <c r="AB49"/>
      <c r="AC49"/>
      <c r="AD49"/>
      <c r="AF49" s="3"/>
      <c r="AG49"/>
      <c r="AH49"/>
      <c r="AI49"/>
      <c r="AJ49"/>
    </row>
    <row r="50" spans="2:36" hidden="1" outlineLevel="1" x14ac:dyDescent="0.55000000000000004">
      <c r="B50" s="50" t="s">
        <v>140</v>
      </c>
      <c r="C50" s="59"/>
      <c r="D50" s="59"/>
      <c r="E50" s="59">
        <f>E48/$E$67</f>
        <v>2.1382339343504392E-2</v>
      </c>
      <c r="F50" s="59"/>
      <c r="G50" s="59"/>
      <c r="H50" s="59">
        <f>H48/$H$67</f>
        <v>2.0638421358096345E-2</v>
      </c>
      <c r="I50" s="59"/>
      <c r="J50" s="59"/>
      <c r="K50" s="59">
        <f>K48/$K$67</f>
        <v>2.1075298375827549E-2</v>
      </c>
      <c r="L50" s="43"/>
      <c r="P50" s="3"/>
      <c r="Q50"/>
      <c r="R50"/>
      <c r="S50"/>
      <c r="T50"/>
      <c r="V50" s="3"/>
      <c r="W50"/>
      <c r="X50"/>
      <c r="Y50"/>
      <c r="Z50"/>
      <c r="AA50"/>
      <c r="AB50"/>
      <c r="AC50"/>
      <c r="AD50"/>
      <c r="AF50" s="3"/>
      <c r="AG50"/>
      <c r="AH50"/>
      <c r="AI50"/>
      <c r="AJ50"/>
    </row>
    <row r="51" spans="2:36" hidden="1" outlineLevel="1" x14ac:dyDescent="0.55000000000000004">
      <c r="B51" s="44" t="s">
        <v>130</v>
      </c>
      <c r="C51" s="25">
        <v>853</v>
      </c>
      <c r="D51" s="25">
        <v>1486</v>
      </c>
      <c r="E51" s="25">
        <f t="shared" si="57"/>
        <v>2339</v>
      </c>
      <c r="F51" s="25">
        <v>915</v>
      </c>
      <c r="G51" s="25">
        <v>1739</v>
      </c>
      <c r="H51" s="25">
        <f t="shared" ref="H51" si="64">SUM(F51:G51)</f>
        <v>2654</v>
      </c>
      <c r="I51" s="25">
        <v>864</v>
      </c>
      <c r="J51" s="25">
        <v>1619</v>
      </c>
      <c r="K51" s="25">
        <f t="shared" ref="K51" si="65">SUM(I51:J51)</f>
        <v>2483</v>
      </c>
      <c r="L51" s="43"/>
      <c r="P51" s="3"/>
      <c r="Q51"/>
      <c r="R51"/>
      <c r="S51"/>
      <c r="T51"/>
      <c r="V51" s="3"/>
      <c r="W51"/>
      <c r="X51"/>
      <c r="Y51"/>
      <c r="Z51"/>
      <c r="AA51"/>
      <c r="AB51"/>
      <c r="AC51"/>
      <c r="AD51"/>
      <c r="AF51" s="3"/>
      <c r="AG51"/>
      <c r="AH51"/>
      <c r="AI51"/>
      <c r="AJ51"/>
    </row>
    <row r="52" spans="2:36" hidden="1" outlineLevel="1" x14ac:dyDescent="0.55000000000000004">
      <c r="B52" s="50" t="s">
        <v>141</v>
      </c>
      <c r="C52" s="53"/>
      <c r="D52" s="54"/>
      <c r="E52" s="54"/>
      <c r="F52" s="53"/>
      <c r="G52" s="54"/>
      <c r="H52" s="51">
        <f>H51/E51-1</f>
        <v>0.1346729371526294</v>
      </c>
      <c r="I52" s="53"/>
      <c r="J52" s="54"/>
      <c r="K52" s="51">
        <f>K51/H51-1</f>
        <v>-6.4431047475508652E-2</v>
      </c>
      <c r="L52" s="43"/>
      <c r="P52" s="3"/>
      <c r="Q52"/>
      <c r="R52"/>
      <c r="S52"/>
      <c r="T52"/>
      <c r="V52" s="3"/>
      <c r="W52"/>
      <c r="X52"/>
      <c r="Y52"/>
      <c r="Z52"/>
      <c r="AA52"/>
      <c r="AB52"/>
      <c r="AC52"/>
      <c r="AD52"/>
      <c r="AF52" s="3"/>
      <c r="AG52"/>
      <c r="AH52"/>
      <c r="AI52"/>
      <c r="AJ52"/>
    </row>
    <row r="53" spans="2:36" hidden="1" outlineLevel="1" x14ac:dyDescent="0.55000000000000004">
      <c r="B53" s="50" t="s">
        <v>140</v>
      </c>
      <c r="C53" s="59"/>
      <c r="D53" s="59"/>
      <c r="E53" s="59">
        <f>E51/$E$67</f>
        <v>6.7585529357374011E-2</v>
      </c>
      <c r="F53" s="59"/>
      <c r="G53" s="59"/>
      <c r="H53" s="59">
        <f>H51/$H$67</f>
        <v>6.1613464886825307E-2</v>
      </c>
      <c r="I53" s="59"/>
      <c r="J53" s="59"/>
      <c r="K53" s="59">
        <f>K51/$K$67</f>
        <v>5.6880397681717182E-2</v>
      </c>
      <c r="L53" s="43"/>
      <c r="P53" s="3"/>
      <c r="Q53"/>
      <c r="R53"/>
      <c r="S53"/>
      <c r="T53"/>
      <c r="V53" s="3"/>
      <c r="W53"/>
      <c r="X53"/>
      <c r="Y53"/>
      <c r="Z53"/>
      <c r="AA53"/>
      <c r="AB53"/>
      <c r="AC53"/>
      <c r="AD53"/>
      <c r="AF53" s="3"/>
      <c r="AG53"/>
      <c r="AH53"/>
      <c r="AI53"/>
      <c r="AJ53"/>
    </row>
    <row r="54" spans="2:36" hidden="1" outlineLevel="1" x14ac:dyDescent="0.55000000000000004">
      <c r="B54" s="44" t="s">
        <v>131</v>
      </c>
      <c r="C54" s="25">
        <v>540</v>
      </c>
      <c r="D54" s="25">
        <v>707</v>
      </c>
      <c r="E54" s="25">
        <f t="shared" si="57"/>
        <v>1247</v>
      </c>
      <c r="F54" s="25">
        <v>730</v>
      </c>
      <c r="G54" s="25">
        <v>880</v>
      </c>
      <c r="H54" s="25">
        <f t="shared" ref="H54" si="66">SUM(F54:G54)</f>
        <v>1610</v>
      </c>
      <c r="I54" s="25">
        <v>818</v>
      </c>
      <c r="J54" s="25">
        <v>894</v>
      </c>
      <c r="K54" s="25">
        <f t="shared" ref="K54" si="67">SUM(I54:J54)</f>
        <v>1712</v>
      </c>
      <c r="L54" s="43"/>
      <c r="P54" s="3"/>
      <c r="Q54"/>
      <c r="R54"/>
      <c r="S54"/>
      <c r="T54"/>
      <c r="V54" s="3"/>
      <c r="W54"/>
      <c r="X54"/>
      <c r="Y54"/>
      <c r="Z54"/>
      <c r="AA54"/>
      <c r="AB54"/>
      <c r="AC54"/>
      <c r="AD54"/>
      <c r="AF54" s="3"/>
      <c r="AG54"/>
      <c r="AH54"/>
      <c r="AI54"/>
      <c r="AJ54"/>
    </row>
    <row r="55" spans="2:36" hidden="1" outlineLevel="1" x14ac:dyDescent="0.55000000000000004">
      <c r="B55" s="50" t="s">
        <v>141</v>
      </c>
      <c r="C55" s="53"/>
      <c r="D55" s="54"/>
      <c r="E55" s="54"/>
      <c r="F55" s="53"/>
      <c r="G55" s="54"/>
      <c r="H55" s="51">
        <f>H54/E54-1</f>
        <v>0.29109863672814762</v>
      </c>
      <c r="I55" s="53"/>
      <c r="J55" s="54"/>
      <c r="K55" s="51">
        <f>K54/H54-1</f>
        <v>6.3354037267080665E-2</v>
      </c>
      <c r="L55" s="43"/>
      <c r="P55" s="3"/>
      <c r="Q55"/>
      <c r="R55"/>
      <c r="S55"/>
      <c r="T55"/>
      <c r="V55" s="3"/>
      <c r="W55"/>
      <c r="X55"/>
      <c r="Y55"/>
      <c r="Z55"/>
      <c r="AA55"/>
      <c r="AB55"/>
      <c r="AC55"/>
      <c r="AD55"/>
      <c r="AF55" s="3"/>
      <c r="AG55"/>
      <c r="AH55"/>
      <c r="AI55"/>
      <c r="AJ55"/>
    </row>
    <row r="56" spans="2:36" hidden="1" outlineLevel="1" x14ac:dyDescent="0.55000000000000004">
      <c r="B56" s="50" t="s">
        <v>140</v>
      </c>
      <c r="C56" s="59"/>
      <c r="D56" s="59"/>
      <c r="E56" s="59">
        <f>E54/$E$67</f>
        <v>3.6032131299121591E-2</v>
      </c>
      <c r="F56" s="59"/>
      <c r="G56" s="59"/>
      <c r="H56" s="59">
        <f>H54/$H$67</f>
        <v>3.7376668601276843E-2</v>
      </c>
      <c r="I56" s="59"/>
      <c r="J56" s="59"/>
      <c r="K56" s="59">
        <f>K54/$K$67</f>
        <v>3.9218381325453001E-2</v>
      </c>
      <c r="L56" s="43"/>
      <c r="P56" s="3"/>
      <c r="Q56"/>
      <c r="R56"/>
      <c r="S56"/>
      <c r="T56"/>
      <c r="V56" s="3"/>
      <c r="W56"/>
      <c r="X56"/>
      <c r="Y56"/>
      <c r="Z56"/>
      <c r="AA56"/>
      <c r="AB56"/>
      <c r="AC56"/>
      <c r="AD56"/>
      <c r="AF56" s="3"/>
      <c r="AG56"/>
      <c r="AH56"/>
      <c r="AI56"/>
      <c r="AJ56"/>
    </row>
    <row r="57" spans="2:36" hidden="1" outlineLevel="1" x14ac:dyDescent="0.55000000000000004">
      <c r="B57" s="44" t="s">
        <v>132</v>
      </c>
      <c r="C57" s="25">
        <v>564</v>
      </c>
      <c r="D57" s="25">
        <v>138</v>
      </c>
      <c r="E57" s="25">
        <f t="shared" si="57"/>
        <v>702</v>
      </c>
      <c r="F57" s="25">
        <v>616</v>
      </c>
      <c r="G57" s="25">
        <v>165</v>
      </c>
      <c r="H57" s="25">
        <f t="shared" ref="H57" si="68">SUM(F57:G57)</f>
        <v>781</v>
      </c>
      <c r="I57" s="25">
        <v>619</v>
      </c>
      <c r="J57" s="25">
        <v>151</v>
      </c>
      <c r="K57" s="25">
        <f t="shared" ref="K57" si="69">SUM(I57:J57)</f>
        <v>770</v>
      </c>
      <c r="L57" s="43"/>
      <c r="P57" s="3"/>
      <c r="Q57"/>
      <c r="R57"/>
      <c r="S57"/>
      <c r="T57"/>
      <c r="V57" s="3"/>
      <c r="W57"/>
      <c r="X57"/>
      <c r="Y57"/>
      <c r="Z57"/>
      <c r="AA57"/>
      <c r="AB57"/>
      <c r="AC57"/>
      <c r="AD57"/>
      <c r="AF57" s="3"/>
      <c r="AG57"/>
      <c r="AH57"/>
      <c r="AI57"/>
      <c r="AJ57"/>
    </row>
    <row r="58" spans="2:36" hidden="1" outlineLevel="1" x14ac:dyDescent="0.55000000000000004">
      <c r="B58" s="50" t="s">
        <v>141</v>
      </c>
      <c r="C58" s="53"/>
      <c r="D58" s="54"/>
      <c r="E58" s="54"/>
      <c r="F58" s="53"/>
      <c r="G58" s="54"/>
      <c r="H58" s="51">
        <f>H57/E57-1</f>
        <v>0.11253561253561251</v>
      </c>
      <c r="I58" s="53"/>
      <c r="J58" s="54"/>
      <c r="K58" s="51">
        <f>K57/H57-1</f>
        <v>-1.4084507042253502E-2</v>
      </c>
      <c r="L58" s="43"/>
      <c r="P58" s="3"/>
      <c r="Q58"/>
      <c r="R58"/>
      <c r="S58"/>
      <c r="T58"/>
      <c r="V58" s="3"/>
      <c r="W58"/>
      <c r="X58"/>
      <c r="Y58"/>
      <c r="Z58"/>
      <c r="AA58"/>
      <c r="AB58"/>
      <c r="AC58"/>
      <c r="AD58"/>
      <c r="AF58" s="3"/>
      <c r="AG58"/>
      <c r="AH58"/>
      <c r="AI58"/>
      <c r="AJ58"/>
    </row>
    <row r="59" spans="2:36" hidden="1" outlineLevel="1" x14ac:dyDescent="0.55000000000000004">
      <c r="B59" s="50" t="s">
        <v>140</v>
      </c>
      <c r="C59" s="59"/>
      <c r="D59" s="59"/>
      <c r="E59" s="59">
        <f>E57/$E$67</f>
        <v>2.0284327323162276E-2</v>
      </c>
      <c r="F59" s="59"/>
      <c r="G59" s="59"/>
      <c r="H59" s="59">
        <f>H57/$H$67</f>
        <v>1.8131166569936158E-2</v>
      </c>
      <c r="I59" s="59"/>
      <c r="J59" s="59"/>
      <c r="K59" s="59">
        <f>K57/$K$67</f>
        <v>1.7639108423246969E-2</v>
      </c>
      <c r="L59" s="43"/>
      <c r="P59" s="3"/>
      <c r="Q59"/>
      <c r="R59"/>
      <c r="S59"/>
      <c r="T59"/>
      <c r="V59" s="3"/>
      <c r="W59"/>
      <c r="X59"/>
      <c r="Y59"/>
      <c r="Z59"/>
      <c r="AA59"/>
      <c r="AB59"/>
      <c r="AC59"/>
      <c r="AD59"/>
      <c r="AF59" s="3"/>
      <c r="AG59"/>
      <c r="AH59"/>
      <c r="AI59"/>
      <c r="AJ59"/>
    </row>
    <row r="60" spans="2:36" hidden="1" outlineLevel="1" x14ac:dyDescent="0.55000000000000004">
      <c r="B60" s="44" t="s">
        <v>133</v>
      </c>
      <c r="C60" s="25">
        <v>864</v>
      </c>
      <c r="D60" s="25">
        <v>2403</v>
      </c>
      <c r="E60" s="25">
        <f t="shared" si="57"/>
        <v>3267</v>
      </c>
      <c r="F60" s="25">
        <v>1212</v>
      </c>
      <c r="G60" s="25">
        <v>3116</v>
      </c>
      <c r="H60" s="25">
        <f t="shared" ref="H60" si="70">SUM(F60:G60)</f>
        <v>4328</v>
      </c>
      <c r="I60" s="25">
        <v>1633</v>
      </c>
      <c r="J60" s="25">
        <v>3123</v>
      </c>
      <c r="K60" s="25">
        <f t="shared" ref="K60" si="71">SUM(I60:J60)</f>
        <v>4756</v>
      </c>
      <c r="L60" s="43"/>
      <c r="P60" s="3"/>
      <c r="Q60"/>
      <c r="R60"/>
      <c r="S60"/>
      <c r="T60"/>
      <c r="V60" s="3"/>
      <c r="W60"/>
      <c r="X60"/>
      <c r="Y60"/>
      <c r="Z60"/>
      <c r="AA60"/>
      <c r="AB60"/>
      <c r="AC60"/>
      <c r="AD60"/>
      <c r="AF60" s="3"/>
      <c r="AG60"/>
      <c r="AH60"/>
      <c r="AI60"/>
      <c r="AJ60"/>
    </row>
    <row r="61" spans="2:36" hidden="1" outlineLevel="1" x14ac:dyDescent="0.55000000000000004">
      <c r="B61" s="50" t="s">
        <v>141</v>
      </c>
      <c r="C61" s="53"/>
      <c r="D61" s="54"/>
      <c r="E61" s="54"/>
      <c r="F61" s="53"/>
      <c r="G61" s="54"/>
      <c r="H61" s="51">
        <f>H60/E60-1</f>
        <v>0.32476277930823394</v>
      </c>
      <c r="I61" s="53"/>
      <c r="J61" s="54"/>
      <c r="K61" s="51">
        <f>K60/H60-1</f>
        <v>9.889094269870613E-2</v>
      </c>
      <c r="L61" s="43"/>
      <c r="P61" s="3"/>
      <c r="Q61"/>
      <c r="R61"/>
      <c r="S61"/>
      <c r="T61"/>
      <c r="V61" s="3"/>
      <c r="W61"/>
      <c r="X61"/>
      <c r="Y61"/>
      <c r="Z61"/>
      <c r="AA61"/>
      <c r="AB61"/>
      <c r="AC61"/>
      <c r="AD61"/>
      <c r="AF61" s="3"/>
      <c r="AG61"/>
      <c r="AH61"/>
      <c r="AI61"/>
      <c r="AJ61"/>
    </row>
    <row r="62" spans="2:36" hidden="1" outlineLevel="1" x14ac:dyDescent="0.55000000000000004">
      <c r="B62" s="50" t="s">
        <v>140</v>
      </c>
      <c r="C62" s="59"/>
      <c r="D62" s="59"/>
      <c r="E62" s="59">
        <f>E60/$E$67</f>
        <v>9.4400138696255201E-2</v>
      </c>
      <c r="F62" s="59"/>
      <c r="G62" s="59"/>
      <c r="H62" s="59">
        <f>H60/$H$67</f>
        <v>0.10047591410330818</v>
      </c>
      <c r="I62" s="59"/>
      <c r="J62" s="59"/>
      <c r="K62" s="59">
        <f>K60/$K$67</f>
        <v>0.10895012942982155</v>
      </c>
      <c r="L62" s="43"/>
      <c r="P62" s="3"/>
      <c r="Q62"/>
      <c r="R62"/>
      <c r="S62"/>
      <c r="T62"/>
      <c r="V62" s="3"/>
      <c r="W62"/>
      <c r="X62"/>
      <c r="Y62"/>
      <c r="Z62"/>
      <c r="AA62"/>
      <c r="AB62"/>
      <c r="AC62"/>
      <c r="AD62"/>
      <c r="AF62" s="3"/>
      <c r="AG62"/>
      <c r="AH62"/>
      <c r="AI62"/>
      <c r="AJ62"/>
    </row>
    <row r="63" spans="2:36" collapsed="1" x14ac:dyDescent="0.55000000000000004">
      <c r="B63" s="67" t="s">
        <v>119</v>
      </c>
      <c r="C63" s="68">
        <f>SUM(C42:C60)</f>
        <v>4931</v>
      </c>
      <c r="D63" s="68">
        <f t="shared" ref="D63:J63" si="72">SUM(D42:D60)</f>
        <v>6856</v>
      </c>
      <c r="E63" s="68">
        <f>SUM(C63:D63)</f>
        <v>11787</v>
      </c>
      <c r="F63" s="68">
        <f t="shared" si="72"/>
        <v>5923</v>
      </c>
      <c r="G63" s="68">
        <f t="shared" si="72"/>
        <v>8444</v>
      </c>
      <c r="H63" s="68">
        <f>SUM(F63:G63)</f>
        <v>14367</v>
      </c>
      <c r="I63" s="68">
        <f t="shared" si="72"/>
        <v>6566</v>
      </c>
      <c r="J63" s="68">
        <f t="shared" si="72"/>
        <v>8121</v>
      </c>
      <c r="K63" s="68">
        <f>SUM(I63:J63)</f>
        <v>14687</v>
      </c>
      <c r="L63" s="68">
        <f t="shared" ref="L63" si="73">SUM(L51:L60)</f>
        <v>0</v>
      </c>
      <c r="M63" s="68">
        <f t="shared" ref="M63" si="74">SUM(M51:M60)</f>
        <v>0</v>
      </c>
      <c r="N63" s="27">
        <f>K63*(1+N64)</f>
        <v>13805.779999999999</v>
      </c>
      <c r="O63" s="27">
        <f t="shared" ref="O63:Q63" si="75">L63*(1+O64)</f>
        <v>0</v>
      </c>
      <c r="P63" s="27">
        <f t="shared" si="75"/>
        <v>0</v>
      </c>
      <c r="Q63" s="27">
        <f t="shared" si="75"/>
        <v>14634.1268</v>
      </c>
      <c r="R63" s="27">
        <f t="shared" ref="R63" si="76">O63*(1+R64)</f>
        <v>0</v>
      </c>
      <c r="S63" s="27">
        <f t="shared" ref="S63" si="77">P63*(1+S64)</f>
        <v>0</v>
      </c>
      <c r="T63" s="27">
        <f t="shared" ref="T63" si="78">Q63*(1+T64)</f>
        <v>15365.833140000001</v>
      </c>
      <c r="U63" s="27">
        <f t="shared" ref="U63" si="79">R63*(1+U64)</f>
        <v>0</v>
      </c>
      <c r="V63" s="27">
        <f t="shared" ref="V63" si="80">S63*(1+V64)</f>
        <v>0</v>
      </c>
      <c r="W63" s="27">
        <f t="shared" ref="W63" si="81">T63*(1+W64)</f>
        <v>16441.4414598</v>
      </c>
      <c r="X63" s="27">
        <f t="shared" ref="X63" si="82">U63*(1+X64)</f>
        <v>0</v>
      </c>
      <c r="Y63" s="27">
        <f t="shared" ref="Y63" si="83">V63*(1+Y64)</f>
        <v>0</v>
      </c>
      <c r="Z63" s="27">
        <f t="shared" ref="Z63" si="84">W63*(1+Z64)</f>
        <v>17674.549569284998</v>
      </c>
      <c r="AA63"/>
      <c r="AB63"/>
      <c r="AC63"/>
      <c r="AD63"/>
      <c r="AF63" s="3"/>
      <c r="AG63"/>
      <c r="AH63"/>
      <c r="AI63"/>
      <c r="AJ63"/>
    </row>
    <row r="64" spans="2:36" x14ac:dyDescent="0.55000000000000004">
      <c r="B64" s="50" t="s">
        <v>141</v>
      </c>
      <c r="C64" s="64"/>
      <c r="D64" s="64"/>
      <c r="E64" s="54"/>
      <c r="F64" s="53"/>
      <c r="G64" s="54"/>
      <c r="H64" s="51">
        <f>H63/E63-1</f>
        <v>0.21888521252227022</v>
      </c>
      <c r="I64" s="53"/>
      <c r="J64" s="54"/>
      <c r="K64" s="51">
        <f>K63/H63-1</f>
        <v>2.2273265121458996E-2</v>
      </c>
      <c r="L64" s="65"/>
      <c r="M64" s="66"/>
      <c r="N64" s="69">
        <v>-0.06</v>
      </c>
      <c r="O64" s="69"/>
      <c r="P64" s="69"/>
      <c r="Q64" s="69">
        <v>0.06</v>
      </c>
      <c r="R64" s="69"/>
      <c r="S64" s="69"/>
      <c r="T64" s="69">
        <v>0.05</v>
      </c>
      <c r="U64" s="69"/>
      <c r="V64" s="69"/>
      <c r="W64" s="69">
        <v>7.0000000000000007E-2</v>
      </c>
      <c r="X64" s="69"/>
      <c r="Y64" s="69"/>
      <c r="Z64" s="69">
        <v>7.4999999999999997E-2</v>
      </c>
      <c r="AA64"/>
      <c r="AB64"/>
      <c r="AC64"/>
      <c r="AD64"/>
      <c r="AF64" s="3"/>
      <c r="AG64"/>
      <c r="AH64"/>
      <c r="AI64"/>
      <c r="AJ64"/>
    </row>
    <row r="65" spans="2:36" x14ac:dyDescent="0.55000000000000004">
      <c r="B65" s="50" t="s">
        <v>147</v>
      </c>
      <c r="C65" s="59"/>
      <c r="D65" s="59"/>
      <c r="E65" s="58">
        <f>E63/E$67</f>
        <v>0.34058599167822468</v>
      </c>
      <c r="F65" s="58">
        <f t="shared" ref="F65:K65" si="85">F63/F$67</f>
        <v>0.35590674197812761</v>
      </c>
      <c r="G65" s="58">
        <f t="shared" si="85"/>
        <v>0.31944917338175766</v>
      </c>
      <c r="H65" s="58">
        <f t="shared" si="85"/>
        <v>0.33353453279164247</v>
      </c>
      <c r="I65" s="58">
        <f t="shared" si="85"/>
        <v>0.36192261051703228</v>
      </c>
      <c r="J65" s="58">
        <f t="shared" si="85"/>
        <v>0.31833326800203832</v>
      </c>
      <c r="K65" s="58">
        <f t="shared" si="85"/>
        <v>0.33644881222367307</v>
      </c>
      <c r="L65" s="65"/>
      <c r="M65" s="66"/>
      <c r="N65" s="69">
        <f>AVERAGE(E65:K65)</f>
        <v>0.33802587579607085</v>
      </c>
      <c r="O65" s="69"/>
      <c r="P65" s="69"/>
      <c r="Q65" s="69">
        <f>Q63/Q$67</f>
        <v>0.34972910502400567</v>
      </c>
      <c r="R65" s="69" t="e">
        <f t="shared" ref="R65:Z65" si="86">R63/R$67</f>
        <v>#DIV/0!</v>
      </c>
      <c r="S65" s="69" t="e">
        <f t="shared" si="86"/>
        <v>#DIV/0!</v>
      </c>
      <c r="T65" s="69">
        <f t="shared" si="86"/>
        <v>0.34914718175734993</v>
      </c>
      <c r="U65" s="69" t="e">
        <f t="shared" si="86"/>
        <v>#DIV/0!</v>
      </c>
      <c r="V65" s="69" t="e">
        <f t="shared" si="86"/>
        <v>#DIV/0!</v>
      </c>
      <c r="W65" s="69">
        <f t="shared" si="86"/>
        <v>0.35071530743706125</v>
      </c>
      <c r="X65" s="69" t="e">
        <f t="shared" si="86"/>
        <v>#DIV/0!</v>
      </c>
      <c r="Y65" s="69" t="e">
        <f t="shared" si="86"/>
        <v>#DIV/0!</v>
      </c>
      <c r="Z65" s="69">
        <f t="shared" si="86"/>
        <v>0.35187701775491598</v>
      </c>
      <c r="AA65"/>
      <c r="AB65"/>
      <c r="AC65"/>
      <c r="AD65"/>
      <c r="AF65" s="3"/>
      <c r="AG65"/>
      <c r="AH65"/>
      <c r="AI65"/>
      <c r="AJ65"/>
    </row>
    <row r="66" spans="2:36" x14ac:dyDescent="0.55000000000000004">
      <c r="B66" s="13" t="s">
        <v>42</v>
      </c>
      <c r="C66" s="25">
        <v>38</v>
      </c>
      <c r="D66" s="25">
        <v>28</v>
      </c>
      <c r="E66" s="25">
        <f ca="1">SUM(C66:L66)</f>
        <v>38</v>
      </c>
      <c r="F66" s="25">
        <v>34</v>
      </c>
      <c r="G66" s="25">
        <v>18</v>
      </c>
      <c r="H66" s="16">
        <v>52</v>
      </c>
      <c r="I66" s="25">
        <v>11</v>
      </c>
      <c r="J66" s="14">
        <v>0</v>
      </c>
      <c r="K66" s="25">
        <v>66</v>
      </c>
      <c r="L66" s="43"/>
      <c r="P66" s="3"/>
      <c r="Q66"/>
      <c r="R66"/>
      <c r="S66"/>
      <c r="T66"/>
      <c r="V66" s="3"/>
      <c r="W66"/>
      <c r="X66"/>
      <c r="Y66"/>
      <c r="Z66"/>
      <c r="AA66"/>
      <c r="AB66"/>
      <c r="AC66"/>
      <c r="AD66"/>
      <c r="AF66" s="3"/>
      <c r="AG66"/>
      <c r="AH66"/>
      <c r="AI66"/>
      <c r="AJ66"/>
    </row>
    <row r="67" spans="2:36" x14ac:dyDescent="0.55000000000000004">
      <c r="B67" s="71" t="s">
        <v>119</v>
      </c>
      <c r="C67" s="68">
        <f>C12+C22+C38+C63+C66</f>
        <v>13022</v>
      </c>
      <c r="D67" s="68">
        <f>D12+D22+D38+D63+D66</f>
        <v>21586</v>
      </c>
      <c r="E67" s="68">
        <f>SUM(C67:D67)</f>
        <v>34608</v>
      </c>
      <c r="F67" s="68">
        <f>F12+F22+F38+F63+F66</f>
        <v>16642</v>
      </c>
      <c r="G67" s="68">
        <f>G12+G22+G38+G63+G66</f>
        <v>26433</v>
      </c>
      <c r="H67" s="68">
        <f>SUM(F67:G67)</f>
        <v>43075</v>
      </c>
      <c r="I67" s="68">
        <f>I12+I22+I38+I63+I66</f>
        <v>18142</v>
      </c>
      <c r="J67" s="68">
        <f>J12+J22+J38+J63+J66</f>
        <v>25511</v>
      </c>
      <c r="K67" s="68">
        <f>SUM(I67:J67)</f>
        <v>43653</v>
      </c>
      <c r="L67" s="68">
        <f t="shared" ref="L67:M67" si="87">L12+L22+L38+L63+L66</f>
        <v>0</v>
      </c>
      <c r="M67" s="68">
        <f t="shared" si="87"/>
        <v>0</v>
      </c>
      <c r="N67" s="68">
        <f>N12+N22+N38+N63</f>
        <v>39855.945</v>
      </c>
      <c r="O67" s="68">
        <f t="shared" ref="O67:Z67" si="88">O12+O22+O38+O63</f>
        <v>0</v>
      </c>
      <c r="P67" s="68">
        <f t="shared" si="88"/>
        <v>0</v>
      </c>
      <c r="Q67" s="68">
        <f t="shared" si="88"/>
        <v>41844.177649999998</v>
      </c>
      <c r="R67" s="68">
        <f t="shared" si="88"/>
        <v>0</v>
      </c>
      <c r="S67" s="68">
        <f t="shared" si="88"/>
        <v>0</v>
      </c>
      <c r="T67" s="68">
        <f t="shared" si="88"/>
        <v>44009.615265000008</v>
      </c>
      <c r="U67" s="68">
        <f t="shared" si="88"/>
        <v>0</v>
      </c>
      <c r="V67" s="68">
        <f t="shared" si="88"/>
        <v>0</v>
      </c>
      <c r="W67" s="68">
        <f t="shared" si="88"/>
        <v>46879.737243149997</v>
      </c>
      <c r="X67" s="68">
        <f t="shared" si="88"/>
        <v>0</v>
      </c>
      <c r="Y67" s="68">
        <f t="shared" si="88"/>
        <v>0</v>
      </c>
      <c r="Z67" s="68">
        <f t="shared" si="88"/>
        <v>50229.337744346252</v>
      </c>
      <c r="AA67"/>
      <c r="AB67"/>
      <c r="AC67"/>
      <c r="AD67"/>
      <c r="AF67" s="2"/>
      <c r="AG67"/>
      <c r="AH67"/>
      <c r="AI67"/>
      <c r="AJ67"/>
    </row>
    <row r="68" spans="2:36" x14ac:dyDescent="0.55000000000000004">
      <c r="B68" s="66" t="s">
        <v>148</v>
      </c>
      <c r="H68" s="70">
        <f>H67/E67-1</f>
        <v>0.2446544151641239</v>
      </c>
      <c r="I68" s="70">
        <f t="shared" ref="I68:K68" si="89">I67/F67-1</f>
        <v>9.0133397428193707E-2</v>
      </c>
      <c r="J68" s="70">
        <f t="shared" si="89"/>
        <v>-3.4880641622214603E-2</v>
      </c>
      <c r="K68" s="70">
        <f t="shared" si="89"/>
        <v>1.3418456181079508E-2</v>
      </c>
      <c r="L68" s="70">
        <f t="shared" ref="L68" si="90">L67/I67-1</f>
        <v>-1</v>
      </c>
      <c r="M68" s="70">
        <f t="shared" ref="M68" si="91">M67/J67-1</f>
        <v>-1</v>
      </c>
      <c r="N68" s="70">
        <f t="shared" ref="N68" si="92">N67/K67-1</f>
        <v>-8.6982681602639E-2</v>
      </c>
      <c r="O68" s="70" t="e">
        <f t="shared" ref="O68" si="93">O67/L67-1</f>
        <v>#DIV/0!</v>
      </c>
      <c r="P68" s="70" t="e">
        <f t="shared" ref="P68" si="94">P67/M67-1</f>
        <v>#DIV/0!</v>
      </c>
      <c r="Q68" s="70">
        <f t="shared" ref="Q68" si="95">Q67/N67-1</f>
        <v>4.9885472543681919E-2</v>
      </c>
      <c r="R68" s="70" t="e">
        <f t="shared" ref="R68" si="96">R67/O67-1</f>
        <v>#DIV/0!</v>
      </c>
      <c r="S68" s="70" t="e">
        <f t="shared" ref="S68" si="97">S67/P67-1</f>
        <v>#DIV/0!</v>
      </c>
      <c r="T68" s="70">
        <f t="shared" ref="T68" si="98">T67/Q67-1</f>
        <v>5.1750033973962273E-2</v>
      </c>
      <c r="U68" s="70" t="e">
        <f t="shared" ref="U68" si="99">U67/R67-1</f>
        <v>#DIV/0!</v>
      </c>
      <c r="V68" s="70" t="e">
        <f t="shared" ref="V68" si="100">V67/S67-1</f>
        <v>#DIV/0!</v>
      </c>
      <c r="W68" s="70">
        <f t="shared" ref="W68" si="101">W67/T67-1</f>
        <v>6.5215793432135349E-2</v>
      </c>
      <c r="X68" s="70" t="e">
        <f t="shared" ref="X68" si="102">X67/U67-1</f>
        <v>#DIV/0!</v>
      </c>
      <c r="Y68" s="70" t="e">
        <f t="shared" ref="Y68" si="103">Y67/V67-1</f>
        <v>#DIV/0!</v>
      </c>
      <c r="Z68" s="70">
        <f t="shared" ref="Z68" si="104">Z67/W67-1</f>
        <v>7.145092311040413E-2</v>
      </c>
    </row>
  </sheetData>
  <dataConsolidate/>
  <mergeCells count="8">
    <mergeCell ref="U3:W3"/>
    <mergeCell ref="X3:Z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8C7E-750A-4B87-82A5-FB775C785D34}">
  <dimension ref="B2:K35"/>
  <sheetViews>
    <sheetView showGridLines="0" topLeftCell="B17" workbookViewId="0">
      <selection activeCell="F35" sqref="F35"/>
    </sheetView>
  </sheetViews>
  <sheetFormatPr defaultColWidth="9.15625" defaultRowHeight="14.4" x14ac:dyDescent="0.55000000000000004"/>
  <cols>
    <col min="1" max="1" width="9.15625" style="12"/>
    <col min="2" max="2" width="52.89453125" style="12" bestFit="1" customWidth="1"/>
    <col min="3" max="6" width="16.734375" style="12" customWidth="1"/>
    <col min="7" max="11" width="17.5234375" style="12" customWidth="1"/>
    <col min="12" max="16384" width="9.15625" style="12"/>
  </cols>
  <sheetData>
    <row r="2" spans="2:11" x14ac:dyDescent="0.55000000000000004">
      <c r="B2" s="20" t="s">
        <v>111</v>
      </c>
      <c r="C2" s="21"/>
      <c r="D2" s="21"/>
      <c r="E2" s="21"/>
      <c r="F2" s="21"/>
      <c r="G2" s="22"/>
      <c r="H2" s="22"/>
      <c r="I2" s="22"/>
      <c r="J2" s="22"/>
      <c r="K2" s="118"/>
    </row>
    <row r="3" spans="2:11" x14ac:dyDescent="0.55000000000000004">
      <c r="B3" s="4" t="s">
        <v>153</v>
      </c>
      <c r="C3" s="5"/>
      <c r="D3" s="5"/>
      <c r="E3" s="5"/>
      <c r="F3" s="5"/>
      <c r="G3" s="6"/>
      <c r="H3" s="6"/>
      <c r="I3" s="6"/>
      <c r="J3" s="6"/>
    </row>
    <row r="4" spans="2:11" x14ac:dyDescent="0.55000000000000004">
      <c r="B4" s="7" t="s">
        <v>101</v>
      </c>
      <c r="C4" s="8" t="s">
        <v>102</v>
      </c>
      <c r="D4" s="8" t="s">
        <v>103</v>
      </c>
      <c r="E4" s="8" t="s">
        <v>104</v>
      </c>
      <c r="F4" s="9" t="s">
        <v>105</v>
      </c>
      <c r="G4" s="9" t="s">
        <v>106</v>
      </c>
      <c r="H4" s="9" t="s">
        <v>107</v>
      </c>
      <c r="I4" s="9" t="s">
        <v>108</v>
      </c>
      <c r="J4" s="9" t="s">
        <v>109</v>
      </c>
      <c r="K4" s="47"/>
    </row>
    <row r="5" spans="2:11" x14ac:dyDescent="0.55000000000000004">
      <c r="B5" s="41" t="s">
        <v>155</v>
      </c>
    </row>
    <row r="6" spans="2:11" x14ac:dyDescent="0.55000000000000004">
      <c r="B6" s="12" t="s">
        <v>156</v>
      </c>
      <c r="C6" s="72">
        <f>'Balance Sheet'!C8</f>
        <v>6414</v>
      </c>
      <c r="D6" s="72">
        <f>'Balance Sheet'!D8</f>
        <v>6487</v>
      </c>
      <c r="E6" s="72">
        <f>'Balance Sheet'!E8</f>
        <v>6218</v>
      </c>
      <c r="F6" s="72">
        <f>(F8/365)*F7</f>
        <v>6355.3252720144246</v>
      </c>
      <c r="G6" s="72">
        <f t="shared" ref="G6:J6" si="0">(G8/365)*G7</f>
        <v>6672.3636763776676</v>
      </c>
      <c r="H6" s="72">
        <f t="shared" si="0"/>
        <v>7017.6587233168439</v>
      </c>
      <c r="I6" s="72">
        <f t="shared" si="0"/>
        <v>7475.3209049938969</v>
      </c>
      <c r="J6" s="72">
        <f t="shared" si="0"/>
        <v>8009.439484202212</v>
      </c>
    </row>
    <row r="7" spans="2:11" s="52" customFormat="1" x14ac:dyDescent="0.55000000000000004">
      <c r="B7" s="66" t="s">
        <v>157</v>
      </c>
      <c r="C7" s="52">
        <f>'Income Statement'!C5</f>
        <v>34608</v>
      </c>
      <c r="D7" s="52">
        <f>'Income Statement'!D5</f>
        <v>43075</v>
      </c>
      <c r="E7" s="112">
        <f>'Income Statement'!E5</f>
        <v>43653</v>
      </c>
      <c r="F7" s="112">
        <f>'Income Statement'!F5</f>
        <v>39855.945</v>
      </c>
      <c r="G7" s="112">
        <f>'Income Statement'!G5</f>
        <v>41844.177649999998</v>
      </c>
      <c r="H7" s="112">
        <f>'Income Statement'!H5</f>
        <v>44009.615265000008</v>
      </c>
      <c r="I7" s="112">
        <f>'Income Statement'!I5</f>
        <v>46879.737243149997</v>
      </c>
      <c r="J7" s="112">
        <f>'Income Statement'!J5</f>
        <v>50229.337744346252</v>
      </c>
      <c r="K7" s="112"/>
    </row>
    <row r="8" spans="2:11" s="52" customFormat="1" x14ac:dyDescent="0.55000000000000004">
      <c r="B8" s="66" t="s">
        <v>158</v>
      </c>
      <c r="C8" s="112">
        <f>(C6/C7)*365</f>
        <v>67.646497919556168</v>
      </c>
      <c r="D8" s="112">
        <f t="shared" ref="D8:E8" si="1">(D6/D7)*365</f>
        <v>54.968195008705749</v>
      </c>
      <c r="E8" s="112">
        <f t="shared" si="1"/>
        <v>51.991157537855358</v>
      </c>
      <c r="F8" s="112">
        <f>AVERAGE($C$8:$E$8)</f>
        <v>58.201950155372423</v>
      </c>
      <c r="G8" s="112">
        <f t="shared" ref="G8:J8" si="2">AVERAGE($C$8:$E$8)</f>
        <v>58.201950155372423</v>
      </c>
      <c r="H8" s="112">
        <f t="shared" si="2"/>
        <v>58.201950155372423</v>
      </c>
      <c r="I8" s="112">
        <f t="shared" si="2"/>
        <v>58.201950155372423</v>
      </c>
      <c r="J8" s="112">
        <f t="shared" si="2"/>
        <v>58.201950155372423</v>
      </c>
    </row>
    <row r="9" spans="2:11" x14ac:dyDescent="0.55000000000000004">
      <c r="B9" s="12" t="s">
        <v>159</v>
      </c>
      <c r="C9" s="72">
        <f>'Balance Sheet'!C13</f>
        <v>5012</v>
      </c>
      <c r="D9" s="72">
        <f>'Balance Sheet'!D13</f>
        <v>5157</v>
      </c>
      <c r="E9" s="72">
        <f>'Balance Sheet'!E13</f>
        <v>6173</v>
      </c>
      <c r="F9" s="72">
        <f>(F11/365)*F10</f>
        <v>5402.0334313990597</v>
      </c>
      <c r="G9" s="72">
        <f t="shared" ref="G9:J9" si="3">(G11/365)*G10</f>
        <v>5541.1367339632116</v>
      </c>
      <c r="H9" s="72">
        <f t="shared" si="3"/>
        <v>5690.7639070660562</v>
      </c>
      <c r="I9" s="72">
        <f t="shared" si="3"/>
        <v>5915.8219136208008</v>
      </c>
      <c r="J9" s="72">
        <f t="shared" si="3"/>
        <v>6182.006360174757</v>
      </c>
    </row>
    <row r="10" spans="2:11" s="52" customFormat="1" x14ac:dyDescent="0.55000000000000004">
      <c r="B10" s="66" t="s">
        <v>160</v>
      </c>
      <c r="C10" s="52">
        <f>'Income Statement'!C8</f>
        <v>15003</v>
      </c>
      <c r="D10" s="52">
        <f>'Income Statement'!D8</f>
        <v>18537</v>
      </c>
      <c r="E10" s="52">
        <f>'Income Statement'!E8</f>
        <v>19142</v>
      </c>
      <c r="F10" s="112">
        <f>'Income Statement'!F8</f>
        <v>17337.336074999999</v>
      </c>
      <c r="G10" s="112">
        <f>'Income Statement'!G8</f>
        <v>17783.775501249998</v>
      </c>
      <c r="H10" s="112">
        <f>'Income Statement'!H8</f>
        <v>18263.990334975002</v>
      </c>
      <c r="I10" s="112">
        <f>'Income Statement'!I8</f>
        <v>18986.293583475748</v>
      </c>
      <c r="J10" s="112">
        <f>'Income Statement'!J8</f>
        <v>19840.588409016767</v>
      </c>
    </row>
    <row r="11" spans="2:11" s="52" customFormat="1" x14ac:dyDescent="0.55000000000000004">
      <c r="B11" s="66" t="s">
        <v>161</v>
      </c>
      <c r="C11" s="112">
        <f>(C9/C10)*365</f>
        <v>121.93427981070452</v>
      </c>
      <c r="D11" s="112">
        <f t="shared" ref="D11:E11" si="4">(D9/D10)*365</f>
        <v>101.5431299563036</v>
      </c>
      <c r="E11" s="112">
        <f t="shared" si="4"/>
        <v>117.70687493469856</v>
      </c>
      <c r="F11" s="112">
        <f>AVERAGE($C$11:$E$11)</f>
        <v>113.72809490056891</v>
      </c>
      <c r="G11" s="112">
        <f t="shared" ref="G11:J11" si="5">AVERAGE($C$11:$E$11)</f>
        <v>113.72809490056891</v>
      </c>
      <c r="H11" s="112">
        <f t="shared" si="5"/>
        <v>113.72809490056891</v>
      </c>
      <c r="I11" s="112">
        <f t="shared" si="5"/>
        <v>113.72809490056891</v>
      </c>
      <c r="J11" s="112">
        <f t="shared" si="5"/>
        <v>113.72809490056891</v>
      </c>
    </row>
    <row r="12" spans="2:11" x14ac:dyDescent="0.55000000000000004">
      <c r="B12" s="12" t="s">
        <v>162</v>
      </c>
      <c r="C12" s="72">
        <f>'Balance Sheet'!C14</f>
        <v>1867</v>
      </c>
      <c r="D12" s="72">
        <f>'Balance Sheet'!D14</f>
        <v>2346</v>
      </c>
      <c r="E12" s="72">
        <f>'Balance Sheet'!E14</f>
        <v>2663</v>
      </c>
      <c r="F12" s="72">
        <f>F7*F13</f>
        <v>2250.7188278830758</v>
      </c>
      <c r="G12" s="72">
        <f t="shared" ref="G12:J12" si="6">G7*G13</f>
        <v>2362.9970001749848</v>
      </c>
      <c r="H12" s="72">
        <f t="shared" si="6"/>
        <v>2485.2821752144109</v>
      </c>
      <c r="I12" s="72">
        <f t="shared" si="6"/>
        <v>2647.3618241737622</v>
      </c>
      <c r="J12" s="72">
        <f t="shared" si="6"/>
        <v>2836.5182703182204</v>
      </c>
    </row>
    <row r="13" spans="2:11" x14ac:dyDescent="0.55000000000000004">
      <c r="B13" s="66" t="s">
        <v>163</v>
      </c>
      <c r="C13" s="70">
        <f>C12/C7</f>
        <v>5.3947064262598245E-2</v>
      </c>
      <c r="D13" s="70">
        <f t="shared" ref="D13:E13" si="7">D12/D7</f>
        <v>5.4463145676146255E-2</v>
      </c>
      <c r="E13" s="70">
        <f t="shared" si="7"/>
        <v>6.1003825624813872E-2</v>
      </c>
      <c r="F13" s="120">
        <f>AVERAGE($C$13:$E$13)</f>
        <v>5.6471345187852795E-2</v>
      </c>
      <c r="G13" s="120">
        <f t="shared" ref="G13:J13" si="8">AVERAGE($C$13:$E$13)</f>
        <v>5.6471345187852795E-2</v>
      </c>
      <c r="H13" s="120">
        <f t="shared" si="8"/>
        <v>5.6471345187852795E-2</v>
      </c>
      <c r="I13" s="120">
        <f t="shared" si="8"/>
        <v>5.6471345187852795E-2</v>
      </c>
      <c r="J13" s="120">
        <f t="shared" si="8"/>
        <v>5.6471345187852795E-2</v>
      </c>
    </row>
    <row r="14" spans="2:11" x14ac:dyDescent="0.55000000000000004">
      <c r="B14" s="76" t="s">
        <v>164</v>
      </c>
      <c r="C14" s="113">
        <f>C6+C9+C12</f>
        <v>13293</v>
      </c>
      <c r="D14" s="113">
        <f t="shared" ref="D14:J14" si="9">D6+D9+D12</f>
        <v>13990</v>
      </c>
      <c r="E14" s="113">
        <f t="shared" si="9"/>
        <v>15054</v>
      </c>
      <c r="F14" s="113">
        <f t="shared" si="9"/>
        <v>14008.07753129656</v>
      </c>
      <c r="G14" s="113">
        <f t="shared" si="9"/>
        <v>14576.497410515864</v>
      </c>
      <c r="H14" s="113">
        <f t="shared" si="9"/>
        <v>15193.70480559731</v>
      </c>
      <c r="I14" s="113">
        <f t="shared" si="9"/>
        <v>16038.504642788461</v>
      </c>
      <c r="J14" s="113">
        <f t="shared" si="9"/>
        <v>17027.964114695191</v>
      </c>
      <c r="K14" s="75"/>
    </row>
    <row r="15" spans="2:11" x14ac:dyDescent="0.55000000000000004">
      <c r="B15" s="41" t="s">
        <v>165</v>
      </c>
    </row>
    <row r="16" spans="2:11" x14ac:dyDescent="0.55000000000000004">
      <c r="B16" s="12" t="s">
        <v>166</v>
      </c>
      <c r="C16" s="72">
        <f>'Balance Sheet'!C30</f>
        <v>3946</v>
      </c>
      <c r="D16" s="72">
        <f>'Balance Sheet'!D30</f>
        <v>4408</v>
      </c>
      <c r="E16" s="72">
        <f>'Balance Sheet'!E30</f>
        <v>4607</v>
      </c>
      <c r="F16" s="72">
        <f>(F18/365)*F17</f>
        <v>4285.1173690768064</v>
      </c>
      <c r="G16" s="72">
        <f t="shared" ref="G16:J16" si="10">(G18/365)*G17</f>
        <v>4395.4598883305644</v>
      </c>
      <c r="H16" s="72">
        <f t="shared" si="10"/>
        <v>4514.1503789562039</v>
      </c>
      <c r="I16" s="72">
        <f t="shared" si="10"/>
        <v>4692.6757407823661</v>
      </c>
      <c r="J16" s="72">
        <f t="shared" si="10"/>
        <v>4903.8243035951373</v>
      </c>
    </row>
    <row r="17" spans="2:11" s="52" customFormat="1" x14ac:dyDescent="0.55000000000000004">
      <c r="B17" s="66" t="s">
        <v>160</v>
      </c>
      <c r="C17" s="52">
        <f>C10</f>
        <v>15003</v>
      </c>
      <c r="D17" s="52">
        <f t="shared" ref="D17:J17" si="11">D10</f>
        <v>18537</v>
      </c>
      <c r="E17" s="52">
        <f t="shared" si="11"/>
        <v>19142</v>
      </c>
      <c r="F17" s="112">
        <f t="shared" si="11"/>
        <v>17337.336074999999</v>
      </c>
      <c r="G17" s="112">
        <f t="shared" si="11"/>
        <v>17783.775501249998</v>
      </c>
      <c r="H17" s="112">
        <f t="shared" si="11"/>
        <v>18263.990334975002</v>
      </c>
      <c r="I17" s="112">
        <f t="shared" si="11"/>
        <v>18986.293583475748</v>
      </c>
      <c r="J17" s="112">
        <f t="shared" si="11"/>
        <v>19840.588409016767</v>
      </c>
    </row>
    <row r="18" spans="2:11" s="52" customFormat="1" x14ac:dyDescent="0.55000000000000004">
      <c r="B18" s="66" t="s">
        <v>167</v>
      </c>
      <c r="C18" s="112">
        <f>(C16/C17)*365</f>
        <v>96.000133306671984</v>
      </c>
      <c r="D18" s="112">
        <f t="shared" ref="D18:E18" si="12">(D16/D17)*365</f>
        <v>86.795058531585482</v>
      </c>
      <c r="E18" s="112">
        <f t="shared" si="12"/>
        <v>87.846358792184716</v>
      </c>
      <c r="F18" s="112">
        <f>AVERAGE($C$18:$E$18)</f>
        <v>90.213850210147385</v>
      </c>
      <c r="G18" s="112">
        <f t="shared" ref="G18:J18" si="13">AVERAGE($C$18:$E$18)</f>
        <v>90.213850210147385</v>
      </c>
      <c r="H18" s="112">
        <f t="shared" si="13"/>
        <v>90.213850210147385</v>
      </c>
      <c r="I18" s="112">
        <f t="shared" si="13"/>
        <v>90.213850210147385</v>
      </c>
      <c r="J18" s="112">
        <f t="shared" si="13"/>
        <v>90.213850210147385</v>
      </c>
    </row>
    <row r="19" spans="2:11" x14ac:dyDescent="0.55000000000000004">
      <c r="B19" s="12" t="s">
        <v>168</v>
      </c>
      <c r="C19" s="72">
        <f>'Balance Sheet'!C32</f>
        <v>5165</v>
      </c>
      <c r="D19" s="72">
        <f>'Balance Sheet'!D32</f>
        <v>5181</v>
      </c>
      <c r="E19" s="72">
        <f>'Balance Sheet'!E32</f>
        <v>5845</v>
      </c>
      <c r="F19" s="72">
        <f>F20*'Income Statement'!F14</f>
        <v>5215.3506858970923</v>
      </c>
      <c r="G19" s="72">
        <f>G20*'Income Statement'!G14</f>
        <v>5475.5209193440842</v>
      </c>
      <c r="H19" s="72">
        <f>H20*'Income Statement'!H14</f>
        <v>5758.8793129452806</v>
      </c>
      <c r="I19" s="72">
        <f>I20*'Income Statement'!I14</f>
        <v>6134.449196618918</v>
      </c>
      <c r="J19" s="72">
        <f>J20*'Income Statement'!J14</f>
        <v>6319.9627447030925</v>
      </c>
    </row>
    <row r="20" spans="2:11" s="52" customFormat="1" x14ac:dyDescent="0.55000000000000004">
      <c r="B20" s="66" t="s">
        <v>169</v>
      </c>
      <c r="C20" s="70">
        <f>C19/'Income Statement'!C14</f>
        <v>0.53269389438943893</v>
      </c>
      <c r="D20" s="70">
        <f>D19/'Income Statement'!D14</f>
        <v>0.45752384316495937</v>
      </c>
      <c r="E20" s="70">
        <f>E19/'Income Statement'!E14</f>
        <v>0.51964793741109527</v>
      </c>
      <c r="F20" s="70">
        <f>AVERAGE($C$20:$E$20)</f>
        <v>0.50328855832183128</v>
      </c>
      <c r="G20" s="70">
        <f t="shared" ref="G20:J20" si="14">AVERAGE($C$20:$E$20)</f>
        <v>0.50328855832183128</v>
      </c>
      <c r="H20" s="70">
        <f t="shared" si="14"/>
        <v>0.50328855832183128</v>
      </c>
      <c r="I20" s="70">
        <f t="shared" si="14"/>
        <v>0.50328855832183128</v>
      </c>
      <c r="J20" s="70">
        <f t="shared" si="14"/>
        <v>0.50328855832183128</v>
      </c>
    </row>
    <row r="21" spans="2:11" x14ac:dyDescent="0.55000000000000004">
      <c r="B21" s="76" t="s">
        <v>170</v>
      </c>
      <c r="C21" s="113">
        <f>C19+C16</f>
        <v>9111</v>
      </c>
      <c r="D21" s="113">
        <f t="shared" ref="D21:J21" si="15">D19+D16</f>
        <v>9589</v>
      </c>
      <c r="E21" s="113">
        <f t="shared" si="15"/>
        <v>10452</v>
      </c>
      <c r="F21" s="113">
        <f t="shared" si="15"/>
        <v>9500.4680549738987</v>
      </c>
      <c r="G21" s="113">
        <f t="shared" si="15"/>
        <v>9870.9808076746485</v>
      </c>
      <c r="H21" s="113">
        <f t="shared" si="15"/>
        <v>10273.029691901484</v>
      </c>
      <c r="I21" s="113">
        <f t="shared" si="15"/>
        <v>10827.124937401284</v>
      </c>
      <c r="J21" s="113">
        <f t="shared" si="15"/>
        <v>11223.787048298229</v>
      </c>
      <c r="K21" s="75"/>
    </row>
    <row r="23" spans="2:11" x14ac:dyDescent="0.55000000000000004">
      <c r="B23" s="90" t="s">
        <v>171</v>
      </c>
      <c r="C23" s="114">
        <f>C14-C21</f>
        <v>4182</v>
      </c>
      <c r="D23" s="114">
        <f t="shared" ref="D23:J23" si="16">D14-D21</f>
        <v>4401</v>
      </c>
      <c r="E23" s="114">
        <f t="shared" si="16"/>
        <v>4602</v>
      </c>
      <c r="F23" s="114">
        <f t="shared" si="16"/>
        <v>4507.6094763226611</v>
      </c>
      <c r="G23" s="114">
        <f t="shared" si="16"/>
        <v>4705.516602841215</v>
      </c>
      <c r="H23" s="114">
        <f t="shared" si="16"/>
        <v>4920.6751136958264</v>
      </c>
      <c r="I23" s="114">
        <f t="shared" si="16"/>
        <v>5211.3797053871767</v>
      </c>
      <c r="J23" s="114">
        <f t="shared" si="16"/>
        <v>5804.1770663969619</v>
      </c>
      <c r="K23" s="72"/>
    </row>
    <row r="24" spans="2:11" x14ac:dyDescent="0.55000000000000004">
      <c r="B24" s="115" t="s">
        <v>172</v>
      </c>
      <c r="C24" s="90"/>
      <c r="D24" s="114">
        <f>D23-C23</f>
        <v>219</v>
      </c>
      <c r="E24" s="114">
        <f t="shared" ref="E24:J24" si="17">E23-D23</f>
        <v>201</v>
      </c>
      <c r="F24" s="114">
        <f t="shared" si="17"/>
        <v>-94.390523677338933</v>
      </c>
      <c r="G24" s="114">
        <f t="shared" si="17"/>
        <v>197.90712651855392</v>
      </c>
      <c r="H24" s="114">
        <f t="shared" si="17"/>
        <v>215.15851085461145</v>
      </c>
      <c r="I24" s="114">
        <f t="shared" si="17"/>
        <v>290.70459169135029</v>
      </c>
      <c r="J24" s="114">
        <f t="shared" si="17"/>
        <v>592.79736100978516</v>
      </c>
      <c r="K24" s="72"/>
    </row>
    <row r="25" spans="2:11" x14ac:dyDescent="0.55000000000000004">
      <c r="B25" s="116" t="s">
        <v>141</v>
      </c>
      <c r="C25" s="90"/>
      <c r="D25" s="90"/>
      <c r="E25" s="117">
        <f>E24/D24-1</f>
        <v>-8.2191780821917804E-2</v>
      </c>
      <c r="F25" s="117">
        <f t="shared" ref="F25:J25" si="18">F24/E24-1</f>
        <v>-1.4696045954096464</v>
      </c>
      <c r="G25" s="117">
        <f t="shared" si="18"/>
        <v>-3.0966842730428352</v>
      </c>
      <c r="H25" s="117">
        <f t="shared" si="18"/>
        <v>8.7169091075859795E-2</v>
      </c>
      <c r="I25" s="117">
        <f t="shared" si="18"/>
        <v>0.35111825480046854</v>
      </c>
      <c r="J25" s="117">
        <f t="shared" si="18"/>
        <v>1.0391743988659656</v>
      </c>
      <c r="K25" s="119"/>
    </row>
    <row r="28" spans="2:11" x14ac:dyDescent="0.55000000000000004">
      <c r="B28" s="20" t="s">
        <v>111</v>
      </c>
      <c r="C28" s="21"/>
      <c r="D28" s="21"/>
      <c r="E28" s="21"/>
      <c r="F28" s="21"/>
      <c r="G28" s="22"/>
      <c r="H28" s="22"/>
      <c r="I28" s="22"/>
      <c r="J28" s="22"/>
      <c r="K28" s="118"/>
    </row>
    <row r="29" spans="2:11" x14ac:dyDescent="0.55000000000000004">
      <c r="B29" s="4" t="s">
        <v>154</v>
      </c>
      <c r="C29" s="5"/>
      <c r="D29" s="5"/>
      <c r="E29" s="5"/>
      <c r="F29" s="5"/>
      <c r="G29" s="6"/>
      <c r="H29" s="6"/>
      <c r="I29" s="6"/>
      <c r="J29" s="6"/>
    </row>
    <row r="30" spans="2:11" x14ac:dyDescent="0.55000000000000004">
      <c r="B30" s="7" t="s">
        <v>101</v>
      </c>
      <c r="C30" s="8" t="s">
        <v>102</v>
      </c>
      <c r="D30" s="8" t="s">
        <v>103</v>
      </c>
      <c r="E30" s="8" t="s">
        <v>104</v>
      </c>
      <c r="F30" s="9" t="s">
        <v>110</v>
      </c>
      <c r="G30" s="9" t="s">
        <v>105</v>
      </c>
      <c r="H30" s="9" t="s">
        <v>106</v>
      </c>
      <c r="I30" s="9" t="s">
        <v>107</v>
      </c>
      <c r="J30" s="9" t="s">
        <v>108</v>
      </c>
      <c r="K30" s="47"/>
    </row>
    <row r="31" spans="2:11" x14ac:dyDescent="0.55000000000000004">
      <c r="B31" s="12" t="s">
        <v>174</v>
      </c>
      <c r="C31" s="12">
        <f>'Cash Flow Statement'!C19*-1</f>
        <v>2177</v>
      </c>
      <c r="D31" s="12">
        <f>'Cash Flow Statement'!D19*-1</f>
        <v>1885</v>
      </c>
      <c r="E31" s="12">
        <f>'Cash Flow Statement'!E19*-1</f>
        <v>1777</v>
      </c>
      <c r="F31" s="106">
        <f>F7*F32</f>
        <v>1594.2378000000001</v>
      </c>
      <c r="G31" s="106">
        <f t="shared" ref="G31:J31" si="19">G7*G32</f>
        <v>1673.767106</v>
      </c>
      <c r="H31" s="106">
        <f t="shared" si="19"/>
        <v>1760.3846106000003</v>
      </c>
      <c r="I31" s="106">
        <f t="shared" si="19"/>
        <v>1875.1894897259999</v>
      </c>
      <c r="J31" s="106">
        <f t="shared" si="19"/>
        <v>2009.1735097738501</v>
      </c>
    </row>
    <row r="32" spans="2:11" s="52" customFormat="1" x14ac:dyDescent="0.55000000000000004">
      <c r="B32" s="66" t="s">
        <v>163</v>
      </c>
      <c r="C32" s="70">
        <f>C31/C7</f>
        <v>6.2904530744336565E-2</v>
      </c>
      <c r="D32" s="70">
        <f t="shared" ref="D32:E32" si="20">D31/D7</f>
        <v>4.3760882182240279E-2</v>
      </c>
      <c r="E32" s="70">
        <f t="shared" si="20"/>
        <v>4.0707396971571254E-2</v>
      </c>
      <c r="F32" s="120">
        <v>0.04</v>
      </c>
      <c r="G32" s="120">
        <v>0.04</v>
      </c>
      <c r="H32" s="120">
        <v>0.04</v>
      </c>
      <c r="I32" s="120">
        <v>0.04</v>
      </c>
      <c r="J32" s="120">
        <v>0.04</v>
      </c>
    </row>
    <row r="34" spans="2:10" x14ac:dyDescent="0.55000000000000004">
      <c r="B34" s="12" t="s">
        <v>175</v>
      </c>
      <c r="C34" s="12">
        <f>'Cash Flow Statement'!C8+'Cash Flow Statement'!C9</f>
        <v>3327</v>
      </c>
      <c r="D34" s="12">
        <f>'Cash Flow Statement'!D8+'Cash Flow Statement'!D9</f>
        <v>3538</v>
      </c>
      <c r="E34" s="12">
        <f>'Cash Flow Statement'!E8+'Cash Flow Statement'!E9</f>
        <v>3267</v>
      </c>
      <c r="F34" s="106">
        <f>F35*F31</f>
        <v>2786.5495461007799</v>
      </c>
      <c r="G34" s="106">
        <f t="shared" ref="G34:J34" si="21">G35*G31</f>
        <v>2925.5578869743999</v>
      </c>
      <c r="H34" s="106">
        <f t="shared" si="21"/>
        <v>3076.9556070181179</v>
      </c>
      <c r="I34" s="106">
        <f t="shared" si="21"/>
        <v>3277.6217082852622</v>
      </c>
      <c r="J34" s="106">
        <f t="shared" si="21"/>
        <v>3511.8108049489438</v>
      </c>
    </row>
    <row r="35" spans="2:10" s="52" customFormat="1" x14ac:dyDescent="0.55000000000000004">
      <c r="B35" s="66" t="s">
        <v>176</v>
      </c>
      <c r="C35" s="70">
        <f>C34/C31</f>
        <v>1.5282498851630684</v>
      </c>
      <c r="D35" s="70">
        <f t="shared" ref="D35:E35" si="22">D34/D31</f>
        <v>1.8769230769230769</v>
      </c>
      <c r="E35" s="70">
        <f t="shared" si="22"/>
        <v>1.8384918401800787</v>
      </c>
      <c r="F35" s="120">
        <f>AVERAGE($C$35:$E$35)</f>
        <v>1.7478882674220746</v>
      </c>
      <c r="G35" s="120">
        <f t="shared" ref="G35:J35" si="23">AVERAGE($C$35:$E$35)</f>
        <v>1.7478882674220746</v>
      </c>
      <c r="H35" s="120">
        <f t="shared" si="23"/>
        <v>1.7478882674220746</v>
      </c>
      <c r="I35" s="120">
        <f t="shared" si="23"/>
        <v>1.7478882674220746</v>
      </c>
      <c r="J35" s="120">
        <f t="shared" si="23"/>
        <v>1.7478882674220746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A040-F155-4F63-9BAD-37F7142C4E2F}">
  <dimension ref="B3:K21"/>
  <sheetViews>
    <sheetView showGridLines="0" workbookViewId="0">
      <selection activeCell="K10" sqref="K10"/>
    </sheetView>
  </sheetViews>
  <sheetFormatPr defaultColWidth="9.15625" defaultRowHeight="14.4" x14ac:dyDescent="0.55000000000000004"/>
  <cols>
    <col min="1" max="1" width="9.15625" style="12"/>
    <col min="2" max="2" width="30.5234375" style="12" customWidth="1"/>
    <col min="3" max="4" width="8.734375" style="12"/>
    <col min="5" max="5" width="12.5234375" style="12" customWidth="1"/>
    <col min="6" max="8" width="8.734375" style="12"/>
    <col min="9" max="9" width="18.7890625" style="12" bestFit="1" customWidth="1"/>
    <col min="10" max="16384" width="9.15625" style="12"/>
  </cols>
  <sheetData>
    <row r="3" spans="2:11" x14ac:dyDescent="0.55000000000000004">
      <c r="B3" s="121" t="s">
        <v>197</v>
      </c>
      <c r="C3" s="122"/>
      <c r="D3" s="122"/>
      <c r="E3" s="123"/>
      <c r="I3" s="121" t="s">
        <v>177</v>
      </c>
      <c r="J3" s="122"/>
      <c r="K3" s="123"/>
    </row>
    <row r="4" spans="2:11" x14ac:dyDescent="0.55000000000000004">
      <c r="B4" s="124" t="s">
        <v>178</v>
      </c>
      <c r="C4" s="125"/>
      <c r="D4" s="125"/>
      <c r="E4" s="126"/>
      <c r="I4" s="43" t="s">
        <v>179</v>
      </c>
      <c r="K4" s="93">
        <f>'Income Statement'!E16</f>
        <v>8362</v>
      </c>
    </row>
    <row r="5" spans="2:11" x14ac:dyDescent="0.55000000000000004">
      <c r="B5" s="43"/>
      <c r="E5" s="86"/>
      <c r="I5" s="43" t="s">
        <v>180</v>
      </c>
      <c r="K5" s="93">
        <f>'Income Statement'!E17</f>
        <v>558</v>
      </c>
    </row>
    <row r="6" spans="2:11" x14ac:dyDescent="0.55000000000000004">
      <c r="B6" s="43" t="s">
        <v>181</v>
      </c>
      <c r="E6" s="93">
        <f>DCF!E33</f>
        <v>17946</v>
      </c>
      <c r="I6" s="43" t="s">
        <v>182</v>
      </c>
      <c r="K6" s="100">
        <f>K4/K5</f>
        <v>14.985663082437275</v>
      </c>
    </row>
    <row r="7" spans="2:11" x14ac:dyDescent="0.55000000000000004">
      <c r="B7" s="43" t="s">
        <v>183</v>
      </c>
      <c r="E7" s="94">
        <f>E6/(E6+E12)</f>
        <v>8.9136599827627519E-2</v>
      </c>
      <c r="I7" s="43" t="s">
        <v>184</v>
      </c>
      <c r="K7" s="127">
        <v>1.5900000000000001E-2</v>
      </c>
    </row>
    <row r="8" spans="2:11" x14ac:dyDescent="0.55000000000000004">
      <c r="B8" s="43"/>
      <c r="E8" s="86"/>
      <c r="I8" s="43" t="s">
        <v>185</v>
      </c>
      <c r="K8" s="96">
        <v>3.4599999999999999E-2</v>
      </c>
    </row>
    <row r="9" spans="2:11" x14ac:dyDescent="0.55000000000000004">
      <c r="B9" s="43" t="s">
        <v>186</v>
      </c>
      <c r="E9" s="99">
        <f>K10</f>
        <v>5.0500000000000003E-2</v>
      </c>
      <c r="I9" s="43"/>
      <c r="K9" s="86"/>
    </row>
    <row r="10" spans="2:11" x14ac:dyDescent="0.55000000000000004">
      <c r="B10" s="43" t="s">
        <v>187</v>
      </c>
      <c r="E10" s="96">
        <f>E9*(0.835)</f>
        <v>4.2167500000000004E-2</v>
      </c>
      <c r="I10" s="87" t="s">
        <v>188</v>
      </c>
      <c r="J10" s="88"/>
      <c r="K10" s="97">
        <f>K7+K8</f>
        <v>5.0500000000000003E-2</v>
      </c>
    </row>
    <row r="11" spans="2:11" x14ac:dyDescent="0.55000000000000004">
      <c r="B11" s="43"/>
      <c r="E11" s="86"/>
    </row>
    <row r="12" spans="2:11" x14ac:dyDescent="0.55000000000000004">
      <c r="B12" s="43" t="s">
        <v>189</v>
      </c>
      <c r="E12" s="104">
        <f>K12*K13</f>
        <v>183385.44</v>
      </c>
      <c r="I12" s="89" t="s">
        <v>190</v>
      </c>
      <c r="J12" s="90"/>
      <c r="K12" s="91">
        <v>1764</v>
      </c>
    </row>
    <row r="13" spans="2:11" x14ac:dyDescent="0.55000000000000004">
      <c r="B13" s="43" t="s">
        <v>191</v>
      </c>
      <c r="E13" s="94">
        <f>E12/(E12+E6)</f>
        <v>0.91086340017237244</v>
      </c>
      <c r="I13" s="92" t="s">
        <v>192</v>
      </c>
      <c r="J13" s="39"/>
      <c r="K13" s="98">
        <v>103.96</v>
      </c>
    </row>
    <row r="14" spans="2:11" x14ac:dyDescent="0.55000000000000004">
      <c r="B14" s="43"/>
      <c r="E14" s="86"/>
    </row>
    <row r="15" spans="2:11" x14ac:dyDescent="0.55000000000000004">
      <c r="B15" s="43" t="s">
        <v>193</v>
      </c>
      <c r="E15" s="95">
        <v>0.09</v>
      </c>
    </row>
    <row r="16" spans="2:11" x14ac:dyDescent="0.55000000000000004">
      <c r="B16" s="43" t="s">
        <v>185</v>
      </c>
      <c r="E16" s="99">
        <f>K8</f>
        <v>3.4599999999999999E-2</v>
      </c>
    </row>
    <row r="17" spans="2:5" x14ac:dyDescent="0.55000000000000004">
      <c r="B17" s="43" t="s">
        <v>194</v>
      </c>
      <c r="E17" s="99">
        <v>5.7500000000000002E-2</v>
      </c>
    </row>
    <row r="18" spans="2:5" x14ac:dyDescent="0.55000000000000004">
      <c r="B18" s="43" t="s">
        <v>195</v>
      </c>
      <c r="E18" s="100">
        <v>0.76400000000000001</v>
      </c>
    </row>
    <row r="19" spans="2:5" x14ac:dyDescent="0.55000000000000004">
      <c r="B19" s="43" t="s">
        <v>196</v>
      </c>
      <c r="E19" s="99">
        <f>E16+(E17*E18)</f>
        <v>7.8530000000000003E-2</v>
      </c>
    </row>
    <row r="20" spans="2:5" x14ac:dyDescent="0.55000000000000004">
      <c r="B20" s="43"/>
      <c r="E20" s="86"/>
    </row>
    <row r="21" spans="2:5" x14ac:dyDescent="0.55000000000000004">
      <c r="B21" s="87" t="s">
        <v>178</v>
      </c>
      <c r="C21" s="88"/>
      <c r="D21" s="88"/>
      <c r="E21" s="97">
        <f>(E7*E10)+(E13*E19)</f>
        <v>7.5288770388767898E-2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0764-28D0-411A-8937-6C07D3A51E59}">
  <dimension ref="B2:J38"/>
  <sheetViews>
    <sheetView showGridLines="0" topLeftCell="B8" zoomScale="80" zoomScaleNormal="80" workbookViewId="0">
      <selection activeCell="E41" sqref="E41"/>
    </sheetView>
  </sheetViews>
  <sheetFormatPr defaultColWidth="9.15625" defaultRowHeight="14.4" x14ac:dyDescent="0.55000000000000004"/>
  <cols>
    <col min="1" max="1" width="9.15625" style="12"/>
    <col min="2" max="2" width="50.62890625" style="12" customWidth="1"/>
    <col min="3" max="6" width="16.734375" style="12" customWidth="1"/>
    <col min="7" max="10" width="17.5234375" style="12" customWidth="1"/>
    <col min="11" max="16384" width="9.15625" style="12"/>
  </cols>
  <sheetData>
    <row r="2" spans="2:10" x14ac:dyDescent="0.55000000000000004">
      <c r="B2" s="20" t="s">
        <v>111</v>
      </c>
      <c r="C2" s="21"/>
      <c r="D2" s="21"/>
      <c r="E2" s="21"/>
      <c r="F2" s="21"/>
      <c r="G2" s="22"/>
      <c r="H2" s="22"/>
      <c r="I2" s="22"/>
      <c r="J2" s="22"/>
    </row>
    <row r="3" spans="2:10" x14ac:dyDescent="0.55000000000000004">
      <c r="B3" s="4" t="s">
        <v>100</v>
      </c>
      <c r="C3" s="5"/>
      <c r="D3" s="5"/>
      <c r="E3" s="5"/>
      <c r="F3" s="5"/>
      <c r="G3" s="6"/>
      <c r="H3" s="6"/>
      <c r="I3" s="6"/>
      <c r="J3" s="6"/>
    </row>
    <row r="4" spans="2:10" x14ac:dyDescent="0.55000000000000004">
      <c r="B4" s="7" t="s">
        <v>101</v>
      </c>
      <c r="C4" s="8" t="s">
        <v>102</v>
      </c>
      <c r="D4" s="8" t="s">
        <v>103</v>
      </c>
      <c r="E4" s="8" t="s">
        <v>104</v>
      </c>
      <c r="F4" s="129" t="s">
        <v>105</v>
      </c>
      <c r="G4" s="9" t="s">
        <v>106</v>
      </c>
      <c r="H4" s="9" t="s">
        <v>107</v>
      </c>
      <c r="I4" s="9" t="s">
        <v>108</v>
      </c>
      <c r="J4" s="9" t="s">
        <v>109</v>
      </c>
    </row>
    <row r="5" spans="2:10" x14ac:dyDescent="0.55000000000000004">
      <c r="B5" s="41" t="s">
        <v>198</v>
      </c>
      <c r="C5" s="128">
        <f>'Income Statement'!C5</f>
        <v>34608</v>
      </c>
      <c r="D5" s="128">
        <f>'Income Statement'!D5</f>
        <v>43075</v>
      </c>
      <c r="E5" s="128">
        <f>'Income Statement'!E5</f>
        <v>43653</v>
      </c>
      <c r="F5" s="130">
        <f>'Income Statement'!F5</f>
        <v>39855.945</v>
      </c>
      <c r="G5" s="128">
        <f>'Income Statement'!G5</f>
        <v>41844.177649999998</v>
      </c>
      <c r="H5" s="128">
        <f>'Income Statement'!H5</f>
        <v>44009.615265000008</v>
      </c>
      <c r="I5" s="128">
        <f>'Income Statement'!I5</f>
        <v>46879.737243149997</v>
      </c>
      <c r="J5" s="128">
        <f>'Income Statement'!J5</f>
        <v>50229.337744346252</v>
      </c>
    </row>
    <row r="6" spans="2:10" x14ac:dyDescent="0.55000000000000004">
      <c r="B6" s="66" t="s">
        <v>149</v>
      </c>
      <c r="C6" s="70"/>
      <c r="D6" s="70">
        <f>D5/C5-1</f>
        <v>0.2446544151641239</v>
      </c>
      <c r="E6" s="70">
        <f t="shared" ref="E6:J6" si="0">E5/D5-1</f>
        <v>1.3418456181079508E-2</v>
      </c>
      <c r="F6" s="131">
        <f t="shared" si="0"/>
        <v>-8.6982681602639E-2</v>
      </c>
      <c r="G6" s="70">
        <f t="shared" si="0"/>
        <v>4.9885472543681919E-2</v>
      </c>
      <c r="H6" s="70">
        <f t="shared" si="0"/>
        <v>5.1750033973962273E-2</v>
      </c>
      <c r="I6" s="70">
        <f t="shared" si="0"/>
        <v>6.5215793432135349E-2</v>
      </c>
      <c r="J6" s="70">
        <f t="shared" si="0"/>
        <v>7.145092311040413E-2</v>
      </c>
    </row>
    <row r="7" spans="2:10" x14ac:dyDescent="0.55000000000000004">
      <c r="B7" s="41" t="s">
        <v>179</v>
      </c>
      <c r="C7" s="128">
        <f>'Income Statement'!C16</f>
        <v>5357</v>
      </c>
      <c r="D7" s="128">
        <f>'Income Statement'!D16</f>
        <v>8425</v>
      </c>
      <c r="E7" s="128">
        <f>'Income Statement'!E16</f>
        <v>8362</v>
      </c>
      <c r="F7" s="130">
        <f>'Income Statement'!F16</f>
        <v>7373.3498249999993</v>
      </c>
      <c r="G7" s="128">
        <f>'Income Statement'!G16</f>
        <v>7950.3937535000005</v>
      </c>
      <c r="H7" s="128">
        <f>'Income Statement'!H16</f>
        <v>8581.8749766750025</v>
      </c>
      <c r="I7" s="128">
        <f>'Income Statement'!I16</f>
        <v>9375.9474486300005</v>
      </c>
      <c r="J7" s="128">
        <f>'Income Statement'!J16</f>
        <v>10799.307615034446</v>
      </c>
    </row>
    <row r="8" spans="2:10" x14ac:dyDescent="0.55000000000000004">
      <c r="B8" s="66" t="s">
        <v>199</v>
      </c>
      <c r="C8" s="70">
        <f>C7/C5</f>
        <v>0.15479079981507166</v>
      </c>
      <c r="D8" s="70">
        <f t="shared" ref="D8:J8" si="1">D7/D5</f>
        <v>0.19558908879860709</v>
      </c>
      <c r="E8" s="70">
        <f t="shared" si="1"/>
        <v>0.19155613588985865</v>
      </c>
      <c r="F8" s="131">
        <f t="shared" si="1"/>
        <v>0.185</v>
      </c>
      <c r="G8" s="70">
        <f t="shared" si="1"/>
        <v>0.19000000000000003</v>
      </c>
      <c r="H8" s="70">
        <f t="shared" si="1"/>
        <v>0.19500000000000003</v>
      </c>
      <c r="I8" s="70">
        <f t="shared" si="1"/>
        <v>0.2</v>
      </c>
      <c r="J8" s="70">
        <f t="shared" si="1"/>
        <v>0.21500000000000002</v>
      </c>
    </row>
    <row r="9" spans="2:10" x14ac:dyDescent="0.55000000000000004">
      <c r="B9" s="41" t="s">
        <v>200</v>
      </c>
      <c r="C9" s="128">
        <f>'Income Statement'!C22</f>
        <v>497</v>
      </c>
      <c r="D9" s="128">
        <f>'Income Statement'!D22</f>
        <v>1140</v>
      </c>
      <c r="E9" s="128">
        <f>'Income Statement'!E22</f>
        <v>1373</v>
      </c>
      <c r="F9" s="130">
        <f>'Income Statement'!F22</f>
        <v>1194.0862193749997</v>
      </c>
      <c r="G9" s="128">
        <f>'Income Statement'!G22</f>
        <v>1295.0689068624999</v>
      </c>
      <c r="H9" s="128">
        <f>'Income Statement'!H22</f>
        <v>1405.5781209181253</v>
      </c>
      <c r="I9" s="128">
        <f>'Income Statement'!I22</f>
        <v>1544.54080351025</v>
      </c>
      <c r="J9" s="128">
        <f>'Income Statement'!J22</f>
        <v>1793.628832631028</v>
      </c>
    </row>
    <row r="10" spans="2:10" x14ac:dyDescent="0.55000000000000004">
      <c r="B10" s="66" t="s">
        <v>201</v>
      </c>
      <c r="C10" s="70">
        <v>0.1</v>
      </c>
      <c r="D10" s="70">
        <v>0.13900000000000001</v>
      </c>
      <c r="E10" s="70">
        <v>0.16500000000000001</v>
      </c>
      <c r="F10" s="131">
        <f>'Income Statement'!F23</f>
        <v>0.17499999999999999</v>
      </c>
      <c r="G10" s="70">
        <f>'Income Statement'!G23</f>
        <v>0.17499999999999999</v>
      </c>
      <c r="H10" s="70">
        <f>'Income Statement'!H23</f>
        <v>0.17499999999999999</v>
      </c>
      <c r="I10" s="70">
        <f>'Income Statement'!I23</f>
        <v>0.17499999999999999</v>
      </c>
      <c r="J10" s="70">
        <f>'Income Statement'!J23</f>
        <v>0.17499999999999999</v>
      </c>
    </row>
    <row r="11" spans="2:10" x14ac:dyDescent="0.55000000000000004">
      <c r="B11" s="41" t="s">
        <v>202</v>
      </c>
      <c r="C11" s="128">
        <f>C7-C9</f>
        <v>4860</v>
      </c>
      <c r="D11" s="128">
        <f t="shared" ref="D11:J11" si="2">D7-D9</f>
        <v>7285</v>
      </c>
      <c r="E11" s="128">
        <f t="shared" si="2"/>
        <v>6989</v>
      </c>
      <c r="F11" s="130">
        <f t="shared" si="2"/>
        <v>6179.2636056249994</v>
      </c>
      <c r="G11" s="128">
        <f t="shared" si="2"/>
        <v>6655.3248466375007</v>
      </c>
      <c r="H11" s="128">
        <f t="shared" si="2"/>
        <v>7176.2968557568774</v>
      </c>
      <c r="I11" s="128">
        <f t="shared" si="2"/>
        <v>7831.4066451197505</v>
      </c>
      <c r="J11" s="128">
        <f t="shared" si="2"/>
        <v>9005.6787824034182</v>
      </c>
    </row>
    <row r="12" spans="2:10" x14ac:dyDescent="0.55000000000000004">
      <c r="F12" s="43"/>
    </row>
    <row r="13" spans="2:10" x14ac:dyDescent="0.55000000000000004">
      <c r="F13" s="43"/>
    </row>
    <row r="14" spans="2:10" x14ac:dyDescent="0.55000000000000004">
      <c r="B14" s="12" t="s">
        <v>203</v>
      </c>
      <c r="C14" s="106">
        <f>'CapEx + D&amp;A'!C34</f>
        <v>3327</v>
      </c>
      <c r="D14" s="106">
        <f>'CapEx + D&amp;A'!D34</f>
        <v>3538</v>
      </c>
      <c r="E14" s="106">
        <f>'CapEx + D&amp;A'!E34</f>
        <v>3267</v>
      </c>
      <c r="F14" s="133">
        <f>'CapEx + D&amp;A'!F34</f>
        <v>2786.5495461007799</v>
      </c>
      <c r="G14" s="106">
        <f>'CapEx + D&amp;A'!G34</f>
        <v>2925.5578869743999</v>
      </c>
      <c r="H14" s="106">
        <f>'CapEx + D&amp;A'!H34</f>
        <v>3076.9556070181179</v>
      </c>
      <c r="I14" s="106">
        <f>'CapEx + D&amp;A'!I34</f>
        <v>3277.6217082852622</v>
      </c>
      <c r="J14" s="106">
        <f>'CapEx + D&amp;A'!J34</f>
        <v>3511.8108049489438</v>
      </c>
    </row>
    <row r="15" spans="2:10" x14ac:dyDescent="0.55000000000000004">
      <c r="B15" s="12" t="s">
        <v>204</v>
      </c>
      <c r="C15" s="12">
        <f>'CapEx + D&amp;A'!C31</f>
        <v>2177</v>
      </c>
      <c r="D15" s="12">
        <f>'CapEx + D&amp;A'!D31</f>
        <v>1885</v>
      </c>
      <c r="E15" s="12">
        <f>'CapEx + D&amp;A'!E31</f>
        <v>1777</v>
      </c>
      <c r="F15" s="133">
        <f>'CapEx + D&amp;A'!F31</f>
        <v>1594.2378000000001</v>
      </c>
      <c r="G15" s="106">
        <f>'CapEx + D&amp;A'!G31</f>
        <v>1673.767106</v>
      </c>
      <c r="H15" s="106">
        <f>'CapEx + D&amp;A'!H31</f>
        <v>1760.3846106000003</v>
      </c>
      <c r="I15" s="106">
        <f>'CapEx + D&amp;A'!I31</f>
        <v>1875.1894897259999</v>
      </c>
      <c r="J15" s="106">
        <f>'CapEx + D&amp;A'!J31</f>
        <v>2009.1735097738501</v>
      </c>
    </row>
    <row r="16" spans="2:10" x14ac:dyDescent="0.55000000000000004">
      <c r="B16" s="12" t="s">
        <v>205</v>
      </c>
      <c r="C16" s="14">
        <f>'CapEx + D&amp;A'!C24</f>
        <v>0</v>
      </c>
      <c r="D16" s="12">
        <f>'CapEx + D&amp;A'!D24</f>
        <v>219</v>
      </c>
      <c r="E16" s="12">
        <f>'CapEx + D&amp;A'!E24</f>
        <v>201</v>
      </c>
      <c r="F16" s="133">
        <f>'CapEx + D&amp;A'!F24</f>
        <v>-94.390523677338933</v>
      </c>
      <c r="G16" s="106">
        <f>'CapEx + D&amp;A'!G24</f>
        <v>197.90712651855392</v>
      </c>
      <c r="H16" s="106">
        <f>'CapEx + D&amp;A'!H24</f>
        <v>215.15851085461145</v>
      </c>
      <c r="I16" s="106">
        <f>'CapEx + D&amp;A'!I24</f>
        <v>290.70459169135029</v>
      </c>
      <c r="J16" s="106">
        <f>'CapEx + D&amp;A'!J24</f>
        <v>592.79736100978516</v>
      </c>
    </row>
    <row r="17" spans="2:10" x14ac:dyDescent="0.55000000000000004">
      <c r="F17" s="43"/>
    </row>
    <row r="18" spans="2:10" x14ac:dyDescent="0.55000000000000004">
      <c r="B18" s="76" t="s">
        <v>206</v>
      </c>
      <c r="C18" s="132">
        <f>C11+C14-C15-C16</f>
        <v>6010</v>
      </c>
      <c r="D18" s="132">
        <f t="shared" ref="D18:J18" si="3">D11+D14-D15-D16</f>
        <v>8719</v>
      </c>
      <c r="E18" s="132">
        <f t="shared" si="3"/>
        <v>8278</v>
      </c>
      <c r="F18" s="134">
        <f t="shared" si="3"/>
        <v>7465.9658754031179</v>
      </c>
      <c r="G18" s="132">
        <f t="shared" si="3"/>
        <v>7709.208501093347</v>
      </c>
      <c r="H18" s="132">
        <f t="shared" si="3"/>
        <v>8277.7093413203838</v>
      </c>
      <c r="I18" s="132">
        <f t="shared" si="3"/>
        <v>8943.1342719876611</v>
      </c>
      <c r="J18" s="132">
        <f t="shared" si="3"/>
        <v>9915.5187165687257</v>
      </c>
    </row>
    <row r="19" spans="2:10" x14ac:dyDescent="0.55000000000000004">
      <c r="B19" s="66" t="s">
        <v>207</v>
      </c>
      <c r="F19" s="62">
        <f>0.5</f>
        <v>0.5</v>
      </c>
      <c r="G19" s="52">
        <f>F19+1</f>
        <v>1.5</v>
      </c>
      <c r="H19" s="52">
        <f t="shared" ref="H19:J19" si="4">G19+1</f>
        <v>2.5</v>
      </c>
      <c r="I19" s="52">
        <f t="shared" si="4"/>
        <v>3.5</v>
      </c>
      <c r="J19" s="52">
        <f t="shared" si="4"/>
        <v>4.5</v>
      </c>
    </row>
    <row r="20" spans="2:10" x14ac:dyDescent="0.55000000000000004">
      <c r="B20" s="66" t="s">
        <v>208</v>
      </c>
      <c r="F20" s="135">
        <f>F18/E18-1</f>
        <v>-9.8095448731201018E-2</v>
      </c>
      <c r="G20" s="105">
        <f t="shared" ref="G20:J20" si="5">G18/F18-1</f>
        <v>3.2580195215142993E-2</v>
      </c>
      <c r="H20" s="105">
        <f t="shared" si="5"/>
        <v>7.3743087911866789E-2</v>
      </c>
      <c r="I20" s="105">
        <f t="shared" si="5"/>
        <v>8.0387568979455759E-2</v>
      </c>
      <c r="J20" s="105">
        <f t="shared" si="5"/>
        <v>0.10872971544515875</v>
      </c>
    </row>
    <row r="21" spans="2:10" x14ac:dyDescent="0.55000000000000004">
      <c r="B21" s="12" t="s">
        <v>209</v>
      </c>
      <c r="F21" s="103">
        <f>F18/(1+$E$27)^F19</f>
        <v>7199.8499480283917</v>
      </c>
      <c r="G21" s="103">
        <f t="shared" ref="G21:J21" si="6">G18/(1+$E$27)^G19</f>
        <v>6913.884595081372</v>
      </c>
      <c r="H21" s="103">
        <f t="shared" si="6"/>
        <v>6903.9461761559414</v>
      </c>
      <c r="I21" s="103">
        <f t="shared" si="6"/>
        <v>6936.683271532137</v>
      </c>
      <c r="J21" s="103">
        <f t="shared" si="6"/>
        <v>7152.4106654609541</v>
      </c>
    </row>
    <row r="23" spans="2:10" x14ac:dyDescent="0.55000000000000004">
      <c r="B23" s="136" t="s">
        <v>210</v>
      </c>
      <c r="C23" s="136"/>
      <c r="D23" s="136"/>
      <c r="E23" s="136"/>
      <c r="F23" s="136"/>
      <c r="G23" s="136"/>
      <c r="H23" s="136"/>
      <c r="I23" s="136"/>
      <c r="J23" s="136"/>
    </row>
    <row r="24" spans="2:10" x14ac:dyDescent="0.55000000000000004">
      <c r="B24" s="77"/>
      <c r="C24" s="77"/>
      <c r="D24" s="77"/>
      <c r="E24" s="77"/>
      <c r="F24" s="77"/>
      <c r="G24" s="77"/>
      <c r="H24" s="77"/>
      <c r="I24" s="77"/>
      <c r="J24" s="77"/>
    </row>
    <row r="25" spans="2:10" x14ac:dyDescent="0.55000000000000004">
      <c r="B25" s="78" t="s">
        <v>211</v>
      </c>
      <c r="C25" s="77"/>
      <c r="D25" s="77"/>
      <c r="E25" s="77"/>
      <c r="F25" s="78" t="s">
        <v>212</v>
      </c>
      <c r="G25" s="77"/>
      <c r="H25" s="77"/>
      <c r="I25" s="77"/>
      <c r="J25" s="77"/>
    </row>
    <row r="26" spans="2:10" x14ac:dyDescent="0.55000000000000004">
      <c r="B26" s="77" t="s">
        <v>213</v>
      </c>
      <c r="C26" s="77"/>
      <c r="D26" s="77"/>
      <c r="E26" s="84">
        <f>J18</f>
        <v>9915.5187165687257</v>
      </c>
      <c r="F26" s="77" t="s">
        <v>214</v>
      </c>
      <c r="G26" s="77"/>
      <c r="H26" s="77"/>
      <c r="I26" s="77"/>
      <c r="J26" s="85">
        <f>J7+J14</f>
        <v>14311.11841998339</v>
      </c>
    </row>
    <row r="27" spans="2:10" x14ac:dyDescent="0.55000000000000004">
      <c r="B27" s="77" t="s">
        <v>215</v>
      </c>
      <c r="C27" s="77"/>
      <c r="D27" s="77"/>
      <c r="E27" s="101">
        <f>WACC!E21</f>
        <v>7.5288770388767898E-2</v>
      </c>
      <c r="F27" s="77" t="s">
        <v>215</v>
      </c>
      <c r="G27" s="77"/>
      <c r="H27" s="77"/>
      <c r="I27" s="77"/>
      <c r="J27" s="101">
        <f>E27</f>
        <v>7.5288770388767898E-2</v>
      </c>
    </row>
    <row r="28" spans="2:10" x14ac:dyDescent="0.55000000000000004">
      <c r="B28" s="77" t="s">
        <v>216</v>
      </c>
      <c r="C28" s="77"/>
      <c r="D28" s="77"/>
      <c r="E28" s="79">
        <v>2.75E-2</v>
      </c>
      <c r="F28" s="77" t="s">
        <v>217</v>
      </c>
      <c r="G28" s="77"/>
      <c r="H28" s="77"/>
      <c r="I28" s="77"/>
      <c r="J28" s="84">
        <f>E32/J26</f>
        <v>13.19881508389564</v>
      </c>
    </row>
    <row r="29" spans="2:10" x14ac:dyDescent="0.55000000000000004">
      <c r="B29" s="77" t="s">
        <v>218</v>
      </c>
      <c r="C29" s="77"/>
      <c r="D29" s="77"/>
      <c r="E29" s="84">
        <f>(E26*(1+E28))/(E27-E28)</f>
        <v>213192.24994474775</v>
      </c>
      <c r="F29" s="77" t="s">
        <v>218</v>
      </c>
      <c r="G29" s="77"/>
      <c r="H29" s="77"/>
      <c r="I29" s="77"/>
      <c r="J29" s="84">
        <f>J26*J28</f>
        <v>188889.8056690935</v>
      </c>
    </row>
    <row r="30" spans="2:10" x14ac:dyDescent="0.55000000000000004">
      <c r="B30" s="77" t="s">
        <v>219</v>
      </c>
      <c r="C30" s="77"/>
      <c r="D30" s="77"/>
      <c r="E30" s="84">
        <f>(E29)/(1+E27)^J19</f>
        <v>153783.03101283469</v>
      </c>
      <c r="F30" s="77" t="s">
        <v>219</v>
      </c>
      <c r="G30" s="77"/>
      <c r="H30" s="77"/>
      <c r="I30" s="77"/>
      <c r="J30" s="84">
        <f>J29*(1+J27)^J19</f>
        <v>261861.41862985716</v>
      </c>
    </row>
    <row r="31" spans="2:10" x14ac:dyDescent="0.55000000000000004">
      <c r="B31" s="77"/>
      <c r="C31" s="77"/>
      <c r="D31" s="77"/>
      <c r="E31" s="77"/>
      <c r="F31" s="77"/>
      <c r="G31" s="77"/>
      <c r="H31" s="77"/>
      <c r="I31" s="77"/>
      <c r="J31" s="77"/>
    </row>
    <row r="32" spans="2:10" x14ac:dyDescent="0.55000000000000004">
      <c r="B32" s="78" t="s">
        <v>220</v>
      </c>
      <c r="C32" s="77"/>
      <c r="D32" s="77"/>
      <c r="E32" s="84">
        <f>E30+SUM(F21:J21)</f>
        <v>188889.8056690935</v>
      </c>
      <c r="F32" s="78" t="s">
        <v>220</v>
      </c>
      <c r="G32" s="77"/>
      <c r="H32" s="77"/>
      <c r="I32" s="77"/>
      <c r="J32" s="84">
        <f>J30+SUM(F21:J21)</f>
        <v>296968.19328611594</v>
      </c>
    </row>
    <row r="33" spans="2:10" x14ac:dyDescent="0.55000000000000004">
      <c r="B33" s="80" t="s">
        <v>221</v>
      </c>
      <c r="C33" s="77"/>
      <c r="D33" s="77"/>
      <c r="E33" s="85">
        <v>17946</v>
      </c>
      <c r="F33" s="80" t="s">
        <v>221</v>
      </c>
      <c r="G33" s="77"/>
      <c r="H33" s="77"/>
      <c r="I33" s="77"/>
      <c r="J33" s="85">
        <f>E33</f>
        <v>17946</v>
      </c>
    </row>
    <row r="34" spans="2:10" x14ac:dyDescent="0.55000000000000004">
      <c r="B34" s="80" t="s">
        <v>222</v>
      </c>
      <c r="C34" s="77"/>
      <c r="D34" s="77"/>
      <c r="E34" s="81">
        <v>10378</v>
      </c>
      <c r="F34" s="80" t="s">
        <v>222</v>
      </c>
      <c r="G34" s="77"/>
      <c r="H34" s="77"/>
      <c r="I34" s="77"/>
      <c r="J34" s="84">
        <f>E34</f>
        <v>10378</v>
      </c>
    </row>
    <row r="35" spans="2:10" x14ac:dyDescent="0.55000000000000004">
      <c r="B35" s="78" t="s">
        <v>223</v>
      </c>
      <c r="C35" s="77"/>
      <c r="D35" s="77"/>
      <c r="E35" s="84">
        <f>E32-E33+E34</f>
        <v>181321.8056690935</v>
      </c>
      <c r="F35" s="78" t="s">
        <v>223</v>
      </c>
      <c r="G35" s="77"/>
      <c r="H35" s="77"/>
      <c r="I35" s="77"/>
      <c r="J35" s="84">
        <f>J32-J33+J34</f>
        <v>289400.19328611594</v>
      </c>
    </row>
    <row r="36" spans="2:10" x14ac:dyDescent="0.55000000000000004">
      <c r="B36" s="77"/>
      <c r="C36" s="77"/>
      <c r="D36" s="77"/>
      <c r="E36" s="77"/>
      <c r="F36" s="77"/>
      <c r="G36" s="77"/>
      <c r="H36" s="77"/>
      <c r="I36" s="77"/>
      <c r="J36" s="77"/>
    </row>
    <row r="37" spans="2:10" x14ac:dyDescent="0.55000000000000004">
      <c r="B37" s="77" t="s">
        <v>190</v>
      </c>
      <c r="C37" s="77"/>
      <c r="D37" s="77"/>
      <c r="E37" s="77">
        <v>1754</v>
      </c>
      <c r="F37" s="77" t="s">
        <v>190</v>
      </c>
      <c r="G37" s="77"/>
      <c r="H37" s="77"/>
      <c r="I37" s="77"/>
      <c r="J37" s="77">
        <f>E37</f>
        <v>1754</v>
      </c>
    </row>
    <row r="38" spans="2:10" x14ac:dyDescent="0.55000000000000004">
      <c r="B38" s="82" t="s">
        <v>224</v>
      </c>
      <c r="C38" s="83"/>
      <c r="D38" s="83"/>
      <c r="E38" s="102">
        <f>E35/E37</f>
        <v>103.37617198922092</v>
      </c>
      <c r="F38" s="83" t="s">
        <v>224</v>
      </c>
      <c r="G38" s="83"/>
      <c r="H38" s="83"/>
      <c r="I38" s="83"/>
      <c r="J38" s="102">
        <f>J35/J37</f>
        <v>164.99440894305357</v>
      </c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8AB9-9674-434B-A1BF-B3A516E61D2B}">
  <dimension ref="B2:T108"/>
  <sheetViews>
    <sheetView showGridLines="0" tabSelected="1" zoomScale="40" zoomScaleNormal="40" workbookViewId="0">
      <selection activeCell="L40" sqref="L40"/>
    </sheetView>
  </sheetViews>
  <sheetFormatPr defaultRowHeight="14.4" x14ac:dyDescent="0.55000000000000004"/>
  <cols>
    <col min="2" max="2" width="44.734375" bestFit="1" customWidth="1"/>
    <col min="3" max="3" width="15.578125" customWidth="1"/>
    <col min="4" max="4" width="37.3671875" bestFit="1" customWidth="1"/>
    <col min="5" max="7" width="15.578125" customWidth="1"/>
    <col min="8" max="8" width="25.578125" customWidth="1"/>
    <col min="9" max="10" width="15.578125" customWidth="1"/>
    <col min="11" max="20" width="15.578125" style="1" customWidth="1"/>
  </cols>
  <sheetData>
    <row r="2" spans="2:20" ht="15" customHeight="1" x14ac:dyDescent="0.55000000000000004">
      <c r="B2" s="159" t="s">
        <v>111</v>
      </c>
      <c r="C2" s="160"/>
      <c r="D2" s="160"/>
      <c r="E2" s="160"/>
      <c r="F2" s="160"/>
      <c r="G2" s="160"/>
      <c r="H2" s="160"/>
      <c r="I2" s="160"/>
      <c r="J2" s="160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2:20" ht="15" customHeight="1" x14ac:dyDescent="0.55000000000000004">
      <c r="B3" s="137" t="s">
        <v>225</v>
      </c>
      <c r="C3" s="158"/>
      <c r="D3" s="158"/>
      <c r="E3" s="158"/>
      <c r="F3" s="158"/>
      <c r="G3" s="158"/>
      <c r="H3" s="158"/>
      <c r="I3" s="158"/>
      <c r="J3" s="158"/>
      <c r="K3" s="200">
        <v>2022</v>
      </c>
      <c r="L3" s="200"/>
      <c r="M3" s="200"/>
      <c r="N3" s="200"/>
      <c r="O3" s="200"/>
      <c r="P3" s="200">
        <v>2025</v>
      </c>
      <c r="Q3" s="200"/>
      <c r="R3" s="200"/>
      <c r="S3" s="200"/>
      <c r="T3" s="200"/>
    </row>
    <row r="4" spans="2:20" ht="15" customHeight="1" x14ac:dyDescent="0.55000000000000004">
      <c r="B4" s="139" t="s">
        <v>226</v>
      </c>
      <c r="C4" s="140" t="s">
        <v>227</v>
      </c>
      <c r="D4" s="140" t="s">
        <v>228</v>
      </c>
      <c r="E4" s="140" t="s">
        <v>192</v>
      </c>
      <c r="F4" s="140" t="s">
        <v>229</v>
      </c>
      <c r="G4" s="140" t="s">
        <v>230</v>
      </c>
      <c r="H4" s="140" t="s">
        <v>262</v>
      </c>
      <c r="I4" s="140" t="s">
        <v>232</v>
      </c>
      <c r="J4" s="140" t="s">
        <v>233</v>
      </c>
      <c r="K4" s="184" t="s">
        <v>198</v>
      </c>
      <c r="L4" s="185" t="s">
        <v>234</v>
      </c>
      <c r="M4" s="185" t="s">
        <v>235</v>
      </c>
      <c r="N4" s="185" t="s">
        <v>179</v>
      </c>
      <c r="O4" s="186" t="s">
        <v>236</v>
      </c>
      <c r="P4" s="184" t="s">
        <v>198</v>
      </c>
      <c r="Q4" s="185" t="s">
        <v>234</v>
      </c>
      <c r="R4" s="185" t="s">
        <v>235</v>
      </c>
      <c r="S4" s="185" t="s">
        <v>179</v>
      </c>
      <c r="T4" s="186" t="s">
        <v>236</v>
      </c>
    </row>
    <row r="5" spans="2:20" ht="15" customHeight="1" x14ac:dyDescent="0.6">
      <c r="B5" s="141"/>
      <c r="K5" s="168"/>
      <c r="O5" s="169"/>
      <c r="P5" s="168"/>
      <c r="T5" s="169"/>
    </row>
    <row r="6" spans="2:20" ht="15" customHeight="1" x14ac:dyDescent="0.55000000000000004">
      <c r="B6" s="142" t="s">
        <v>111</v>
      </c>
      <c r="C6" s="162" t="s">
        <v>256</v>
      </c>
      <c r="D6" s="161" t="s">
        <v>260</v>
      </c>
      <c r="E6" s="161">
        <v>104.14</v>
      </c>
      <c r="F6" s="164">
        <v>1760</v>
      </c>
      <c r="G6" s="164">
        <v>181650</v>
      </c>
      <c r="H6" s="164">
        <v>17950</v>
      </c>
      <c r="I6" s="164">
        <v>9880</v>
      </c>
      <c r="J6" s="164">
        <f>G6+H6-I6</f>
        <v>189720</v>
      </c>
      <c r="K6" s="170">
        <v>43650</v>
      </c>
      <c r="L6" s="171">
        <v>2890</v>
      </c>
      <c r="M6" s="171">
        <v>12900</v>
      </c>
      <c r="N6" s="171">
        <v>8360</v>
      </c>
      <c r="O6" s="172">
        <v>3.94</v>
      </c>
      <c r="P6" s="170">
        <f>'Income Statement'!H5</f>
        <v>44009.615265000008</v>
      </c>
      <c r="Q6" s="171">
        <f>'Income Statement'!H12</f>
        <v>3520.7692212000011</v>
      </c>
      <c r="R6" s="171">
        <f>'Income Statement'!H16+'CapEx + D&amp;A'!I34</f>
        <v>11859.496684960264</v>
      </c>
      <c r="S6" s="173">
        <f>'Income Statement'!H16</f>
        <v>8581.8749766750025</v>
      </c>
      <c r="T6" s="174">
        <v>4.3600000000000003</v>
      </c>
    </row>
    <row r="7" spans="2:20" ht="15" customHeight="1" x14ac:dyDescent="0.55000000000000004">
      <c r="B7" s="143"/>
      <c r="K7" s="168"/>
      <c r="O7" s="175"/>
      <c r="P7" s="168"/>
      <c r="T7" s="169"/>
    </row>
    <row r="8" spans="2:20" ht="15" customHeight="1" x14ac:dyDescent="0.6">
      <c r="B8" s="141" t="s">
        <v>253</v>
      </c>
      <c r="C8" t="s">
        <v>257</v>
      </c>
      <c r="D8" s="163" t="s">
        <v>260</v>
      </c>
      <c r="E8">
        <v>252.33</v>
      </c>
      <c r="F8">
        <v>737.1</v>
      </c>
      <c r="G8" s="165">
        <v>186330</v>
      </c>
      <c r="H8" s="165">
        <v>20740</v>
      </c>
      <c r="I8" s="165">
        <v>5990</v>
      </c>
      <c r="J8" s="166">
        <f t="shared" ref="J8:J10" si="0">G8+H8-I8</f>
        <v>201080</v>
      </c>
      <c r="K8" s="176">
        <v>31470</v>
      </c>
      <c r="L8" s="177">
        <v>1740</v>
      </c>
      <c r="M8" s="177">
        <v>11450</v>
      </c>
      <c r="N8" s="177">
        <v>8690</v>
      </c>
      <c r="O8" s="175">
        <v>9.8000000000000007</v>
      </c>
      <c r="P8" s="178">
        <v>35077.1</v>
      </c>
      <c r="Q8" s="179">
        <v>1957.98</v>
      </c>
      <c r="R8" s="179">
        <v>12276.1</v>
      </c>
      <c r="S8" s="179">
        <v>10405.5</v>
      </c>
      <c r="T8" s="169">
        <v>12.21</v>
      </c>
    </row>
    <row r="9" spans="2:20" ht="15" customHeight="1" x14ac:dyDescent="0.6">
      <c r="B9" s="141" t="s">
        <v>254</v>
      </c>
      <c r="C9" t="s">
        <v>258</v>
      </c>
      <c r="D9" s="163" t="s">
        <v>260</v>
      </c>
      <c r="E9">
        <v>585.97</v>
      </c>
      <c r="F9">
        <v>393</v>
      </c>
      <c r="G9" s="165">
        <v>227020</v>
      </c>
      <c r="H9" s="165">
        <v>36070</v>
      </c>
      <c r="I9" s="165">
        <v>8520</v>
      </c>
      <c r="J9" s="166">
        <f t="shared" si="0"/>
        <v>254570</v>
      </c>
      <c r="K9" s="176">
        <v>44920</v>
      </c>
      <c r="L9" s="177">
        <v>1470</v>
      </c>
      <c r="M9" s="177">
        <v>12320</v>
      </c>
      <c r="N9" s="177">
        <v>8390</v>
      </c>
      <c r="O9" s="175">
        <v>17.75</v>
      </c>
      <c r="P9" s="176">
        <v>53018</v>
      </c>
      <c r="Q9" s="179">
        <v>1764.48</v>
      </c>
      <c r="R9" s="177">
        <v>14662</v>
      </c>
      <c r="S9" s="177">
        <v>13436</v>
      </c>
      <c r="T9" s="169">
        <v>26.72</v>
      </c>
    </row>
    <row r="10" spans="2:20" ht="15" customHeight="1" x14ac:dyDescent="0.6">
      <c r="B10" s="141" t="s">
        <v>255</v>
      </c>
      <c r="C10" t="s">
        <v>259</v>
      </c>
      <c r="D10" s="163" t="s">
        <v>261</v>
      </c>
      <c r="E10">
        <v>115.31</v>
      </c>
      <c r="F10" s="165">
        <v>2540</v>
      </c>
      <c r="G10" s="165">
        <v>291860</v>
      </c>
      <c r="H10" s="165">
        <v>31990</v>
      </c>
      <c r="I10" s="165">
        <v>12690</v>
      </c>
      <c r="J10" s="166">
        <f t="shared" si="0"/>
        <v>311160</v>
      </c>
      <c r="K10" s="176">
        <v>59280</v>
      </c>
      <c r="L10" s="177">
        <v>13550</v>
      </c>
      <c r="M10" s="177">
        <v>24500</v>
      </c>
      <c r="N10" s="177">
        <v>17940</v>
      </c>
      <c r="O10" s="175">
        <v>5.73</v>
      </c>
      <c r="P10" s="176">
        <v>65669</v>
      </c>
      <c r="Q10" s="179">
        <v>13094.88</v>
      </c>
      <c r="R10" s="177">
        <v>31273</v>
      </c>
      <c r="S10" s="177">
        <v>28572</v>
      </c>
      <c r="T10" s="169">
        <v>9.5500000000000007</v>
      </c>
    </row>
    <row r="11" spans="2:20" ht="15" customHeight="1" x14ac:dyDescent="0.6">
      <c r="B11" s="141"/>
      <c r="K11" s="168"/>
      <c r="P11" s="168"/>
      <c r="T11" s="169"/>
    </row>
    <row r="12" spans="2:20" ht="15" customHeight="1" x14ac:dyDescent="0.6">
      <c r="B12" s="141"/>
      <c r="K12" s="168"/>
      <c r="P12" s="168"/>
      <c r="T12" s="169"/>
    </row>
    <row r="13" spans="2:20" ht="15" customHeight="1" x14ac:dyDescent="0.6">
      <c r="B13" s="141"/>
      <c r="K13" s="180" t="s">
        <v>237</v>
      </c>
      <c r="L13" s="181" t="s">
        <v>238</v>
      </c>
      <c r="M13" s="182" t="s">
        <v>217</v>
      </c>
      <c r="N13" s="182" t="s">
        <v>239</v>
      </c>
      <c r="O13" s="181" t="s">
        <v>240</v>
      </c>
      <c r="P13" s="180" t="s">
        <v>237</v>
      </c>
      <c r="Q13" s="181" t="s">
        <v>238</v>
      </c>
      <c r="R13" s="182" t="s">
        <v>217</v>
      </c>
      <c r="S13" s="182" t="s">
        <v>239</v>
      </c>
      <c r="T13" s="183" t="s">
        <v>240</v>
      </c>
    </row>
    <row r="14" spans="2:20" ht="15" customHeight="1" x14ac:dyDescent="0.55000000000000004">
      <c r="B14" s="142" t="s">
        <v>111</v>
      </c>
      <c r="C14" s="162" t="s">
        <v>256</v>
      </c>
      <c r="D14" s="162"/>
      <c r="E14" s="162"/>
      <c r="F14" s="162"/>
      <c r="G14" s="162"/>
      <c r="H14" s="162"/>
      <c r="I14" s="162"/>
      <c r="J14" s="162"/>
      <c r="K14" s="187">
        <f>$J$6/K6</f>
        <v>4.3463917525773192</v>
      </c>
      <c r="L14" s="188">
        <f>$J$6/L6</f>
        <v>65.647058823529406</v>
      </c>
      <c r="M14" s="188">
        <f>$J$6/M6</f>
        <v>14.706976744186047</v>
      </c>
      <c r="N14" s="188">
        <f>$J$6/N6</f>
        <v>22.693779904306218</v>
      </c>
      <c r="O14" s="189">
        <f>E6/O6</f>
        <v>26.431472081218274</v>
      </c>
      <c r="P14" s="187">
        <f>$J$6/P6</f>
        <v>4.3108761314457711</v>
      </c>
      <c r="Q14" s="188">
        <f>$J$6/Q6</f>
        <v>53.885951643072133</v>
      </c>
      <c r="R14" s="188">
        <f>$J$6/R6</f>
        <v>15.997306212884672</v>
      </c>
      <c r="S14" s="188">
        <f>$J$6/S6</f>
        <v>22.107057084337285</v>
      </c>
      <c r="T14" s="189">
        <f>E6/T6</f>
        <v>23.88532110091743</v>
      </c>
    </row>
    <row r="15" spans="2:20" ht="15" customHeight="1" x14ac:dyDescent="0.6">
      <c r="B15" s="141"/>
      <c r="K15" s="168"/>
      <c r="P15" s="168"/>
      <c r="T15" s="169"/>
    </row>
    <row r="16" spans="2:20" ht="15" customHeight="1" x14ac:dyDescent="0.6">
      <c r="B16" s="141" t="s">
        <v>253</v>
      </c>
      <c r="C16" t="s">
        <v>257</v>
      </c>
      <c r="K16" s="190">
        <f>J8/K8</f>
        <v>6.3895773752780425</v>
      </c>
      <c r="L16" s="191">
        <f>J8/L8</f>
        <v>115.56321839080459</v>
      </c>
      <c r="M16" s="191">
        <f>J8/M8</f>
        <v>17.561572052401747</v>
      </c>
      <c r="N16" s="191">
        <f>J8/N8</f>
        <v>23.139240506329113</v>
      </c>
      <c r="O16" s="192">
        <f>E8/O8</f>
        <v>25.747959183673469</v>
      </c>
      <c r="P16" s="191">
        <f>$J$8/P8</f>
        <v>5.7325149456483011</v>
      </c>
      <c r="Q16" s="191">
        <f>$J$8/Q8</f>
        <v>102.69767821938937</v>
      </c>
      <c r="R16" s="191">
        <f>$J$8/R8</f>
        <v>16.379794885997995</v>
      </c>
      <c r="S16" s="191">
        <f>$J$8/S8</f>
        <v>19.324395752246406</v>
      </c>
      <c r="T16" s="192">
        <f>E8/T8</f>
        <v>20.665847665847664</v>
      </c>
    </row>
    <row r="17" spans="2:20" ht="15" customHeight="1" x14ac:dyDescent="0.6">
      <c r="B17" s="141" t="s">
        <v>254</v>
      </c>
      <c r="C17" t="s">
        <v>258</v>
      </c>
      <c r="K17" s="190">
        <f>J9/K9</f>
        <v>5.6671861086375781</v>
      </c>
      <c r="L17" s="191">
        <f>J9/L9</f>
        <v>173.17687074829931</v>
      </c>
      <c r="M17" s="191">
        <f>J9/M9</f>
        <v>20.663149350649352</v>
      </c>
      <c r="N17" s="191">
        <f>J9/N9</f>
        <v>30.34207389749702</v>
      </c>
      <c r="O17" s="192">
        <f>E9/O9</f>
        <v>33.012394366197185</v>
      </c>
      <c r="P17" s="191">
        <f>$J$9/P9</f>
        <v>4.8015768229657851</v>
      </c>
      <c r="Q17" s="191">
        <f>$J$9/Q9</f>
        <v>144.27480050779832</v>
      </c>
      <c r="R17" s="191">
        <f>$J$9/R9</f>
        <v>17.362569908607284</v>
      </c>
      <c r="S17" s="191">
        <f>$J$9/S9</f>
        <v>18.946859184281035</v>
      </c>
      <c r="T17" s="192">
        <f>E9/T9</f>
        <v>21.930014970059883</v>
      </c>
    </row>
    <row r="18" spans="2:20" ht="15" customHeight="1" x14ac:dyDescent="0.6">
      <c r="B18" s="141" t="s">
        <v>255</v>
      </c>
      <c r="C18" t="s">
        <v>259</v>
      </c>
      <c r="K18" s="190">
        <f>J10/K10</f>
        <v>5.2489878542510118</v>
      </c>
      <c r="L18" s="191">
        <f>J10/L10</f>
        <v>22.963837638376383</v>
      </c>
      <c r="M18" s="191">
        <f>J10/M10</f>
        <v>12.700408163265307</v>
      </c>
      <c r="N18" s="191">
        <f>J10/N10</f>
        <v>17.34448160535117</v>
      </c>
      <c r="O18" s="192">
        <f>E10/O10</f>
        <v>20.123909249563699</v>
      </c>
      <c r="P18" s="191">
        <f>$J$10/P10</f>
        <v>4.738308791058186</v>
      </c>
      <c r="Q18" s="191">
        <f>$J$10/Q10</f>
        <v>23.761958872475351</v>
      </c>
      <c r="R18" s="191">
        <f>$J$10/R10</f>
        <v>9.9497969494452079</v>
      </c>
      <c r="S18" s="191">
        <f>$J$10/S10</f>
        <v>10.890382192356153</v>
      </c>
      <c r="T18" s="192">
        <f>E10/T10</f>
        <v>12.074345549738219</v>
      </c>
    </row>
    <row r="19" spans="2:20" ht="15" customHeight="1" x14ac:dyDescent="0.6">
      <c r="B19" s="141"/>
      <c r="K19" s="168"/>
      <c r="P19" s="168"/>
      <c r="T19" s="169"/>
    </row>
    <row r="20" spans="2:20" ht="15" customHeight="1" x14ac:dyDescent="0.6">
      <c r="B20" s="141"/>
      <c r="K20" s="168"/>
      <c r="P20" s="168"/>
      <c r="T20" s="169"/>
    </row>
    <row r="21" spans="2:20" ht="15" customHeight="1" x14ac:dyDescent="0.6">
      <c r="B21" s="141"/>
      <c r="K21" s="168"/>
      <c r="P21" s="168"/>
      <c r="T21" s="169"/>
    </row>
    <row r="22" spans="2:20" ht="15" customHeight="1" x14ac:dyDescent="0.6">
      <c r="B22" s="146" t="s">
        <v>241</v>
      </c>
      <c r="K22" s="193">
        <f>MIN(K14:K18)</f>
        <v>4.3463917525773192</v>
      </c>
      <c r="L22" s="194">
        <f>MIN(L14:L18)</f>
        <v>22.963837638376383</v>
      </c>
      <c r="M22" s="194">
        <f>MIN(M14:M18)</f>
        <v>12.700408163265307</v>
      </c>
      <c r="N22" s="194">
        <f>MIN(N14:N18)</f>
        <v>17.34448160535117</v>
      </c>
      <c r="O22" s="194">
        <f>MIN(O14:O18)</f>
        <v>20.123909249563699</v>
      </c>
      <c r="P22" s="193">
        <f>MIN(P14:P18)</f>
        <v>4.3108761314457711</v>
      </c>
      <c r="Q22" s="194">
        <f>MIN(Q14:Q18)</f>
        <v>23.761958872475351</v>
      </c>
      <c r="R22" s="194">
        <f>MIN(R14:R18)</f>
        <v>9.9497969494452079</v>
      </c>
      <c r="S22" s="194">
        <f>MIN(S14:S18)</f>
        <v>10.890382192356153</v>
      </c>
      <c r="T22" s="195">
        <f>MIN(T14:T18)</f>
        <v>12.074345549738219</v>
      </c>
    </row>
    <row r="23" spans="2:20" ht="15" customHeight="1" x14ac:dyDescent="0.6">
      <c r="B23" s="146" t="s">
        <v>242</v>
      </c>
      <c r="K23" s="147">
        <f>QUARTILE(K14:K18,1)</f>
        <v>5.0233388288325891</v>
      </c>
      <c r="L23" s="148">
        <f>QUARTILE(L14:L18,1)</f>
        <v>54.976253527241148</v>
      </c>
      <c r="M23" s="148">
        <f>QUARTILE(M14:M18,1)</f>
        <v>14.205334598955861</v>
      </c>
      <c r="N23" s="148">
        <f>QUARTILE(N14:N18,1)</f>
        <v>21.356455329567456</v>
      </c>
      <c r="O23" s="148">
        <f>QUARTILE(O14:O18,1)</f>
        <v>24.341946700146025</v>
      </c>
      <c r="P23" s="147">
        <f>QUARTILE(P14:P18,1)</f>
        <v>4.6314506261550825</v>
      </c>
      <c r="Q23" s="148">
        <f>QUARTILE(Q14:Q18,1)</f>
        <v>46.35495345042294</v>
      </c>
      <c r="R23" s="148">
        <f>QUARTILE(R14:R18,1)</f>
        <v>14.485428897024805</v>
      </c>
      <c r="S23" s="148">
        <f>QUARTILE(S14:S18,1)</f>
        <v>16.932739936299814</v>
      </c>
      <c r="T23" s="149">
        <f>QUARTILE(T14:T18,1)</f>
        <v>18.517972136820305</v>
      </c>
    </row>
    <row r="24" spans="2:20" ht="15" customHeight="1" x14ac:dyDescent="0.6">
      <c r="B24" s="146" t="s">
        <v>243</v>
      </c>
      <c r="K24" s="147">
        <f>MEDIAN(K14:K18)</f>
        <v>5.4580869814442945</v>
      </c>
      <c r="L24" s="148">
        <f>MEDIAN(L14:L18)</f>
        <v>90.605138607166992</v>
      </c>
      <c r="M24" s="148">
        <f>MEDIAN(M14:M18)</f>
        <v>16.134274398293897</v>
      </c>
      <c r="N24" s="148">
        <f>MEDIAN(N14:N18)</f>
        <v>22.916510205317664</v>
      </c>
      <c r="O24" s="148">
        <f>MEDIAN(O14:O18)</f>
        <v>26.089715632445873</v>
      </c>
      <c r="P24" s="147">
        <f>MEDIAN(P14:P18)</f>
        <v>4.7699428070119856</v>
      </c>
      <c r="Q24" s="148">
        <f>MEDIAN(Q14:Q18)</f>
        <v>78.291814931230761</v>
      </c>
      <c r="R24" s="148">
        <f>MEDIAN(R14:R18)</f>
        <v>16.188550549441334</v>
      </c>
      <c r="S24" s="148">
        <f>MEDIAN(S14:S18)</f>
        <v>19.135627468263721</v>
      </c>
      <c r="T24" s="149">
        <f>MEDIAN(T14:T18)</f>
        <v>21.297931317953775</v>
      </c>
    </row>
    <row r="25" spans="2:20" ht="15" customHeight="1" x14ac:dyDescent="0.6">
      <c r="B25" s="146" t="s">
        <v>244</v>
      </c>
      <c r="K25" s="147">
        <f>QUARTILE(K14:K18,3)</f>
        <v>5.8477839252976942</v>
      </c>
      <c r="L25" s="148">
        <f>QUARTILE(L14:L18,3)</f>
        <v>129.96663148017828</v>
      </c>
      <c r="M25" s="148">
        <f>QUARTILE(M14:M18,3)</f>
        <v>18.336966376963648</v>
      </c>
      <c r="N25" s="148">
        <f>QUARTILE(N14:N18,3)</f>
        <v>24.939948854121091</v>
      </c>
      <c r="O25" s="148">
        <f>QUARTILE(O14:O18,3)</f>
        <v>28.076702652463002</v>
      </c>
      <c r="P25" s="147">
        <f>QUARTILE(P14:P18,3)</f>
        <v>5.0343113536364141</v>
      </c>
      <c r="Q25" s="148">
        <f>QUARTILE(Q14:Q18,3)</f>
        <v>113.09195879149161</v>
      </c>
      <c r="R25" s="148">
        <f>QUARTILE(R14:R18,3)</f>
        <v>16.625488641650318</v>
      </c>
      <c r="S25" s="148">
        <f>QUARTILE(S14:S18,3)</f>
        <v>20.020061085269127</v>
      </c>
      <c r="T25" s="149">
        <f>QUARTILE(T14:T18,3)</f>
        <v>22.418841502774271</v>
      </c>
    </row>
    <row r="26" spans="2:20" ht="15" customHeight="1" x14ac:dyDescent="0.6">
      <c r="B26" s="146" t="s">
        <v>245</v>
      </c>
      <c r="K26" s="147">
        <f>MAX(K14:K18)</f>
        <v>6.3895773752780425</v>
      </c>
      <c r="L26" s="148">
        <f>MAX(L14:L18)</f>
        <v>173.17687074829931</v>
      </c>
      <c r="M26" s="148">
        <f>MAX(M14:M18)</f>
        <v>20.663149350649352</v>
      </c>
      <c r="N26" s="148">
        <f>MAX(N14:N18)</f>
        <v>30.34207389749702</v>
      </c>
      <c r="O26" s="148">
        <f>MAX(O14:O18)</f>
        <v>33.012394366197185</v>
      </c>
      <c r="P26" s="147">
        <f>MAX(P14:P18)</f>
        <v>5.7325149456483011</v>
      </c>
      <c r="Q26" s="148">
        <f>MAX(Q14:Q18)</f>
        <v>144.27480050779832</v>
      </c>
      <c r="R26" s="148">
        <f>MAX(R14:R18)</f>
        <v>17.362569908607284</v>
      </c>
      <c r="S26" s="148">
        <f>MAX(S14:S18)</f>
        <v>22.107057084337285</v>
      </c>
      <c r="T26" s="149">
        <f>MAX(T14:T18)</f>
        <v>23.88532110091743</v>
      </c>
    </row>
    <row r="27" spans="2:20" ht="15" customHeight="1" x14ac:dyDescent="0.6">
      <c r="B27" s="146" t="s">
        <v>246</v>
      </c>
      <c r="K27" s="147">
        <f>AVERAGE(K14:K18)</f>
        <v>5.4130357726859888</v>
      </c>
      <c r="L27" s="148">
        <f>AVERAGE(L14:L18)</f>
        <v>94.337746400252428</v>
      </c>
      <c r="M27" s="148">
        <f>AVERAGE(M14:M18)</f>
        <v>16.408026577625613</v>
      </c>
      <c r="N27" s="148">
        <f>AVERAGE(N14:N18)</f>
        <v>23.37989397837088</v>
      </c>
      <c r="O27" s="148">
        <f>AVERAGE(O14:O18)</f>
        <v>26.328933720163157</v>
      </c>
      <c r="P27" s="147">
        <f>AVERAGE(P14:P18)</f>
        <v>4.8958191727795111</v>
      </c>
      <c r="Q27" s="148">
        <f>AVERAGE(Q14:Q18)</f>
        <v>81.1550973106838</v>
      </c>
      <c r="R27" s="148">
        <f>AVERAGE(R14:R18)</f>
        <v>14.92236698923379</v>
      </c>
      <c r="S27" s="148">
        <f>AVERAGE(S14:S18)</f>
        <v>17.817173553305221</v>
      </c>
      <c r="T27" s="149">
        <f>AVERAGE(T14:T18)</f>
        <v>19.6388823216408</v>
      </c>
    </row>
    <row r="28" spans="2:20" ht="15" customHeight="1" x14ac:dyDescent="0.55000000000000004">
      <c r="K28" s="168"/>
      <c r="P28" s="168"/>
      <c r="T28" s="169"/>
    </row>
    <row r="29" spans="2:20" ht="15" customHeight="1" x14ac:dyDescent="0.55000000000000004">
      <c r="K29" s="168"/>
      <c r="P29" s="168"/>
      <c r="T29" s="169"/>
    </row>
    <row r="30" spans="2:20" ht="15" customHeight="1" x14ac:dyDescent="0.55000000000000004">
      <c r="K30" s="168"/>
      <c r="P30" s="168"/>
      <c r="T30" s="169"/>
    </row>
    <row r="31" spans="2:20" ht="15" customHeight="1" x14ac:dyDescent="0.55000000000000004">
      <c r="B31" s="159" t="s">
        <v>111</v>
      </c>
      <c r="C31" s="196"/>
      <c r="D31" s="196"/>
      <c r="E31" s="196"/>
      <c r="F31" s="196"/>
      <c r="G31" s="196"/>
      <c r="H31" s="196"/>
      <c r="I31" s="196"/>
      <c r="J31" s="196"/>
      <c r="T31" s="169"/>
    </row>
    <row r="32" spans="2:20" ht="15.6" x14ac:dyDescent="0.55000000000000004">
      <c r="B32" s="137" t="s">
        <v>247</v>
      </c>
      <c r="C32" s="138"/>
      <c r="D32" s="138"/>
      <c r="E32" s="138" t="s">
        <v>248</v>
      </c>
      <c r="F32" s="138" t="s">
        <v>231</v>
      </c>
      <c r="G32" s="138" t="s">
        <v>232</v>
      </c>
      <c r="H32" s="138" t="s">
        <v>249</v>
      </c>
      <c r="I32" s="138" t="s">
        <v>250</v>
      </c>
      <c r="J32" s="138" t="s">
        <v>251</v>
      </c>
    </row>
    <row r="34" spans="2:10" ht="15.6" x14ac:dyDescent="0.6">
      <c r="B34" s="141" t="s">
        <v>179</v>
      </c>
      <c r="C34" s="141"/>
      <c r="D34" s="144">
        <f>N6</f>
        <v>8360</v>
      </c>
      <c r="E34" s="141"/>
      <c r="F34" s="141"/>
      <c r="G34" s="141"/>
      <c r="H34" s="141"/>
      <c r="I34" s="141"/>
      <c r="J34" s="141"/>
    </row>
    <row r="35" spans="2:10" ht="15.6" x14ac:dyDescent="0.6">
      <c r="B35" s="150" t="s">
        <v>241</v>
      </c>
      <c r="C35" s="141"/>
      <c r="D35" s="148">
        <f>N22</f>
        <v>17.34448160535117</v>
      </c>
      <c r="E35" s="145">
        <f>$D$34*D35</f>
        <v>144999.86622073577</v>
      </c>
      <c r="F35" s="144">
        <f>$H$6</f>
        <v>17950</v>
      </c>
      <c r="G35" s="151">
        <f>$I$6</f>
        <v>9880</v>
      </c>
      <c r="H35" s="151">
        <f>E35-F35+G35</f>
        <v>136929.86622073577</v>
      </c>
      <c r="I35" s="152">
        <f>$F$6</f>
        <v>1760</v>
      </c>
      <c r="J35" s="153">
        <f>H35/I35</f>
        <v>77.801060352690783</v>
      </c>
    </row>
    <row r="36" spans="2:10" ht="15.6" x14ac:dyDescent="0.6">
      <c r="B36" s="150" t="s">
        <v>242</v>
      </c>
      <c r="C36" s="141"/>
      <c r="D36" s="148">
        <f>N23</f>
        <v>21.356455329567456</v>
      </c>
      <c r="E36" s="145">
        <f t="shared" ref="E36:E39" si="1">$D$34*D36</f>
        <v>178539.96655518393</v>
      </c>
      <c r="F36" s="141">
        <f t="shared" ref="F36:F60" si="2">$H$6</f>
        <v>17950</v>
      </c>
      <c r="G36" s="151">
        <f>$I$6</f>
        <v>9880</v>
      </c>
      <c r="H36" s="151">
        <f t="shared" ref="H36:H39" si="3">E36-F36+G36</f>
        <v>170469.96655518393</v>
      </c>
      <c r="I36" s="152">
        <f>$F$6</f>
        <v>1760</v>
      </c>
      <c r="J36" s="153">
        <f t="shared" ref="J36:J39" si="4">H36/I36</f>
        <v>96.857935542718138</v>
      </c>
    </row>
    <row r="37" spans="2:10" ht="15.6" x14ac:dyDescent="0.6">
      <c r="B37" s="150" t="s">
        <v>243</v>
      </c>
      <c r="C37" s="141"/>
      <c r="D37" s="148">
        <f>N24</f>
        <v>22.916510205317664</v>
      </c>
      <c r="E37" s="145">
        <f t="shared" si="1"/>
        <v>191582.02531645566</v>
      </c>
      <c r="F37" s="141">
        <f t="shared" si="2"/>
        <v>17950</v>
      </c>
      <c r="G37" s="151">
        <f t="shared" ref="G37:G39" si="5">$I$6</f>
        <v>9880</v>
      </c>
      <c r="H37" s="151">
        <f>E37-F37+G37</f>
        <v>183512.02531645566</v>
      </c>
      <c r="I37" s="152">
        <f t="shared" ref="I37:I39" si="6">$F$6</f>
        <v>1760</v>
      </c>
      <c r="J37" s="153">
        <f t="shared" si="4"/>
        <v>104.26819620253163</v>
      </c>
    </row>
    <row r="38" spans="2:10" ht="15.6" x14ac:dyDescent="0.6">
      <c r="B38" s="150" t="s">
        <v>244</v>
      </c>
      <c r="C38" s="141"/>
      <c r="D38" s="148">
        <f>N25</f>
        <v>24.939948854121091</v>
      </c>
      <c r="E38" s="145">
        <f t="shared" si="1"/>
        <v>208497.97242045234</v>
      </c>
      <c r="F38" s="141">
        <f t="shared" si="2"/>
        <v>17950</v>
      </c>
      <c r="G38" s="151">
        <f t="shared" si="5"/>
        <v>9880</v>
      </c>
      <c r="H38" s="151">
        <f t="shared" si="3"/>
        <v>200427.97242045234</v>
      </c>
      <c r="I38" s="152">
        <f t="shared" si="6"/>
        <v>1760</v>
      </c>
      <c r="J38" s="153">
        <f t="shared" si="4"/>
        <v>113.87952978434792</v>
      </c>
    </row>
    <row r="39" spans="2:10" ht="15.6" x14ac:dyDescent="0.6">
      <c r="B39" s="150" t="s">
        <v>245</v>
      </c>
      <c r="C39" s="141"/>
      <c r="D39" s="148">
        <f>N26</f>
        <v>30.34207389749702</v>
      </c>
      <c r="E39" s="145">
        <f t="shared" si="1"/>
        <v>253659.73778307508</v>
      </c>
      <c r="F39" s="141">
        <f t="shared" si="2"/>
        <v>17950</v>
      </c>
      <c r="G39" s="151">
        <f t="shared" si="5"/>
        <v>9880</v>
      </c>
      <c r="H39" s="151">
        <f t="shared" si="3"/>
        <v>245589.73778307508</v>
      </c>
      <c r="I39" s="152">
        <f t="shared" si="6"/>
        <v>1760</v>
      </c>
      <c r="J39" s="153">
        <f t="shared" si="4"/>
        <v>139.53962374038358</v>
      </c>
    </row>
    <row r="40" spans="2:10" ht="15.6" x14ac:dyDescent="0.6">
      <c r="B40" s="141"/>
      <c r="C40" s="141"/>
      <c r="D40" s="141"/>
      <c r="E40" s="145"/>
      <c r="F40" s="141"/>
      <c r="G40" s="141"/>
      <c r="H40" s="141"/>
      <c r="I40" s="141"/>
      <c r="J40" s="141"/>
    </row>
    <row r="41" spans="2:10" ht="15.6" x14ac:dyDescent="0.6">
      <c r="B41" s="141" t="s">
        <v>235</v>
      </c>
      <c r="C41" s="141"/>
      <c r="D41" s="144">
        <f>M6</f>
        <v>12900</v>
      </c>
      <c r="E41" s="145"/>
      <c r="F41" s="141"/>
      <c r="G41" s="141"/>
      <c r="H41" s="141"/>
      <c r="I41" s="141"/>
      <c r="J41" s="141"/>
    </row>
    <row r="42" spans="2:10" ht="15.6" x14ac:dyDescent="0.6">
      <c r="B42" s="150" t="s">
        <v>241</v>
      </c>
      <c r="C42" s="141"/>
      <c r="D42" s="148">
        <f>M22</f>
        <v>12.700408163265307</v>
      </c>
      <c r="E42" s="145">
        <f>$D$41*D42</f>
        <v>163835.26530612246</v>
      </c>
      <c r="F42" s="141">
        <f t="shared" si="2"/>
        <v>17950</v>
      </c>
      <c r="G42" s="151">
        <f t="shared" ref="G42:G46" si="7">$I$6</f>
        <v>9880</v>
      </c>
      <c r="H42" s="151">
        <f t="shared" ref="H42:H46" si="8">E42-F42+G42</f>
        <v>155765.26530612246</v>
      </c>
      <c r="I42" s="152">
        <f t="shared" ref="I42:I46" si="9">$F$6</f>
        <v>1760</v>
      </c>
      <c r="J42" s="153">
        <f t="shared" ref="J42:J46" si="10">H42/I42</f>
        <v>88.502991651205946</v>
      </c>
    </row>
    <row r="43" spans="2:10" ht="15.6" x14ac:dyDescent="0.6">
      <c r="B43" s="150" t="s">
        <v>242</v>
      </c>
      <c r="C43" s="141"/>
      <c r="D43" s="148">
        <f>M23</f>
        <v>14.205334598955861</v>
      </c>
      <c r="E43" s="145">
        <f t="shared" ref="E43:E46" si="11">$D$41*D43</f>
        <v>183248.81632653062</v>
      </c>
      <c r="F43" s="141">
        <f t="shared" si="2"/>
        <v>17950</v>
      </c>
      <c r="G43" s="151">
        <f t="shared" si="7"/>
        <v>9880</v>
      </c>
      <c r="H43" s="151">
        <f t="shared" si="8"/>
        <v>175178.81632653062</v>
      </c>
      <c r="I43" s="152">
        <f t="shared" si="9"/>
        <v>1760</v>
      </c>
      <c r="J43" s="153">
        <f t="shared" si="10"/>
        <v>99.53341836734694</v>
      </c>
    </row>
    <row r="44" spans="2:10" ht="15.6" x14ac:dyDescent="0.6">
      <c r="B44" s="150" t="s">
        <v>243</v>
      </c>
      <c r="C44" s="141"/>
      <c r="D44" s="148">
        <f>M24</f>
        <v>16.134274398293897</v>
      </c>
      <c r="E44" s="145">
        <f t="shared" si="11"/>
        <v>208132.13973799127</v>
      </c>
      <c r="F44" s="141">
        <f t="shared" si="2"/>
        <v>17950</v>
      </c>
      <c r="G44" s="151">
        <f t="shared" si="7"/>
        <v>9880</v>
      </c>
      <c r="H44" s="151">
        <f t="shared" si="8"/>
        <v>200062.13973799127</v>
      </c>
      <c r="I44" s="152">
        <f t="shared" si="9"/>
        <v>1760</v>
      </c>
      <c r="J44" s="153">
        <f>H44/I44</f>
        <v>113.67167030567686</v>
      </c>
    </row>
    <row r="45" spans="2:10" ht="15.6" x14ac:dyDescent="0.6">
      <c r="B45" s="150" t="s">
        <v>244</v>
      </c>
      <c r="C45" s="141"/>
      <c r="D45" s="148">
        <f>M25</f>
        <v>18.336966376963648</v>
      </c>
      <c r="E45" s="145">
        <f t="shared" si="11"/>
        <v>236546.86626283106</v>
      </c>
      <c r="F45" s="141">
        <f t="shared" si="2"/>
        <v>17950</v>
      </c>
      <c r="G45" s="151">
        <f t="shared" si="7"/>
        <v>9880</v>
      </c>
      <c r="H45" s="151">
        <f t="shared" si="8"/>
        <v>228476.86626283106</v>
      </c>
      <c r="I45" s="152">
        <f t="shared" si="9"/>
        <v>1760</v>
      </c>
      <c r="J45" s="153">
        <f t="shared" si="10"/>
        <v>129.81640128569947</v>
      </c>
    </row>
    <row r="46" spans="2:10" ht="15.6" x14ac:dyDescent="0.6">
      <c r="B46" s="150" t="s">
        <v>245</v>
      </c>
      <c r="C46" s="141"/>
      <c r="D46" s="148">
        <f>M26</f>
        <v>20.663149350649352</v>
      </c>
      <c r="E46" s="145">
        <f t="shared" si="11"/>
        <v>266554.62662337662</v>
      </c>
      <c r="F46" s="141">
        <f t="shared" si="2"/>
        <v>17950</v>
      </c>
      <c r="G46" s="151">
        <f t="shared" si="7"/>
        <v>9880</v>
      </c>
      <c r="H46" s="151">
        <f t="shared" si="8"/>
        <v>258484.62662337662</v>
      </c>
      <c r="I46" s="152">
        <f t="shared" si="9"/>
        <v>1760</v>
      </c>
      <c r="J46" s="153">
        <f t="shared" si="10"/>
        <v>146.86626512691853</v>
      </c>
    </row>
    <row r="47" spans="2:10" ht="15.6" x14ac:dyDescent="0.6">
      <c r="B47" s="141"/>
      <c r="C47" s="141"/>
      <c r="D47" s="141"/>
      <c r="E47" s="145"/>
      <c r="F47" s="141"/>
      <c r="G47" s="141"/>
      <c r="H47" s="141"/>
      <c r="I47" s="141"/>
      <c r="J47" s="141"/>
    </row>
    <row r="48" spans="2:10" ht="15.6" x14ac:dyDescent="0.6">
      <c r="B48" s="141" t="s">
        <v>198</v>
      </c>
      <c r="C48" s="141"/>
      <c r="D48" s="144">
        <f>K6</f>
        <v>43650</v>
      </c>
      <c r="E48" s="145"/>
      <c r="F48" s="141"/>
      <c r="G48" s="141"/>
      <c r="H48" s="141"/>
      <c r="I48" s="141"/>
      <c r="J48" s="141"/>
    </row>
    <row r="49" spans="2:10" ht="15.6" x14ac:dyDescent="0.6">
      <c r="B49" s="150" t="s">
        <v>241</v>
      </c>
      <c r="C49" s="141"/>
      <c r="D49" s="148">
        <f>K22</f>
        <v>4.3463917525773192</v>
      </c>
      <c r="E49" s="145">
        <f>$D$48*D49</f>
        <v>189719.99999999997</v>
      </c>
      <c r="F49" s="141">
        <f t="shared" si="2"/>
        <v>17950</v>
      </c>
      <c r="G49" s="151">
        <f t="shared" ref="G49:G53" si="12">$I$6</f>
        <v>9880</v>
      </c>
      <c r="H49" s="151">
        <f t="shared" ref="H49:H53" si="13">E49-F49+G49</f>
        <v>181649.99999999997</v>
      </c>
      <c r="I49" s="152">
        <f t="shared" ref="I49:I53" si="14">$F$6</f>
        <v>1760</v>
      </c>
      <c r="J49" s="153">
        <f t="shared" ref="J49:J53" si="15">H49/I49</f>
        <v>103.21022727272725</v>
      </c>
    </row>
    <row r="50" spans="2:10" ht="15.6" x14ac:dyDescent="0.6">
      <c r="B50" s="150" t="s">
        <v>242</v>
      </c>
      <c r="C50" s="141"/>
      <c r="D50" s="148">
        <f>K23</f>
        <v>5.0233388288325891</v>
      </c>
      <c r="E50" s="145">
        <f t="shared" ref="E50:E53" si="16">$D$48*D50</f>
        <v>219268.73987854252</v>
      </c>
      <c r="F50" s="141">
        <f t="shared" si="2"/>
        <v>17950</v>
      </c>
      <c r="G50" s="151">
        <f t="shared" si="12"/>
        <v>9880</v>
      </c>
      <c r="H50" s="151">
        <f t="shared" si="13"/>
        <v>211198.73987854252</v>
      </c>
      <c r="I50" s="152">
        <f t="shared" si="14"/>
        <v>1760</v>
      </c>
      <c r="J50" s="153">
        <f t="shared" si="15"/>
        <v>119.99928402189916</v>
      </c>
    </row>
    <row r="51" spans="2:10" ht="15.6" x14ac:dyDescent="0.6">
      <c r="B51" s="150" t="s">
        <v>243</v>
      </c>
      <c r="C51" s="141"/>
      <c r="D51" s="148">
        <f>K24</f>
        <v>5.4580869814442945</v>
      </c>
      <c r="E51" s="145">
        <f t="shared" si="16"/>
        <v>238245.49674004345</v>
      </c>
      <c r="F51" s="141">
        <f t="shared" si="2"/>
        <v>17950</v>
      </c>
      <c r="G51" s="151">
        <f t="shared" si="12"/>
        <v>9880</v>
      </c>
      <c r="H51" s="151">
        <f t="shared" si="13"/>
        <v>230175.49674004345</v>
      </c>
      <c r="I51" s="152">
        <f t="shared" si="14"/>
        <v>1760</v>
      </c>
      <c r="J51" s="153">
        <f t="shared" si="15"/>
        <v>130.78153223866104</v>
      </c>
    </row>
    <row r="52" spans="2:10" ht="15.6" x14ac:dyDescent="0.6">
      <c r="B52" s="150" t="s">
        <v>244</v>
      </c>
      <c r="C52" s="141"/>
      <c r="D52" s="148">
        <f>K25</f>
        <v>5.8477839252976942</v>
      </c>
      <c r="E52" s="145">
        <f>$D$48*D52</f>
        <v>255255.76833924436</v>
      </c>
      <c r="F52" s="141">
        <f t="shared" si="2"/>
        <v>17950</v>
      </c>
      <c r="G52" s="151">
        <f t="shared" si="12"/>
        <v>9880</v>
      </c>
      <c r="H52" s="151">
        <f t="shared" si="13"/>
        <v>247185.76833924436</v>
      </c>
      <c r="I52" s="152">
        <f t="shared" si="14"/>
        <v>1760</v>
      </c>
      <c r="J52" s="153">
        <f t="shared" si="15"/>
        <v>140.44645928366157</v>
      </c>
    </row>
    <row r="53" spans="2:10" ht="15.6" x14ac:dyDescent="0.6">
      <c r="B53" s="150" t="s">
        <v>245</v>
      </c>
      <c r="C53" s="141"/>
      <c r="D53" s="148">
        <f>K26</f>
        <v>6.3895773752780425</v>
      </c>
      <c r="E53" s="145">
        <f t="shared" si="16"/>
        <v>278905.05243088654</v>
      </c>
      <c r="F53" s="141">
        <f t="shared" si="2"/>
        <v>17950</v>
      </c>
      <c r="G53" s="151">
        <f t="shared" si="12"/>
        <v>9880</v>
      </c>
      <c r="H53" s="151">
        <f t="shared" si="13"/>
        <v>270835.05243088654</v>
      </c>
      <c r="I53" s="152">
        <f t="shared" si="14"/>
        <v>1760</v>
      </c>
      <c r="J53" s="153">
        <f t="shared" si="15"/>
        <v>153.88355251754916</v>
      </c>
    </row>
    <row r="54" spans="2:10" ht="15.6" x14ac:dyDescent="0.6">
      <c r="B54" s="141"/>
      <c r="C54" s="141"/>
      <c r="D54" s="141"/>
      <c r="E54" s="145"/>
      <c r="F54" s="141"/>
      <c r="G54" s="141"/>
      <c r="H54" s="141"/>
      <c r="I54" s="141"/>
      <c r="J54" s="141"/>
    </row>
    <row r="55" spans="2:10" ht="15.6" x14ac:dyDescent="0.6">
      <c r="B55" s="141" t="s">
        <v>234</v>
      </c>
      <c r="C55" s="141"/>
      <c r="D55" s="144">
        <f>L6</f>
        <v>2890</v>
      </c>
      <c r="E55" s="145"/>
      <c r="F55" s="141"/>
      <c r="G55" s="141"/>
      <c r="H55" s="141"/>
      <c r="I55" s="141"/>
      <c r="J55" s="141"/>
    </row>
    <row r="56" spans="2:10" ht="15.6" x14ac:dyDescent="0.6">
      <c r="B56" s="150" t="s">
        <v>241</v>
      </c>
      <c r="C56" s="141"/>
      <c r="D56" s="148">
        <f>L22</f>
        <v>22.963837638376383</v>
      </c>
      <c r="E56" s="145">
        <f>$D$55*D56</f>
        <v>66365.490774907739</v>
      </c>
      <c r="F56" s="141">
        <f t="shared" si="2"/>
        <v>17950</v>
      </c>
      <c r="G56" s="151">
        <f t="shared" ref="G56:G60" si="17">$I$6</f>
        <v>9880</v>
      </c>
      <c r="H56" s="151">
        <f t="shared" ref="H56:H60" si="18">E56-F56+G56</f>
        <v>58295.490774907739</v>
      </c>
      <c r="I56" s="152">
        <f t="shared" ref="I56:I60" si="19">$F$6</f>
        <v>1760</v>
      </c>
      <c r="J56" s="153">
        <f t="shared" ref="J56:J60" si="20">H56/I56</f>
        <v>33.122437940288485</v>
      </c>
    </row>
    <row r="57" spans="2:10" ht="15.6" x14ac:dyDescent="0.6">
      <c r="B57" s="150" t="s">
        <v>242</v>
      </c>
      <c r="C57" s="141"/>
      <c r="D57" s="148">
        <f>L23</f>
        <v>54.976253527241148</v>
      </c>
      <c r="E57" s="145">
        <f t="shared" ref="E57:E60" si="21">$D$55*D57</f>
        <v>158881.37269372691</v>
      </c>
      <c r="F57" s="141">
        <f t="shared" si="2"/>
        <v>17950</v>
      </c>
      <c r="G57" s="151">
        <f t="shared" si="17"/>
        <v>9880</v>
      </c>
      <c r="H57" s="151">
        <f t="shared" si="18"/>
        <v>150811.37269372691</v>
      </c>
      <c r="I57" s="152">
        <f t="shared" si="19"/>
        <v>1760</v>
      </c>
      <c r="J57" s="153">
        <f t="shared" si="20"/>
        <v>85.688279939617559</v>
      </c>
    </row>
    <row r="58" spans="2:10" ht="15.6" x14ac:dyDescent="0.6">
      <c r="B58" s="150" t="s">
        <v>243</v>
      </c>
      <c r="C58" s="141"/>
      <c r="D58" s="148">
        <f>L24</f>
        <v>90.605138607166992</v>
      </c>
      <c r="E58" s="145">
        <f t="shared" si="21"/>
        <v>261848.85057471262</v>
      </c>
      <c r="F58" s="141">
        <f t="shared" si="2"/>
        <v>17950</v>
      </c>
      <c r="G58" s="151">
        <f t="shared" si="17"/>
        <v>9880</v>
      </c>
      <c r="H58" s="151">
        <f t="shared" si="18"/>
        <v>253778.85057471262</v>
      </c>
      <c r="I58" s="152">
        <f t="shared" si="19"/>
        <v>1760</v>
      </c>
      <c r="J58" s="153">
        <f t="shared" si="20"/>
        <v>144.19252873563218</v>
      </c>
    </row>
    <row r="59" spans="2:10" ht="15.6" x14ac:dyDescent="0.6">
      <c r="B59" s="150" t="s">
        <v>244</v>
      </c>
      <c r="C59" s="141"/>
      <c r="D59" s="148">
        <f>L25</f>
        <v>129.96663148017828</v>
      </c>
      <c r="E59" s="145">
        <f t="shared" si="21"/>
        <v>375603.5649777152</v>
      </c>
      <c r="F59" s="141">
        <f t="shared" si="2"/>
        <v>17950</v>
      </c>
      <c r="G59" s="151">
        <f t="shared" si="17"/>
        <v>9880</v>
      </c>
      <c r="H59" s="151">
        <f t="shared" si="18"/>
        <v>367533.5649777152</v>
      </c>
      <c r="I59" s="152">
        <f t="shared" si="19"/>
        <v>1760</v>
      </c>
      <c r="J59" s="153">
        <f t="shared" si="20"/>
        <v>208.82588919188365</v>
      </c>
    </row>
    <row r="60" spans="2:10" ht="15.6" x14ac:dyDescent="0.6">
      <c r="B60" s="150" t="s">
        <v>245</v>
      </c>
      <c r="C60" s="141"/>
      <c r="D60" s="148">
        <f>L26</f>
        <v>173.17687074829931</v>
      </c>
      <c r="E60" s="145">
        <f t="shared" si="21"/>
        <v>500481.15646258497</v>
      </c>
      <c r="F60" s="141">
        <f t="shared" si="2"/>
        <v>17950</v>
      </c>
      <c r="G60" s="151">
        <f t="shared" si="17"/>
        <v>9880</v>
      </c>
      <c r="H60" s="151">
        <f t="shared" si="18"/>
        <v>492411.15646258497</v>
      </c>
      <c r="I60" s="152">
        <f t="shared" si="19"/>
        <v>1760</v>
      </c>
      <c r="J60" s="153">
        <f t="shared" si="20"/>
        <v>279.77906617192326</v>
      </c>
    </row>
    <row r="62" spans="2:10" ht="15.6" x14ac:dyDescent="0.55000000000000004">
      <c r="B62" s="159" t="s">
        <v>111</v>
      </c>
      <c r="C62" s="197"/>
      <c r="D62" s="197"/>
      <c r="E62" s="197"/>
    </row>
    <row r="63" spans="2:10" ht="15.6" x14ac:dyDescent="0.55000000000000004">
      <c r="B63" s="137" t="s">
        <v>252</v>
      </c>
      <c r="C63" s="155"/>
      <c r="D63" s="155"/>
      <c r="E63" s="155"/>
    </row>
    <row r="64" spans="2:10" x14ac:dyDescent="0.55000000000000004">
      <c r="B64" t="s">
        <v>239</v>
      </c>
      <c r="C64" s="156">
        <f>J37</f>
        <v>104.26819620253163</v>
      </c>
      <c r="D64" s="157">
        <v>0.25</v>
      </c>
      <c r="E64" s="154">
        <f>C64*D64</f>
        <v>26.067049050632907</v>
      </c>
    </row>
    <row r="65" spans="2:10" x14ac:dyDescent="0.55000000000000004">
      <c r="B65" t="s">
        <v>217</v>
      </c>
      <c r="C65" s="156">
        <f>J44</f>
        <v>113.67167030567686</v>
      </c>
      <c r="D65" s="157">
        <v>0.25</v>
      </c>
      <c r="E65" s="154">
        <f t="shared" ref="E65:E67" si="22">C65*D65</f>
        <v>28.417917576419214</v>
      </c>
    </row>
    <row r="66" spans="2:10" x14ac:dyDescent="0.55000000000000004">
      <c r="B66" t="s">
        <v>237</v>
      </c>
      <c r="C66" s="156">
        <f>J51</f>
        <v>130.78153223866104</v>
      </c>
      <c r="D66" s="157">
        <v>0.25</v>
      </c>
      <c r="E66" s="154">
        <f t="shared" si="22"/>
        <v>32.695383059665261</v>
      </c>
    </row>
    <row r="67" spans="2:10" x14ac:dyDescent="0.55000000000000004">
      <c r="B67" t="s">
        <v>238</v>
      </c>
      <c r="C67" s="156">
        <f>J58</f>
        <v>144.19252873563218</v>
      </c>
      <c r="D67" s="157">
        <v>0.25</v>
      </c>
      <c r="E67" s="154">
        <f t="shared" si="22"/>
        <v>36.048132183908045</v>
      </c>
    </row>
    <row r="68" spans="2:10" x14ac:dyDescent="0.55000000000000004">
      <c r="C68" s="156"/>
      <c r="D68" s="157"/>
      <c r="E68" s="154">
        <f>SUM(E64:E67)</f>
        <v>123.22848187062542</v>
      </c>
    </row>
    <row r="69" spans="2:10" x14ac:dyDescent="0.55000000000000004">
      <c r="C69" s="156"/>
      <c r="D69" s="157"/>
      <c r="E69" s="154"/>
    </row>
    <row r="70" spans="2:10" ht="15.6" x14ac:dyDescent="0.55000000000000004">
      <c r="B70" s="159" t="s">
        <v>111</v>
      </c>
      <c r="C70" s="196"/>
      <c r="D70" s="196"/>
      <c r="E70" s="196"/>
      <c r="F70" s="196"/>
      <c r="G70" s="196"/>
      <c r="H70" s="196"/>
      <c r="I70" s="196"/>
      <c r="J70" s="196"/>
    </row>
    <row r="71" spans="2:10" ht="15.6" x14ac:dyDescent="0.55000000000000004">
      <c r="B71" s="137" t="s">
        <v>263</v>
      </c>
      <c r="C71" s="138"/>
      <c r="D71" s="138"/>
      <c r="E71" s="138" t="s">
        <v>248</v>
      </c>
      <c r="F71" s="138" t="s">
        <v>231</v>
      </c>
      <c r="G71" s="138" t="s">
        <v>232</v>
      </c>
      <c r="H71" s="138" t="s">
        <v>249</v>
      </c>
      <c r="I71" s="138" t="s">
        <v>250</v>
      </c>
      <c r="J71" s="138" t="s">
        <v>251</v>
      </c>
    </row>
    <row r="73" spans="2:10" ht="15.6" x14ac:dyDescent="0.6">
      <c r="B73" s="141" t="s">
        <v>179</v>
      </c>
      <c r="C73" s="141"/>
      <c r="D73" s="144">
        <f>S6</f>
        <v>8581.8749766750025</v>
      </c>
      <c r="E73" s="141"/>
      <c r="F73" s="141"/>
      <c r="G73" s="141"/>
      <c r="H73" s="141"/>
      <c r="I73" s="141"/>
      <c r="J73" s="141"/>
    </row>
    <row r="74" spans="2:10" ht="15.6" x14ac:dyDescent="0.6">
      <c r="B74" s="150" t="s">
        <v>241</v>
      </c>
      <c r="C74" s="141"/>
      <c r="D74" s="148">
        <f>S22</f>
        <v>10.890382192356153</v>
      </c>
      <c r="E74" s="145">
        <f>$D$73*D74</f>
        <v>93459.89842300833</v>
      </c>
      <c r="F74" s="144">
        <f>$H$6</f>
        <v>17950</v>
      </c>
      <c r="G74" s="151">
        <f>$I$6</f>
        <v>9880</v>
      </c>
      <c r="H74" s="151">
        <f>E74-F74+G74</f>
        <v>85389.89842300833</v>
      </c>
      <c r="I74" s="152">
        <f>$F$6</f>
        <v>1760</v>
      </c>
      <c r="J74" s="153">
        <f>H74/I74</f>
        <v>48.516987740345641</v>
      </c>
    </row>
    <row r="75" spans="2:10" ht="15.6" x14ac:dyDescent="0.6">
      <c r="B75" s="150" t="s">
        <v>242</v>
      </c>
      <c r="C75" s="141"/>
      <c r="D75" s="148">
        <f t="shared" ref="D75:D78" si="23">S23</f>
        <v>16.932739936299814</v>
      </c>
      <c r="E75" s="145">
        <f t="shared" ref="E75:E78" si="24">$D$73*D75</f>
        <v>145314.65714587684</v>
      </c>
      <c r="F75" s="141">
        <f t="shared" ref="F75:F99" si="25">$H$6</f>
        <v>17950</v>
      </c>
      <c r="G75" s="151">
        <f>$I$6</f>
        <v>9880</v>
      </c>
      <c r="H75" s="151">
        <f t="shared" ref="H75" si="26">E75-F75+G75</f>
        <v>137244.65714587684</v>
      </c>
      <c r="I75" s="152">
        <f>$F$6</f>
        <v>1760</v>
      </c>
      <c r="J75" s="153">
        <f t="shared" ref="J75:J78" si="27">H75/I75</f>
        <v>77.979918832884564</v>
      </c>
    </row>
    <row r="76" spans="2:10" ht="15.6" x14ac:dyDescent="0.6">
      <c r="B76" s="150" t="s">
        <v>243</v>
      </c>
      <c r="C76" s="141"/>
      <c r="D76" s="148">
        <f t="shared" si="23"/>
        <v>19.135627468263721</v>
      </c>
      <c r="E76" s="145">
        <f t="shared" si="24"/>
        <v>164219.56253286725</v>
      </c>
      <c r="F76" s="141">
        <f t="shared" si="25"/>
        <v>17950</v>
      </c>
      <c r="G76" s="151">
        <f t="shared" ref="G76:G78" si="28">$I$6</f>
        <v>9880</v>
      </c>
      <c r="H76" s="151">
        <f>E76-F76+G76</f>
        <v>156149.56253286725</v>
      </c>
      <c r="I76" s="152">
        <f t="shared" ref="I76:I78" si="29">$F$6</f>
        <v>1760</v>
      </c>
      <c r="J76" s="153">
        <f t="shared" si="27"/>
        <v>88.72134234822002</v>
      </c>
    </row>
    <row r="77" spans="2:10" ht="15.6" x14ac:dyDescent="0.6">
      <c r="B77" s="150" t="s">
        <v>244</v>
      </c>
      <c r="C77" s="141"/>
      <c r="D77" s="148">
        <f t="shared" si="23"/>
        <v>20.020061085269127</v>
      </c>
      <c r="E77" s="145">
        <f t="shared" si="24"/>
        <v>171809.66125917612</v>
      </c>
      <c r="F77" s="141">
        <f t="shared" si="25"/>
        <v>17950</v>
      </c>
      <c r="G77" s="151">
        <f t="shared" si="28"/>
        <v>9880</v>
      </c>
      <c r="H77" s="151">
        <f t="shared" ref="H77:H78" si="30">E77-F77+G77</f>
        <v>163739.66125917612</v>
      </c>
      <c r="I77" s="152">
        <f t="shared" si="29"/>
        <v>1760</v>
      </c>
      <c r="J77" s="153">
        <f t="shared" si="27"/>
        <v>93.033898442713706</v>
      </c>
    </row>
    <row r="78" spans="2:10" ht="15.6" x14ac:dyDescent="0.6">
      <c r="B78" s="150" t="s">
        <v>245</v>
      </c>
      <c r="C78" s="141"/>
      <c r="D78" s="148">
        <f t="shared" si="23"/>
        <v>22.107057084337285</v>
      </c>
      <c r="E78" s="145">
        <f t="shared" si="24"/>
        <v>189719.99999999997</v>
      </c>
      <c r="F78" s="141">
        <f t="shared" si="25"/>
        <v>17950</v>
      </c>
      <c r="G78" s="151">
        <f t="shared" si="28"/>
        <v>9880</v>
      </c>
      <c r="H78" s="151">
        <f t="shared" si="30"/>
        <v>181649.99999999997</v>
      </c>
      <c r="I78" s="152">
        <f t="shared" si="29"/>
        <v>1760</v>
      </c>
      <c r="J78" s="153">
        <f t="shared" si="27"/>
        <v>103.21022727272725</v>
      </c>
    </row>
    <row r="79" spans="2:10" ht="15.6" x14ac:dyDescent="0.6">
      <c r="B79" s="141"/>
      <c r="C79" s="141"/>
      <c r="D79" s="141"/>
      <c r="E79" s="145"/>
      <c r="F79" s="141"/>
      <c r="G79" s="141"/>
      <c r="H79" s="141"/>
      <c r="I79" s="141"/>
      <c r="J79" s="141"/>
    </row>
    <row r="80" spans="2:10" ht="15.6" x14ac:dyDescent="0.6">
      <c r="B80" s="141" t="s">
        <v>235</v>
      </c>
      <c r="C80" s="141"/>
      <c r="D80" s="144">
        <f>R6</f>
        <v>11859.496684960264</v>
      </c>
      <c r="E80" s="145"/>
      <c r="F80" s="141"/>
      <c r="G80" s="141"/>
      <c r="H80" s="141"/>
      <c r="I80" s="141"/>
      <c r="J80" s="141"/>
    </row>
    <row r="81" spans="2:10" ht="15.6" x14ac:dyDescent="0.6">
      <c r="B81" s="150" t="s">
        <v>241</v>
      </c>
      <c r="C81" s="141"/>
      <c r="D81" s="148">
        <f>R22</f>
        <v>9.9497969494452079</v>
      </c>
      <c r="E81" s="145">
        <f>$D$41*D81</f>
        <v>128352.38064784318</v>
      </c>
      <c r="F81" s="141">
        <f t="shared" si="25"/>
        <v>17950</v>
      </c>
      <c r="G81" s="151">
        <f t="shared" ref="G81:G85" si="31">$I$6</f>
        <v>9880</v>
      </c>
      <c r="H81" s="151">
        <f t="shared" ref="H81:H85" si="32">E81-F81+G81</f>
        <v>120282.38064784318</v>
      </c>
      <c r="I81" s="152">
        <f t="shared" ref="I81:I85" si="33">$F$6</f>
        <v>1760</v>
      </c>
      <c r="J81" s="153">
        <f t="shared" ref="J81:J82" si="34">H81/I81</f>
        <v>68.342261731729081</v>
      </c>
    </row>
    <row r="82" spans="2:10" ht="15.6" x14ac:dyDescent="0.6">
      <c r="B82" s="150" t="s">
        <v>242</v>
      </c>
      <c r="C82" s="141"/>
      <c r="D82" s="148">
        <f t="shared" ref="D82:D85" si="35">R23</f>
        <v>14.485428897024805</v>
      </c>
      <c r="E82" s="145">
        <f t="shared" ref="E82:E85" si="36">$D$41*D82</f>
        <v>186862.03277162</v>
      </c>
      <c r="F82" s="141">
        <f t="shared" si="25"/>
        <v>17950</v>
      </c>
      <c r="G82" s="151">
        <f t="shared" si="31"/>
        <v>9880</v>
      </c>
      <c r="H82" s="151">
        <f t="shared" si="32"/>
        <v>178792.03277162</v>
      </c>
      <c r="I82" s="152">
        <f t="shared" si="33"/>
        <v>1760</v>
      </c>
      <c r="J82" s="153">
        <f t="shared" si="34"/>
        <v>101.58638225660228</v>
      </c>
    </row>
    <row r="83" spans="2:10" ht="15.6" x14ac:dyDescent="0.6">
      <c r="B83" s="150" t="s">
        <v>243</v>
      </c>
      <c r="C83" s="141"/>
      <c r="D83" s="148">
        <f t="shared" si="35"/>
        <v>16.188550549441334</v>
      </c>
      <c r="E83" s="145">
        <f t="shared" si="36"/>
        <v>208832.30208779321</v>
      </c>
      <c r="F83" s="141">
        <f t="shared" si="25"/>
        <v>17950</v>
      </c>
      <c r="G83" s="151">
        <f t="shared" si="31"/>
        <v>9880</v>
      </c>
      <c r="H83" s="151">
        <f t="shared" si="32"/>
        <v>200762.30208779321</v>
      </c>
      <c r="I83" s="152">
        <f t="shared" si="33"/>
        <v>1760</v>
      </c>
      <c r="J83" s="153">
        <f>H83/I83</f>
        <v>114.06948982260978</v>
      </c>
    </row>
    <row r="84" spans="2:10" ht="15.6" x14ac:dyDescent="0.6">
      <c r="B84" s="150" t="s">
        <v>244</v>
      </c>
      <c r="C84" s="141"/>
      <c r="D84" s="148">
        <f t="shared" si="35"/>
        <v>16.625488641650318</v>
      </c>
      <c r="E84" s="145">
        <f t="shared" si="36"/>
        <v>214468.8034772891</v>
      </c>
      <c r="F84" s="141">
        <f t="shared" si="25"/>
        <v>17950</v>
      </c>
      <c r="G84" s="151">
        <f t="shared" si="31"/>
        <v>9880</v>
      </c>
      <c r="H84" s="151">
        <f t="shared" si="32"/>
        <v>206398.8034772891</v>
      </c>
      <c r="I84" s="152">
        <f t="shared" si="33"/>
        <v>1760</v>
      </c>
      <c r="J84" s="153">
        <f t="shared" ref="J84:J85" si="37">H84/I84</f>
        <v>117.27204743027789</v>
      </c>
    </row>
    <row r="85" spans="2:10" ht="15.6" x14ac:dyDescent="0.6">
      <c r="B85" s="150" t="s">
        <v>245</v>
      </c>
      <c r="C85" s="141"/>
      <c r="D85" s="148">
        <f t="shared" si="35"/>
        <v>17.362569908607284</v>
      </c>
      <c r="E85" s="145">
        <f t="shared" si="36"/>
        <v>223977.15182103397</v>
      </c>
      <c r="F85" s="141">
        <f t="shared" si="25"/>
        <v>17950</v>
      </c>
      <c r="G85" s="151">
        <f t="shared" si="31"/>
        <v>9880</v>
      </c>
      <c r="H85" s="151">
        <f t="shared" si="32"/>
        <v>215907.15182103397</v>
      </c>
      <c r="I85" s="152">
        <f t="shared" si="33"/>
        <v>1760</v>
      </c>
      <c r="J85" s="153">
        <f t="shared" si="37"/>
        <v>122.67451808013294</v>
      </c>
    </row>
    <row r="86" spans="2:10" ht="15.6" x14ac:dyDescent="0.6">
      <c r="B86" s="141"/>
      <c r="C86" s="141"/>
      <c r="D86" s="141"/>
      <c r="E86" s="145"/>
      <c r="F86" s="141"/>
      <c r="G86" s="141"/>
      <c r="H86" s="141"/>
      <c r="I86" s="141"/>
      <c r="J86" s="141"/>
    </row>
    <row r="87" spans="2:10" ht="15.6" x14ac:dyDescent="0.6">
      <c r="B87" s="141" t="s">
        <v>198</v>
      </c>
      <c r="C87" s="141"/>
      <c r="D87" s="144">
        <f>P6</f>
        <v>44009.615265000008</v>
      </c>
      <c r="E87" s="145"/>
      <c r="F87" s="141"/>
      <c r="G87" s="141"/>
      <c r="H87" s="141"/>
      <c r="I87" s="141"/>
      <c r="J87" s="141"/>
    </row>
    <row r="88" spans="2:10" ht="15.6" x14ac:dyDescent="0.6">
      <c r="B88" s="150" t="s">
        <v>241</v>
      </c>
      <c r="C88" s="141"/>
      <c r="D88" s="148">
        <f>P22</f>
        <v>4.3108761314457711</v>
      </c>
      <c r="E88" s="145">
        <f>$D$48*D88</f>
        <v>188169.7431376079</v>
      </c>
      <c r="F88" s="141">
        <f t="shared" si="25"/>
        <v>17950</v>
      </c>
      <c r="G88" s="151">
        <f t="shared" ref="G88:G92" si="38">$I$6</f>
        <v>9880</v>
      </c>
      <c r="H88" s="151">
        <f t="shared" ref="H88:H92" si="39">E88-F88+G88</f>
        <v>180099.7431376079</v>
      </c>
      <c r="I88" s="152">
        <f t="shared" ref="I88:I92" si="40">$F$6</f>
        <v>1760</v>
      </c>
      <c r="J88" s="153">
        <f t="shared" ref="J88:J92" si="41">H88/I88</f>
        <v>102.32939951000449</v>
      </c>
    </row>
    <row r="89" spans="2:10" ht="15.6" x14ac:dyDescent="0.6">
      <c r="B89" s="150" t="s">
        <v>242</v>
      </c>
      <c r="C89" s="141"/>
      <c r="D89" s="148">
        <f t="shared" ref="D89:D92" si="42">P23</f>
        <v>4.6314506261550825</v>
      </c>
      <c r="E89" s="145">
        <f t="shared" ref="E89:E92" si="43">$D$48*D89</f>
        <v>202162.81983166936</v>
      </c>
      <c r="F89" s="141">
        <f t="shared" si="25"/>
        <v>17950</v>
      </c>
      <c r="G89" s="151">
        <f t="shared" si="38"/>
        <v>9880</v>
      </c>
      <c r="H89" s="151">
        <f t="shared" si="39"/>
        <v>194092.81983166936</v>
      </c>
      <c r="I89" s="152">
        <f t="shared" si="40"/>
        <v>1760</v>
      </c>
      <c r="J89" s="153">
        <f t="shared" si="41"/>
        <v>110.28001126799396</v>
      </c>
    </row>
    <row r="90" spans="2:10" ht="15.6" x14ac:dyDescent="0.6">
      <c r="B90" s="150" t="s">
        <v>243</v>
      </c>
      <c r="C90" s="141"/>
      <c r="D90" s="148">
        <f t="shared" si="42"/>
        <v>4.7699428070119856</v>
      </c>
      <c r="E90" s="145">
        <f t="shared" si="43"/>
        <v>208208.00352607318</v>
      </c>
      <c r="F90" s="141">
        <f t="shared" si="25"/>
        <v>17950</v>
      </c>
      <c r="G90" s="151">
        <f t="shared" si="38"/>
        <v>9880</v>
      </c>
      <c r="H90" s="151">
        <f t="shared" si="39"/>
        <v>200138.00352607318</v>
      </c>
      <c r="I90" s="152">
        <f t="shared" si="40"/>
        <v>1760</v>
      </c>
      <c r="J90" s="153">
        <f t="shared" si="41"/>
        <v>113.71477473072341</v>
      </c>
    </row>
    <row r="91" spans="2:10" ht="15.6" x14ac:dyDescent="0.6">
      <c r="B91" s="150" t="s">
        <v>244</v>
      </c>
      <c r="C91" s="141"/>
      <c r="D91" s="148">
        <f t="shared" si="42"/>
        <v>5.0343113536364141</v>
      </c>
      <c r="E91" s="145">
        <f>$D$48*D91</f>
        <v>219747.69058622947</v>
      </c>
      <c r="F91" s="141">
        <f t="shared" si="25"/>
        <v>17950</v>
      </c>
      <c r="G91" s="151">
        <f t="shared" si="38"/>
        <v>9880</v>
      </c>
      <c r="H91" s="151">
        <f t="shared" si="39"/>
        <v>211677.69058622947</v>
      </c>
      <c r="I91" s="152">
        <f t="shared" si="40"/>
        <v>1760</v>
      </c>
      <c r="J91" s="153">
        <f t="shared" si="41"/>
        <v>120.2714151058122</v>
      </c>
    </row>
    <row r="92" spans="2:10" ht="15.6" x14ac:dyDescent="0.6">
      <c r="B92" s="150" t="s">
        <v>245</v>
      </c>
      <c r="C92" s="141"/>
      <c r="D92" s="148">
        <f t="shared" si="42"/>
        <v>5.7325149456483011</v>
      </c>
      <c r="E92" s="145">
        <f t="shared" si="43"/>
        <v>250224.27737754834</v>
      </c>
      <c r="F92" s="141">
        <f t="shared" si="25"/>
        <v>17950</v>
      </c>
      <c r="G92" s="151">
        <f t="shared" si="38"/>
        <v>9880</v>
      </c>
      <c r="H92" s="151">
        <f t="shared" si="39"/>
        <v>242154.27737754834</v>
      </c>
      <c r="I92" s="152">
        <f t="shared" si="40"/>
        <v>1760</v>
      </c>
      <c r="J92" s="153">
        <f t="shared" si="41"/>
        <v>137.58765760087974</v>
      </c>
    </row>
    <row r="93" spans="2:10" ht="15.6" x14ac:dyDescent="0.6">
      <c r="B93" s="141"/>
      <c r="C93" s="141"/>
      <c r="D93" s="141"/>
      <c r="E93" s="145"/>
      <c r="F93" s="141"/>
      <c r="G93" s="141"/>
      <c r="H93" s="141"/>
      <c r="I93" s="141"/>
      <c r="J93" s="141"/>
    </row>
    <row r="94" spans="2:10" ht="15.6" x14ac:dyDescent="0.6">
      <c r="B94" s="141" t="s">
        <v>234</v>
      </c>
      <c r="C94" s="141"/>
      <c r="D94" s="144">
        <f>Q6</f>
        <v>3520.7692212000011</v>
      </c>
      <c r="E94" s="145"/>
      <c r="F94" s="141"/>
      <c r="G94" s="141"/>
      <c r="H94" s="141"/>
      <c r="I94" s="141"/>
      <c r="J94" s="141"/>
    </row>
    <row r="95" spans="2:10" ht="15.6" x14ac:dyDescent="0.6">
      <c r="B95" s="150" t="s">
        <v>241</v>
      </c>
      <c r="C95" s="141"/>
      <c r="D95" s="148">
        <f>Q22</f>
        <v>23.761958872475351</v>
      </c>
      <c r="E95" s="145">
        <f>$D$55*D95</f>
        <v>68672.061141453756</v>
      </c>
      <c r="F95" s="141">
        <f t="shared" si="25"/>
        <v>17950</v>
      </c>
      <c r="G95" s="151">
        <f t="shared" ref="G95:G99" si="44">$I$6</f>
        <v>9880</v>
      </c>
      <c r="H95" s="151">
        <f t="shared" ref="H95:H99" si="45">E95-F95+G95</f>
        <v>60602.061141453756</v>
      </c>
      <c r="I95" s="152">
        <f t="shared" ref="I95:I99" si="46">$F$6</f>
        <v>1760</v>
      </c>
      <c r="J95" s="153">
        <f t="shared" ref="J95:J99" si="47">H95/I95</f>
        <v>34.432989284916907</v>
      </c>
    </row>
    <row r="96" spans="2:10" ht="15.6" x14ac:dyDescent="0.6">
      <c r="B96" s="150" t="s">
        <v>242</v>
      </c>
      <c r="C96" s="141"/>
      <c r="D96" s="148">
        <f t="shared" ref="D96:D99" si="48">Q23</f>
        <v>46.35495345042294</v>
      </c>
      <c r="E96" s="145">
        <f t="shared" ref="E96:E99" si="49">$D$55*D96</f>
        <v>133965.81547172231</v>
      </c>
      <c r="F96" s="141">
        <f t="shared" si="25"/>
        <v>17950</v>
      </c>
      <c r="G96" s="151">
        <f t="shared" si="44"/>
        <v>9880</v>
      </c>
      <c r="H96" s="151">
        <f t="shared" si="45"/>
        <v>125895.81547172231</v>
      </c>
      <c r="I96" s="152">
        <f t="shared" si="46"/>
        <v>1760</v>
      </c>
      <c r="J96" s="153">
        <f t="shared" si="47"/>
        <v>71.531713336205854</v>
      </c>
    </row>
    <row r="97" spans="2:10" ht="15.6" x14ac:dyDescent="0.6">
      <c r="B97" s="150" t="s">
        <v>243</v>
      </c>
      <c r="C97" s="141"/>
      <c r="D97" s="148">
        <f t="shared" si="48"/>
        <v>78.291814931230761</v>
      </c>
      <c r="E97" s="145">
        <f t="shared" si="49"/>
        <v>226263.34515125689</v>
      </c>
      <c r="F97" s="141">
        <f t="shared" si="25"/>
        <v>17950</v>
      </c>
      <c r="G97" s="151">
        <f t="shared" si="44"/>
        <v>9880</v>
      </c>
      <c r="H97" s="151">
        <f t="shared" si="45"/>
        <v>218193.34515125689</v>
      </c>
      <c r="I97" s="152">
        <f t="shared" si="46"/>
        <v>1760</v>
      </c>
      <c r="J97" s="153">
        <f t="shared" si="47"/>
        <v>123.97349156321414</v>
      </c>
    </row>
    <row r="98" spans="2:10" ht="15.6" x14ac:dyDescent="0.6">
      <c r="B98" s="150" t="s">
        <v>244</v>
      </c>
      <c r="C98" s="141"/>
      <c r="D98" s="148">
        <f t="shared" si="48"/>
        <v>113.09195879149161</v>
      </c>
      <c r="E98" s="145">
        <f t="shared" si="49"/>
        <v>326835.76090741076</v>
      </c>
      <c r="F98" s="141">
        <f t="shared" si="25"/>
        <v>17950</v>
      </c>
      <c r="G98" s="151">
        <f t="shared" si="44"/>
        <v>9880</v>
      </c>
      <c r="H98" s="151">
        <f t="shared" si="45"/>
        <v>318765.76090741076</v>
      </c>
      <c r="I98" s="152">
        <f t="shared" si="46"/>
        <v>1760</v>
      </c>
      <c r="J98" s="153">
        <f t="shared" si="47"/>
        <v>181.11690960648338</v>
      </c>
    </row>
    <row r="99" spans="2:10" ht="15.6" x14ac:dyDescent="0.6">
      <c r="B99" s="150" t="s">
        <v>245</v>
      </c>
      <c r="C99" s="141"/>
      <c r="D99" s="148">
        <f t="shared" si="48"/>
        <v>144.27480050779832</v>
      </c>
      <c r="E99" s="145">
        <f t="shared" si="49"/>
        <v>416954.17346753716</v>
      </c>
      <c r="F99" s="141">
        <f t="shared" si="25"/>
        <v>17950</v>
      </c>
      <c r="G99" s="151">
        <f t="shared" si="44"/>
        <v>9880</v>
      </c>
      <c r="H99" s="151">
        <f t="shared" si="45"/>
        <v>408884.17346753716</v>
      </c>
      <c r="I99" s="152">
        <f t="shared" si="46"/>
        <v>1760</v>
      </c>
      <c r="J99" s="153">
        <f t="shared" si="47"/>
        <v>232.3205531065552</v>
      </c>
    </row>
    <row r="102" spans="2:10" ht="15.6" x14ac:dyDescent="0.55000000000000004">
      <c r="B102" s="159" t="s">
        <v>111</v>
      </c>
      <c r="C102" s="197"/>
      <c r="D102" s="197"/>
      <c r="E102" s="197"/>
    </row>
    <row r="103" spans="2:10" ht="15.6" x14ac:dyDescent="0.55000000000000004">
      <c r="B103" s="137" t="s">
        <v>252</v>
      </c>
      <c r="C103" s="155"/>
      <c r="D103" s="155"/>
      <c r="E103" s="155"/>
    </row>
    <row r="104" spans="2:10" x14ac:dyDescent="0.55000000000000004">
      <c r="B104" t="s">
        <v>239</v>
      </c>
      <c r="C104" s="156">
        <f>J76</f>
        <v>88.72134234822002</v>
      </c>
      <c r="D104" s="157">
        <v>0.1</v>
      </c>
      <c r="E104" s="154">
        <f>C104*D104</f>
        <v>8.8721342348220027</v>
      </c>
    </row>
    <row r="105" spans="2:10" x14ac:dyDescent="0.55000000000000004">
      <c r="B105" t="s">
        <v>217</v>
      </c>
      <c r="C105" s="156">
        <f>J83</f>
        <v>114.06948982260978</v>
      </c>
      <c r="D105" s="157">
        <v>0.3</v>
      </c>
      <c r="E105" s="154">
        <f>C105*D105</f>
        <v>34.220846946782935</v>
      </c>
    </row>
    <row r="106" spans="2:10" x14ac:dyDescent="0.55000000000000004">
      <c r="B106" t="s">
        <v>237</v>
      </c>
      <c r="C106" s="156">
        <f>J90</f>
        <v>113.71477473072341</v>
      </c>
      <c r="D106" s="157">
        <v>0.3</v>
      </c>
      <c r="E106" s="154">
        <f>C106*D106</f>
        <v>34.114432419217017</v>
      </c>
    </row>
    <row r="107" spans="2:10" x14ac:dyDescent="0.55000000000000004">
      <c r="B107" t="s">
        <v>238</v>
      </c>
      <c r="C107" s="156">
        <f>J97</f>
        <v>123.97349156321414</v>
      </c>
      <c r="D107" s="157">
        <v>0.3</v>
      </c>
      <c r="E107" s="154">
        <f>C107*D107</f>
        <v>37.19204746896424</v>
      </c>
    </row>
    <row r="108" spans="2:10" x14ac:dyDescent="0.55000000000000004">
      <c r="C108" s="156"/>
      <c r="D108" s="157"/>
      <c r="E108" s="154">
        <f>SUM(E104:E107)</f>
        <v>114.39946106978618</v>
      </c>
    </row>
  </sheetData>
  <mergeCells count="2">
    <mergeCell ref="K3:O3"/>
    <mergeCell ref="P3:T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 Statement</vt:lpstr>
      <vt:lpstr>Cash Flow Statement</vt:lpstr>
      <vt:lpstr>Balance Sheet</vt:lpstr>
      <vt:lpstr>Revenue Build</vt:lpstr>
      <vt:lpstr>CapEx + D&amp;A</vt:lpstr>
      <vt:lpstr>WACC</vt:lpstr>
      <vt:lpstr>DCF</vt:lpstr>
      <vt:lpstr>Comps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Gee</dc:creator>
  <cp:lastModifiedBy>Aidan Milroy</cp:lastModifiedBy>
  <cp:lastPrinted>2023-04-17T16:40:03Z</cp:lastPrinted>
  <dcterms:created xsi:type="dcterms:W3CDTF">2023-04-13T05:51:08Z</dcterms:created>
  <dcterms:modified xsi:type="dcterms:W3CDTF">2023-04-19T00:28:39Z</dcterms:modified>
</cp:coreProperties>
</file>