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/>
  <mc:AlternateContent xmlns:mc="http://schemas.openxmlformats.org/markup-compatibility/2006">
    <mc:Choice Requires="x15">
      <x15ac:absPath xmlns:x15ac="http://schemas.microsoft.com/office/spreadsheetml/2010/11/ac" url="/Users/brandonwexler/Desktop/"/>
    </mc:Choice>
  </mc:AlternateContent>
  <xr:revisionPtr revIDLastSave="0" documentId="8_{1E9E7C63-8D39-D648-8FB2-1E32D86209B9}" xr6:coauthVersionLast="47" xr6:coauthVersionMax="47" xr10:uidLastSave="{00000000-0000-0000-0000-000000000000}"/>
  <bookViews>
    <workbookView xWindow="980" yWindow="500" windowWidth="28800" windowHeight="16460" firstSheet="2" activeTab="2" xr2:uid="{00000000-000D-0000-FFFF-FFFF00000000}"/>
  </bookViews>
  <sheets>
    <sheet name="ModelCover" sheetId="1" r:id="rId1"/>
    <sheet name="Balance Sheet" sheetId="2" r:id="rId2"/>
    <sheet name="Income Statement" sheetId="3" r:id="rId3"/>
    <sheet name="AFFO Calculation" sheetId="4" r:id="rId4"/>
    <sheet name="Cash Flow Statement" sheetId="5" r:id="rId5"/>
    <sheet name="Revenue Build" sheetId="6" r:id="rId6"/>
    <sheet name="CapEx + D&amp;A" sheetId="7" r:id="rId7"/>
    <sheet name="Δ NWC" sheetId="8" r:id="rId8"/>
    <sheet name="Comps Inputs" sheetId="9" r:id="rId9"/>
    <sheet name="Comparable Companies" sheetId="10" r:id="rId10"/>
    <sheet name="BETA &amp; DDM" sheetId="11" r:id="rId11"/>
    <sheet name="DCF" sheetId="12" r:id="rId12"/>
    <sheet name="WACC" sheetId="13" r:id="rId13"/>
  </sheets>
  <definedNames>
    <definedName name="Diluted_shares">DCF!$C$61</definedName>
    <definedName name="WACC" localSheetId="9">DCF!$C$65</definedName>
    <definedName name="WACC" localSheetId="8">DCF!$C$65</definedName>
    <definedName name="WACC">DCF!$C$64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7" roundtripDataSignature="AMtx7mj1Jd00dxTdDy9ftw9nhnp4Zx6Uew=="/>
    </ext>
  </extLst>
</workbook>
</file>

<file path=xl/calcChain.xml><?xml version="1.0" encoding="utf-8"?>
<calcChain xmlns="http://schemas.openxmlformats.org/spreadsheetml/2006/main">
  <c r="E78" i="10" l="1"/>
  <c r="D78" i="10"/>
  <c r="E77" i="10"/>
  <c r="D77" i="10"/>
  <c r="E76" i="10"/>
  <c r="D76" i="10"/>
  <c r="E75" i="10"/>
  <c r="D75" i="10"/>
  <c r="E74" i="10"/>
  <c r="D74" i="10"/>
  <c r="R40" i="13"/>
  <c r="S40" i="13" s="1"/>
  <c r="R38" i="13"/>
  <c r="S38" i="13" s="1"/>
  <c r="R36" i="13"/>
  <c r="S36" i="13" s="1"/>
  <c r="R34" i="13"/>
  <c r="S34" i="13" s="1"/>
  <c r="R32" i="13"/>
  <c r="S32" i="13" s="1"/>
  <c r="C17" i="13"/>
  <c r="C15" i="13"/>
  <c r="C14" i="13"/>
  <c r="C7" i="13"/>
  <c r="C8" i="13" s="1"/>
  <c r="AA39" i="12"/>
  <c r="AZ36" i="12"/>
  <c r="AA36" i="12"/>
  <c r="AZ35" i="12"/>
  <c r="AA35" i="12"/>
  <c r="K31" i="12"/>
  <c r="J31" i="12"/>
  <c r="I31" i="12"/>
  <c r="H31" i="12"/>
  <c r="G31" i="12"/>
  <c r="F31" i="12"/>
  <c r="E31" i="12"/>
  <c r="D31" i="12"/>
  <c r="AT30" i="12"/>
  <c r="AY30" i="12" s="1"/>
  <c r="BD30" i="12" s="1"/>
  <c r="AR30" i="12"/>
  <c r="AW30" i="12" s="1"/>
  <c r="BB30" i="12" s="1"/>
  <c r="AP30" i="12"/>
  <c r="AU30" i="12" s="1"/>
  <c r="AZ30" i="12" s="1"/>
  <c r="BE30" i="12" s="1"/>
  <c r="AO30" i="12"/>
  <c r="AN30" i="12"/>
  <c r="AS30" i="12" s="1"/>
  <c r="AX30" i="12" s="1"/>
  <c r="BC30" i="12" s="1"/>
  <c r="AM30" i="12"/>
  <c r="AL30" i="12"/>
  <c r="AQ30" i="12" s="1"/>
  <c r="AV30" i="12" s="1"/>
  <c r="BA30" i="12" s="1"/>
  <c r="AK30" i="12"/>
  <c r="BL27" i="12"/>
  <c r="BL26" i="12"/>
  <c r="BL24" i="12"/>
  <c r="BL23" i="12"/>
  <c r="BP22" i="12"/>
  <c r="BQ22" i="12" s="1"/>
  <c r="BN22" i="12"/>
  <c r="BM22" i="12" s="1"/>
  <c r="AE15" i="12"/>
  <c r="AD15" i="12"/>
  <c r="AC15" i="12"/>
  <c r="AB15" i="12"/>
  <c r="AE14" i="12"/>
  <c r="AD14" i="12"/>
  <c r="AC14" i="12"/>
  <c r="AB14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Z13" i="12"/>
  <c r="Y13" i="12"/>
  <c r="X13" i="12"/>
  <c r="W13" i="12"/>
  <c r="U13" i="12"/>
  <c r="T13" i="12"/>
  <c r="S13" i="12"/>
  <c r="R13" i="12"/>
  <c r="BD12" i="12"/>
  <c r="BC12" i="12"/>
  <c r="BB12" i="12"/>
  <c r="BA12" i="12"/>
  <c r="AY12" i="12"/>
  <c r="AX12" i="12"/>
  <c r="AW12" i="12"/>
  <c r="AV12" i="12"/>
  <c r="AT12" i="12"/>
  <c r="AS12" i="12"/>
  <c r="AR12" i="12"/>
  <c r="AQ12" i="12"/>
  <c r="AO12" i="12"/>
  <c r="AN12" i="12"/>
  <c r="AM12" i="12"/>
  <c r="AL12" i="12"/>
  <c r="AJ12" i="12"/>
  <c r="AI12" i="12"/>
  <c r="AH12" i="12"/>
  <c r="AG12" i="12"/>
  <c r="Z12" i="12"/>
  <c r="Y12" i="12"/>
  <c r="X12" i="12"/>
  <c r="W12" i="12"/>
  <c r="U12" i="12"/>
  <c r="T12" i="12"/>
  <c r="S12" i="12"/>
  <c r="R12" i="12"/>
  <c r="BQ9" i="12"/>
  <c r="BP9" i="12"/>
  <c r="BN9" i="12"/>
  <c r="BM9" i="12" s="1"/>
  <c r="BD9" i="12"/>
  <c r="BC9" i="12"/>
  <c r="BB9" i="12"/>
  <c r="BA9" i="12"/>
  <c r="AY9" i="12"/>
  <c r="AX9" i="12"/>
  <c r="AW9" i="12"/>
  <c r="AV9" i="12"/>
  <c r="AT9" i="12"/>
  <c r="AS9" i="12"/>
  <c r="AR9" i="12"/>
  <c r="AQ9" i="12"/>
  <c r="AO9" i="12"/>
  <c r="AN9" i="12"/>
  <c r="AM9" i="12"/>
  <c r="AL9" i="12"/>
  <c r="AJ9" i="12"/>
  <c r="AI9" i="12"/>
  <c r="AH9" i="12"/>
  <c r="AG9" i="12"/>
  <c r="Z9" i="12"/>
  <c r="Y9" i="12"/>
  <c r="X9" i="12"/>
  <c r="W9" i="12"/>
  <c r="U9" i="12"/>
  <c r="T9" i="12"/>
  <c r="S9" i="12"/>
  <c r="R9" i="12"/>
  <c r="BD8" i="12"/>
  <c r="BC8" i="12"/>
  <c r="BB8" i="12"/>
  <c r="BA8" i="12"/>
  <c r="AY8" i="12"/>
  <c r="AX8" i="12"/>
  <c r="AW8" i="12"/>
  <c r="AV8" i="12"/>
  <c r="AT8" i="12"/>
  <c r="AS8" i="12"/>
  <c r="AR8" i="12"/>
  <c r="AQ8" i="12"/>
  <c r="AO8" i="12"/>
  <c r="AN8" i="12"/>
  <c r="AM8" i="12"/>
  <c r="AL8" i="12"/>
  <c r="AJ8" i="12"/>
  <c r="AI8" i="12"/>
  <c r="AH8" i="12"/>
  <c r="AG8" i="12"/>
  <c r="Z8" i="12"/>
  <c r="Y8" i="12"/>
  <c r="X8" i="12"/>
  <c r="W8" i="12"/>
  <c r="U8" i="12"/>
  <c r="T8" i="12"/>
  <c r="S8" i="12"/>
  <c r="R8" i="12"/>
  <c r="L5" i="12"/>
  <c r="E5" i="12"/>
  <c r="F5" i="12" s="1"/>
  <c r="G5" i="12" s="1"/>
  <c r="D5" i="12"/>
  <c r="G4" i="12"/>
  <c r="F4" i="12"/>
  <c r="E4" i="12"/>
  <c r="D4" i="12"/>
  <c r="E1259" i="11"/>
  <c r="D1259" i="11"/>
  <c r="E1258" i="11"/>
  <c r="D1258" i="11"/>
  <c r="E1257" i="11"/>
  <c r="D1257" i="11"/>
  <c r="E1256" i="11"/>
  <c r="D1256" i="11"/>
  <c r="E1255" i="11"/>
  <c r="D1255" i="11"/>
  <c r="E1254" i="11"/>
  <c r="D1254" i="11"/>
  <c r="E1253" i="11"/>
  <c r="D1253" i="11"/>
  <c r="E1252" i="11"/>
  <c r="D1252" i="11"/>
  <c r="E1251" i="11"/>
  <c r="D1251" i="11"/>
  <c r="E1250" i="11"/>
  <c r="D1250" i="11"/>
  <c r="E1249" i="11"/>
  <c r="D1249" i="11"/>
  <c r="E1248" i="11"/>
  <c r="D1248" i="11"/>
  <c r="E1247" i="11"/>
  <c r="D1247" i="11"/>
  <c r="E1246" i="11"/>
  <c r="D1246" i="11"/>
  <c r="E1245" i="11"/>
  <c r="D1245" i="11"/>
  <c r="E1244" i="11"/>
  <c r="D1244" i="11"/>
  <c r="E1243" i="11"/>
  <c r="D1243" i="11"/>
  <c r="E1242" i="11"/>
  <c r="D1242" i="11"/>
  <c r="E1241" i="11"/>
  <c r="D1241" i="11"/>
  <c r="E1240" i="11"/>
  <c r="D1240" i="11"/>
  <c r="E1239" i="11"/>
  <c r="D1239" i="11"/>
  <c r="E1238" i="11"/>
  <c r="D1238" i="11"/>
  <c r="E1237" i="11"/>
  <c r="D1237" i="11"/>
  <c r="E1236" i="11"/>
  <c r="D1236" i="11"/>
  <c r="E1235" i="11"/>
  <c r="D1235" i="11"/>
  <c r="E1234" i="11"/>
  <c r="D1234" i="11"/>
  <c r="E1233" i="11"/>
  <c r="D1233" i="11"/>
  <c r="E1232" i="11"/>
  <c r="D1232" i="11"/>
  <c r="E1231" i="11"/>
  <c r="D1231" i="11"/>
  <c r="E1230" i="11"/>
  <c r="D1230" i="11"/>
  <c r="E1229" i="11"/>
  <c r="D1229" i="11"/>
  <c r="E1228" i="11"/>
  <c r="D1228" i="11"/>
  <c r="E1227" i="11"/>
  <c r="D1227" i="11"/>
  <c r="E1226" i="11"/>
  <c r="D1226" i="11"/>
  <c r="E1225" i="11"/>
  <c r="D1225" i="11"/>
  <c r="E1224" i="11"/>
  <c r="D1224" i="11"/>
  <c r="E1223" i="11"/>
  <c r="D1223" i="11"/>
  <c r="E1222" i="11"/>
  <c r="D1222" i="11"/>
  <c r="E1221" i="11"/>
  <c r="D1221" i="11"/>
  <c r="E1220" i="11"/>
  <c r="D1220" i="11"/>
  <c r="E1219" i="11"/>
  <c r="D1219" i="11"/>
  <c r="E1218" i="11"/>
  <c r="D1218" i="11"/>
  <c r="E1217" i="11"/>
  <c r="D1217" i="11"/>
  <c r="E1216" i="11"/>
  <c r="D1216" i="11"/>
  <c r="E1215" i="11"/>
  <c r="D1215" i="11"/>
  <c r="E1214" i="11"/>
  <c r="D1214" i="11"/>
  <c r="E1213" i="11"/>
  <c r="D1213" i="11"/>
  <c r="E1212" i="11"/>
  <c r="D1212" i="11"/>
  <c r="E1211" i="11"/>
  <c r="D1211" i="11"/>
  <c r="E1210" i="11"/>
  <c r="D1210" i="11"/>
  <c r="E1209" i="11"/>
  <c r="D1209" i="11"/>
  <c r="E1208" i="11"/>
  <c r="D1208" i="11"/>
  <c r="E1207" i="11"/>
  <c r="D1207" i="11"/>
  <c r="E1206" i="11"/>
  <c r="D1206" i="11"/>
  <c r="E1205" i="11"/>
  <c r="D1205" i="11"/>
  <c r="E1204" i="11"/>
  <c r="D1204" i="11"/>
  <c r="E1203" i="11"/>
  <c r="D1203" i="11"/>
  <c r="E1202" i="11"/>
  <c r="D1202" i="11"/>
  <c r="E1201" i="11"/>
  <c r="D1201" i="11"/>
  <c r="E1200" i="11"/>
  <c r="D1200" i="11"/>
  <c r="E1199" i="11"/>
  <c r="D1199" i="11"/>
  <c r="E1198" i="11"/>
  <c r="D1198" i="11"/>
  <c r="E1197" i="11"/>
  <c r="D1197" i="11"/>
  <c r="E1196" i="11"/>
  <c r="D1196" i="11"/>
  <c r="E1195" i="11"/>
  <c r="D1195" i="11"/>
  <c r="E1194" i="11"/>
  <c r="D1194" i="11"/>
  <c r="E1193" i="11"/>
  <c r="D1193" i="11"/>
  <c r="E1192" i="11"/>
  <c r="D1192" i="11"/>
  <c r="E1191" i="11"/>
  <c r="D1191" i="11"/>
  <c r="E1190" i="11"/>
  <c r="D1190" i="11"/>
  <c r="E1189" i="11"/>
  <c r="D1189" i="11"/>
  <c r="E1188" i="11"/>
  <c r="D1188" i="11"/>
  <c r="E1187" i="11"/>
  <c r="D1187" i="11"/>
  <c r="E1186" i="11"/>
  <c r="D1186" i="11"/>
  <c r="E1185" i="11"/>
  <c r="D1185" i="11"/>
  <c r="E1184" i="11"/>
  <c r="D1184" i="11"/>
  <c r="E1183" i="11"/>
  <c r="D1183" i="11"/>
  <c r="E1182" i="11"/>
  <c r="D1182" i="11"/>
  <c r="E1181" i="11"/>
  <c r="D1181" i="11"/>
  <c r="E1180" i="11"/>
  <c r="D1180" i="11"/>
  <c r="E1179" i="11"/>
  <c r="D1179" i="11"/>
  <c r="E1178" i="11"/>
  <c r="D1178" i="11"/>
  <c r="E1177" i="11"/>
  <c r="D1177" i="11"/>
  <c r="E1176" i="11"/>
  <c r="D1176" i="11"/>
  <c r="E1175" i="11"/>
  <c r="D1175" i="11"/>
  <c r="E1174" i="11"/>
  <c r="D1174" i="11"/>
  <c r="E1173" i="11"/>
  <c r="D1173" i="11"/>
  <c r="E1172" i="11"/>
  <c r="D1172" i="11"/>
  <c r="E1171" i="11"/>
  <c r="D1171" i="11"/>
  <c r="E1170" i="11"/>
  <c r="D1170" i="11"/>
  <c r="E1169" i="11"/>
  <c r="D1169" i="11"/>
  <c r="E1168" i="11"/>
  <c r="D1168" i="11"/>
  <c r="E1167" i="11"/>
  <c r="D1167" i="11"/>
  <c r="E1166" i="11"/>
  <c r="D1166" i="11"/>
  <c r="E1165" i="11"/>
  <c r="D1165" i="11"/>
  <c r="E1164" i="11"/>
  <c r="D1164" i="11"/>
  <c r="E1163" i="11"/>
  <c r="D1163" i="11"/>
  <c r="E1162" i="11"/>
  <c r="D1162" i="11"/>
  <c r="E1161" i="11"/>
  <c r="D1161" i="11"/>
  <c r="E1160" i="11"/>
  <c r="D1160" i="11"/>
  <c r="E1159" i="11"/>
  <c r="D1159" i="11"/>
  <c r="E1158" i="11"/>
  <c r="D1158" i="11"/>
  <c r="E1157" i="11"/>
  <c r="D1157" i="11"/>
  <c r="E1156" i="11"/>
  <c r="D1156" i="11"/>
  <c r="E1155" i="11"/>
  <c r="D1155" i="11"/>
  <c r="E1154" i="11"/>
  <c r="D1154" i="11"/>
  <c r="E1153" i="11"/>
  <c r="D1153" i="11"/>
  <c r="E1152" i="11"/>
  <c r="D1152" i="11"/>
  <c r="E1151" i="11"/>
  <c r="D1151" i="11"/>
  <c r="E1150" i="11"/>
  <c r="D1150" i="11"/>
  <c r="E1149" i="11"/>
  <c r="D1149" i="11"/>
  <c r="E1148" i="11"/>
  <c r="D1148" i="11"/>
  <c r="E1147" i="11"/>
  <c r="D1147" i="11"/>
  <c r="E1146" i="11"/>
  <c r="D1146" i="11"/>
  <c r="E1145" i="11"/>
  <c r="D1145" i="11"/>
  <c r="E1144" i="11"/>
  <c r="D1144" i="11"/>
  <c r="E1143" i="11"/>
  <c r="D1143" i="11"/>
  <c r="E1142" i="11"/>
  <c r="D1142" i="11"/>
  <c r="E1141" i="11"/>
  <c r="D1141" i="11"/>
  <c r="E1140" i="11"/>
  <c r="D1140" i="11"/>
  <c r="E1139" i="11"/>
  <c r="D1139" i="11"/>
  <c r="E1138" i="11"/>
  <c r="D1138" i="11"/>
  <c r="E1137" i="11"/>
  <c r="D1137" i="11"/>
  <c r="E1136" i="11"/>
  <c r="D1136" i="11"/>
  <c r="E1135" i="11"/>
  <c r="D1135" i="11"/>
  <c r="E1134" i="11"/>
  <c r="D1134" i="11"/>
  <c r="E1133" i="11"/>
  <c r="D1133" i="11"/>
  <c r="E1132" i="11"/>
  <c r="D1132" i="11"/>
  <c r="E1131" i="11"/>
  <c r="D1131" i="11"/>
  <c r="E1130" i="11"/>
  <c r="D1130" i="11"/>
  <c r="E1129" i="11"/>
  <c r="D1129" i="11"/>
  <c r="E1128" i="11"/>
  <c r="D1128" i="11"/>
  <c r="E1127" i="11"/>
  <c r="D1127" i="11"/>
  <c r="E1126" i="11"/>
  <c r="D1126" i="11"/>
  <c r="E1125" i="11"/>
  <c r="D1125" i="11"/>
  <c r="E1124" i="11"/>
  <c r="D1124" i="11"/>
  <c r="E1123" i="11"/>
  <c r="D1123" i="11"/>
  <c r="E1122" i="11"/>
  <c r="D1122" i="11"/>
  <c r="E1121" i="11"/>
  <c r="D1121" i="11"/>
  <c r="E1120" i="11"/>
  <c r="D1120" i="11"/>
  <c r="E1119" i="11"/>
  <c r="D1119" i="11"/>
  <c r="E1118" i="11"/>
  <c r="D1118" i="11"/>
  <c r="E1117" i="11"/>
  <c r="D1117" i="11"/>
  <c r="E1116" i="11"/>
  <c r="D1116" i="11"/>
  <c r="E1115" i="11"/>
  <c r="D1115" i="11"/>
  <c r="E1114" i="11"/>
  <c r="D1114" i="11"/>
  <c r="E1113" i="11"/>
  <c r="D1113" i="11"/>
  <c r="E1112" i="11"/>
  <c r="D1112" i="11"/>
  <c r="E1111" i="11"/>
  <c r="D1111" i="11"/>
  <c r="E1110" i="11"/>
  <c r="D1110" i="11"/>
  <c r="E1109" i="11"/>
  <c r="D1109" i="11"/>
  <c r="E1108" i="11"/>
  <c r="D1108" i="11"/>
  <c r="E1107" i="11"/>
  <c r="D1107" i="11"/>
  <c r="E1106" i="11"/>
  <c r="D1106" i="11"/>
  <c r="E1105" i="11"/>
  <c r="D1105" i="11"/>
  <c r="E1104" i="11"/>
  <c r="D1104" i="11"/>
  <c r="E1103" i="11"/>
  <c r="D1103" i="11"/>
  <c r="E1102" i="11"/>
  <c r="D1102" i="11"/>
  <c r="E1101" i="11"/>
  <c r="D1101" i="11"/>
  <c r="E1100" i="11"/>
  <c r="D1100" i="11"/>
  <c r="E1099" i="11"/>
  <c r="D1099" i="11"/>
  <c r="E1098" i="11"/>
  <c r="D1098" i="11"/>
  <c r="E1097" i="11"/>
  <c r="D1097" i="11"/>
  <c r="E1096" i="11"/>
  <c r="D1096" i="11"/>
  <c r="E1095" i="11"/>
  <c r="D1095" i="11"/>
  <c r="E1094" i="11"/>
  <c r="D1094" i="11"/>
  <c r="E1093" i="11"/>
  <c r="D1093" i="11"/>
  <c r="E1092" i="11"/>
  <c r="D1092" i="11"/>
  <c r="E1091" i="11"/>
  <c r="D1091" i="11"/>
  <c r="E1090" i="11"/>
  <c r="D1090" i="11"/>
  <c r="E1089" i="11"/>
  <c r="D1089" i="11"/>
  <c r="E1088" i="11"/>
  <c r="D1088" i="11"/>
  <c r="E1087" i="11"/>
  <c r="D1087" i="11"/>
  <c r="E1086" i="11"/>
  <c r="D1086" i="11"/>
  <c r="E1085" i="11"/>
  <c r="D1085" i="11"/>
  <c r="E1084" i="11"/>
  <c r="D1084" i="11"/>
  <c r="E1083" i="11"/>
  <c r="D1083" i="11"/>
  <c r="E1082" i="11"/>
  <c r="D1082" i="11"/>
  <c r="E1081" i="11"/>
  <c r="D1081" i="11"/>
  <c r="E1080" i="11"/>
  <c r="D1080" i="11"/>
  <c r="E1079" i="11"/>
  <c r="D1079" i="11"/>
  <c r="E1078" i="11"/>
  <c r="D1078" i="11"/>
  <c r="E1077" i="11"/>
  <c r="D1077" i="11"/>
  <c r="E1076" i="11"/>
  <c r="D1076" i="11"/>
  <c r="E1075" i="11"/>
  <c r="D1075" i="11"/>
  <c r="E1074" i="11"/>
  <c r="D1074" i="11"/>
  <c r="E1073" i="11"/>
  <c r="D1073" i="11"/>
  <c r="E1072" i="11"/>
  <c r="D1072" i="11"/>
  <c r="E1071" i="11"/>
  <c r="D1071" i="11"/>
  <c r="E1070" i="11"/>
  <c r="D1070" i="11"/>
  <c r="E1069" i="11"/>
  <c r="D1069" i="11"/>
  <c r="E1068" i="11"/>
  <c r="D1068" i="11"/>
  <c r="E1067" i="11"/>
  <c r="D1067" i="11"/>
  <c r="E1066" i="11"/>
  <c r="D1066" i="11"/>
  <c r="E1065" i="11"/>
  <c r="D1065" i="11"/>
  <c r="E1064" i="11"/>
  <c r="D1064" i="11"/>
  <c r="E1063" i="11"/>
  <c r="D1063" i="11"/>
  <c r="E1062" i="11"/>
  <c r="D1062" i="11"/>
  <c r="E1061" i="11"/>
  <c r="D1061" i="11"/>
  <c r="E1060" i="11"/>
  <c r="D1060" i="11"/>
  <c r="E1059" i="11"/>
  <c r="D1059" i="11"/>
  <c r="E1058" i="11"/>
  <c r="D1058" i="11"/>
  <c r="E1057" i="11"/>
  <c r="D1057" i="11"/>
  <c r="E1056" i="11"/>
  <c r="D1056" i="11"/>
  <c r="E1055" i="11"/>
  <c r="D1055" i="11"/>
  <c r="E1054" i="11"/>
  <c r="D1054" i="11"/>
  <c r="E1053" i="11"/>
  <c r="D1053" i="11"/>
  <c r="E1052" i="11"/>
  <c r="D1052" i="11"/>
  <c r="E1051" i="11"/>
  <c r="D1051" i="11"/>
  <c r="E1050" i="11"/>
  <c r="D1050" i="11"/>
  <c r="E1049" i="11"/>
  <c r="D1049" i="11"/>
  <c r="E1048" i="11"/>
  <c r="D1048" i="11"/>
  <c r="E1047" i="11"/>
  <c r="D1047" i="11"/>
  <c r="E1046" i="11"/>
  <c r="D1046" i="11"/>
  <c r="E1045" i="11"/>
  <c r="D1045" i="11"/>
  <c r="E1044" i="11"/>
  <c r="D1044" i="11"/>
  <c r="E1043" i="11"/>
  <c r="D1043" i="11"/>
  <c r="E1042" i="11"/>
  <c r="D1042" i="11"/>
  <c r="E1041" i="11"/>
  <c r="D1041" i="11"/>
  <c r="E1040" i="11"/>
  <c r="D1040" i="11"/>
  <c r="E1039" i="11"/>
  <c r="D1039" i="11"/>
  <c r="E1038" i="11"/>
  <c r="D1038" i="11"/>
  <c r="E1037" i="11"/>
  <c r="D1037" i="11"/>
  <c r="E1036" i="11"/>
  <c r="D1036" i="11"/>
  <c r="E1035" i="11"/>
  <c r="D1035" i="11"/>
  <c r="E1034" i="11"/>
  <c r="D1034" i="11"/>
  <c r="E1033" i="11"/>
  <c r="D1033" i="11"/>
  <c r="E1032" i="11"/>
  <c r="D1032" i="11"/>
  <c r="E1031" i="11"/>
  <c r="D1031" i="11"/>
  <c r="E1030" i="11"/>
  <c r="D1030" i="11"/>
  <c r="E1029" i="11"/>
  <c r="D1029" i="11"/>
  <c r="E1028" i="11"/>
  <c r="D1028" i="11"/>
  <c r="E1027" i="11"/>
  <c r="D1027" i="11"/>
  <c r="E1026" i="11"/>
  <c r="D1026" i="11"/>
  <c r="E1025" i="11"/>
  <c r="D1025" i="11"/>
  <c r="E1024" i="11"/>
  <c r="D1024" i="11"/>
  <c r="E1023" i="11"/>
  <c r="D1023" i="11"/>
  <c r="E1022" i="11"/>
  <c r="D1022" i="11"/>
  <c r="E1021" i="11"/>
  <c r="D1021" i="11"/>
  <c r="E1020" i="11"/>
  <c r="D1020" i="11"/>
  <c r="E1019" i="11"/>
  <c r="D1019" i="11"/>
  <c r="E1018" i="11"/>
  <c r="D1018" i="11"/>
  <c r="E1017" i="11"/>
  <c r="D1017" i="11"/>
  <c r="E1016" i="11"/>
  <c r="D1016" i="11"/>
  <c r="E1015" i="11"/>
  <c r="D1015" i="11"/>
  <c r="E1014" i="11"/>
  <c r="D1014" i="11"/>
  <c r="E1013" i="11"/>
  <c r="D1013" i="11"/>
  <c r="E1012" i="11"/>
  <c r="D1012" i="11"/>
  <c r="E1011" i="11"/>
  <c r="D1011" i="11"/>
  <c r="E1010" i="11"/>
  <c r="D1010" i="11"/>
  <c r="E1009" i="11"/>
  <c r="D1009" i="11"/>
  <c r="E1008" i="11"/>
  <c r="D1008" i="11"/>
  <c r="E1007" i="11"/>
  <c r="D1007" i="11"/>
  <c r="E1006" i="11"/>
  <c r="D1006" i="11"/>
  <c r="E1005" i="11"/>
  <c r="D1005" i="11"/>
  <c r="E1004" i="11"/>
  <c r="D1004" i="11"/>
  <c r="E1003" i="11"/>
  <c r="D1003" i="11"/>
  <c r="E1002" i="11"/>
  <c r="D1002" i="11"/>
  <c r="E1001" i="11"/>
  <c r="D1001" i="11"/>
  <c r="E1000" i="11"/>
  <c r="D1000" i="11"/>
  <c r="E999" i="11"/>
  <c r="D999" i="11"/>
  <c r="E998" i="11"/>
  <c r="D998" i="11"/>
  <c r="E997" i="11"/>
  <c r="D997" i="11"/>
  <c r="E996" i="11"/>
  <c r="D996" i="11"/>
  <c r="E995" i="11"/>
  <c r="D995" i="11"/>
  <c r="E994" i="11"/>
  <c r="D994" i="11"/>
  <c r="E993" i="11"/>
  <c r="D993" i="11"/>
  <c r="E992" i="11"/>
  <c r="D992" i="11"/>
  <c r="E991" i="11"/>
  <c r="D991" i="11"/>
  <c r="E990" i="11"/>
  <c r="D990" i="11"/>
  <c r="E989" i="11"/>
  <c r="D989" i="11"/>
  <c r="E988" i="11"/>
  <c r="D988" i="11"/>
  <c r="E987" i="11"/>
  <c r="D987" i="11"/>
  <c r="E986" i="11"/>
  <c r="D986" i="11"/>
  <c r="E985" i="11"/>
  <c r="D985" i="11"/>
  <c r="E984" i="11"/>
  <c r="D984" i="11"/>
  <c r="E983" i="11"/>
  <c r="D983" i="11"/>
  <c r="E982" i="11"/>
  <c r="D982" i="11"/>
  <c r="E981" i="11"/>
  <c r="D981" i="11"/>
  <c r="E980" i="11"/>
  <c r="D980" i="11"/>
  <c r="E979" i="11"/>
  <c r="D979" i="11"/>
  <c r="E978" i="11"/>
  <c r="D978" i="11"/>
  <c r="E977" i="11"/>
  <c r="D977" i="11"/>
  <c r="E976" i="11"/>
  <c r="D976" i="11"/>
  <c r="E975" i="11"/>
  <c r="D975" i="11"/>
  <c r="E974" i="11"/>
  <c r="D974" i="11"/>
  <c r="E973" i="11"/>
  <c r="D973" i="11"/>
  <c r="E972" i="11"/>
  <c r="D972" i="11"/>
  <c r="E971" i="11"/>
  <c r="D971" i="11"/>
  <c r="E970" i="11"/>
  <c r="D970" i="11"/>
  <c r="E969" i="11"/>
  <c r="D969" i="11"/>
  <c r="E968" i="11"/>
  <c r="D968" i="11"/>
  <c r="E967" i="11"/>
  <c r="D967" i="11"/>
  <c r="E966" i="11"/>
  <c r="D966" i="11"/>
  <c r="E965" i="11"/>
  <c r="D965" i="11"/>
  <c r="E964" i="11"/>
  <c r="D964" i="11"/>
  <c r="E963" i="11"/>
  <c r="D963" i="11"/>
  <c r="E962" i="11"/>
  <c r="D962" i="11"/>
  <c r="E961" i="11"/>
  <c r="D961" i="11"/>
  <c r="E960" i="11"/>
  <c r="D960" i="11"/>
  <c r="E959" i="11"/>
  <c r="D959" i="11"/>
  <c r="E958" i="11"/>
  <c r="D958" i="11"/>
  <c r="E957" i="11"/>
  <c r="D957" i="11"/>
  <c r="E956" i="11"/>
  <c r="D956" i="11"/>
  <c r="E955" i="11"/>
  <c r="D955" i="11"/>
  <c r="E954" i="11"/>
  <c r="D954" i="11"/>
  <c r="E953" i="11"/>
  <c r="D953" i="11"/>
  <c r="E952" i="11"/>
  <c r="D952" i="11"/>
  <c r="E951" i="11"/>
  <c r="D951" i="11"/>
  <c r="E950" i="11"/>
  <c r="D950" i="11"/>
  <c r="E949" i="11"/>
  <c r="D949" i="11"/>
  <c r="E948" i="11"/>
  <c r="D948" i="11"/>
  <c r="E947" i="11"/>
  <c r="D947" i="11"/>
  <c r="E946" i="11"/>
  <c r="D946" i="11"/>
  <c r="E945" i="11"/>
  <c r="D945" i="11"/>
  <c r="E944" i="11"/>
  <c r="D944" i="11"/>
  <c r="E943" i="11"/>
  <c r="D943" i="11"/>
  <c r="E942" i="11"/>
  <c r="D942" i="11"/>
  <c r="E941" i="11"/>
  <c r="D941" i="11"/>
  <c r="E940" i="11"/>
  <c r="D940" i="11"/>
  <c r="E939" i="11"/>
  <c r="D939" i="11"/>
  <c r="E938" i="11"/>
  <c r="D938" i="11"/>
  <c r="E937" i="11"/>
  <c r="D937" i="11"/>
  <c r="E936" i="11"/>
  <c r="D936" i="11"/>
  <c r="E935" i="11"/>
  <c r="D935" i="11"/>
  <c r="E934" i="11"/>
  <c r="D934" i="11"/>
  <c r="E933" i="11"/>
  <c r="D933" i="11"/>
  <c r="E932" i="11"/>
  <c r="D932" i="11"/>
  <c r="E931" i="11"/>
  <c r="D931" i="11"/>
  <c r="E930" i="11"/>
  <c r="D930" i="11"/>
  <c r="E929" i="11"/>
  <c r="D929" i="11"/>
  <c r="E928" i="11"/>
  <c r="D928" i="11"/>
  <c r="E927" i="11"/>
  <c r="D927" i="11"/>
  <c r="E926" i="11"/>
  <c r="D926" i="11"/>
  <c r="E925" i="11"/>
  <c r="D925" i="11"/>
  <c r="E924" i="11"/>
  <c r="D924" i="11"/>
  <c r="E923" i="11"/>
  <c r="D923" i="11"/>
  <c r="E922" i="11"/>
  <c r="D922" i="11"/>
  <c r="E921" i="11"/>
  <c r="D921" i="11"/>
  <c r="E920" i="11"/>
  <c r="D920" i="11"/>
  <c r="E919" i="11"/>
  <c r="D919" i="11"/>
  <c r="E918" i="11"/>
  <c r="D918" i="11"/>
  <c r="E917" i="11"/>
  <c r="D917" i="11"/>
  <c r="E916" i="11"/>
  <c r="D916" i="11"/>
  <c r="E915" i="11"/>
  <c r="D915" i="11"/>
  <c r="E914" i="11"/>
  <c r="D914" i="11"/>
  <c r="E913" i="11"/>
  <c r="D913" i="11"/>
  <c r="E912" i="11"/>
  <c r="D912" i="11"/>
  <c r="E911" i="11"/>
  <c r="D911" i="11"/>
  <c r="E910" i="11"/>
  <c r="D910" i="11"/>
  <c r="E909" i="11"/>
  <c r="D909" i="11"/>
  <c r="E908" i="11"/>
  <c r="D908" i="11"/>
  <c r="E907" i="11"/>
  <c r="D907" i="11"/>
  <c r="E906" i="11"/>
  <c r="D906" i="11"/>
  <c r="E905" i="11"/>
  <c r="D905" i="11"/>
  <c r="E904" i="11"/>
  <c r="D904" i="11"/>
  <c r="E903" i="11"/>
  <c r="D903" i="11"/>
  <c r="E902" i="11"/>
  <c r="D902" i="11"/>
  <c r="E901" i="11"/>
  <c r="D901" i="11"/>
  <c r="E900" i="11"/>
  <c r="D900" i="11"/>
  <c r="E899" i="11"/>
  <c r="D899" i="11"/>
  <c r="E898" i="11"/>
  <c r="D898" i="11"/>
  <c r="E897" i="11"/>
  <c r="D897" i="11"/>
  <c r="E896" i="11"/>
  <c r="D896" i="11"/>
  <c r="E895" i="11"/>
  <c r="D895" i="11"/>
  <c r="E894" i="11"/>
  <c r="D894" i="11"/>
  <c r="E893" i="11"/>
  <c r="D893" i="11"/>
  <c r="E892" i="11"/>
  <c r="D892" i="11"/>
  <c r="E891" i="11"/>
  <c r="D891" i="11"/>
  <c r="E890" i="11"/>
  <c r="D890" i="11"/>
  <c r="E889" i="11"/>
  <c r="D889" i="11"/>
  <c r="E888" i="11"/>
  <c r="D888" i="11"/>
  <c r="E887" i="11"/>
  <c r="D887" i="11"/>
  <c r="E886" i="11"/>
  <c r="D886" i="11"/>
  <c r="E885" i="11"/>
  <c r="D885" i="11"/>
  <c r="E884" i="11"/>
  <c r="D884" i="11"/>
  <c r="E883" i="11"/>
  <c r="D883" i="11"/>
  <c r="E882" i="11"/>
  <c r="D882" i="11"/>
  <c r="E881" i="11"/>
  <c r="D881" i="11"/>
  <c r="E880" i="11"/>
  <c r="D880" i="11"/>
  <c r="E879" i="11"/>
  <c r="D879" i="11"/>
  <c r="E878" i="11"/>
  <c r="D878" i="11"/>
  <c r="E877" i="11"/>
  <c r="D877" i="11"/>
  <c r="E876" i="11"/>
  <c r="D876" i="11"/>
  <c r="E875" i="11"/>
  <c r="D875" i="11"/>
  <c r="E874" i="11"/>
  <c r="D874" i="11"/>
  <c r="E873" i="11"/>
  <c r="D873" i="11"/>
  <c r="E872" i="11"/>
  <c r="D872" i="11"/>
  <c r="E871" i="11"/>
  <c r="D871" i="11"/>
  <c r="E870" i="11"/>
  <c r="D870" i="11"/>
  <c r="E869" i="11"/>
  <c r="D869" i="11"/>
  <c r="E868" i="11"/>
  <c r="D868" i="11"/>
  <c r="E867" i="11"/>
  <c r="D867" i="11"/>
  <c r="E866" i="11"/>
  <c r="D866" i="11"/>
  <c r="E865" i="11"/>
  <c r="D865" i="11"/>
  <c r="E864" i="11"/>
  <c r="D864" i="11"/>
  <c r="E863" i="11"/>
  <c r="D863" i="11"/>
  <c r="E862" i="11"/>
  <c r="D862" i="11"/>
  <c r="E861" i="11"/>
  <c r="D861" i="11"/>
  <c r="E860" i="11"/>
  <c r="D860" i="11"/>
  <c r="E859" i="11"/>
  <c r="D859" i="11"/>
  <c r="E858" i="11"/>
  <c r="D858" i="11"/>
  <c r="E857" i="11"/>
  <c r="D857" i="11"/>
  <c r="E856" i="11"/>
  <c r="D856" i="11"/>
  <c r="E855" i="11"/>
  <c r="D855" i="11"/>
  <c r="E854" i="11"/>
  <c r="D854" i="11"/>
  <c r="E853" i="11"/>
  <c r="D853" i="11"/>
  <c r="E852" i="11"/>
  <c r="D852" i="11"/>
  <c r="E851" i="11"/>
  <c r="D851" i="11"/>
  <c r="E850" i="11"/>
  <c r="D850" i="11"/>
  <c r="E849" i="11"/>
  <c r="D849" i="11"/>
  <c r="E848" i="11"/>
  <c r="D848" i="11"/>
  <c r="E847" i="11"/>
  <c r="D847" i="11"/>
  <c r="E846" i="11"/>
  <c r="D846" i="11"/>
  <c r="E845" i="11"/>
  <c r="D845" i="11"/>
  <c r="E844" i="11"/>
  <c r="D844" i="11"/>
  <c r="E843" i="11"/>
  <c r="D843" i="11"/>
  <c r="E842" i="11"/>
  <c r="D842" i="11"/>
  <c r="E841" i="11"/>
  <c r="D841" i="11"/>
  <c r="E840" i="11"/>
  <c r="D840" i="11"/>
  <c r="E839" i="11"/>
  <c r="D839" i="11"/>
  <c r="E838" i="11"/>
  <c r="D838" i="11"/>
  <c r="E837" i="11"/>
  <c r="D837" i="11"/>
  <c r="E836" i="11"/>
  <c r="D836" i="11"/>
  <c r="E835" i="11"/>
  <c r="D835" i="11"/>
  <c r="E834" i="11"/>
  <c r="D834" i="11"/>
  <c r="E833" i="11"/>
  <c r="D833" i="11"/>
  <c r="E832" i="11"/>
  <c r="D832" i="11"/>
  <c r="E831" i="11"/>
  <c r="D831" i="11"/>
  <c r="E830" i="11"/>
  <c r="D830" i="11"/>
  <c r="E829" i="11"/>
  <c r="D829" i="11"/>
  <c r="E828" i="11"/>
  <c r="D828" i="11"/>
  <c r="E827" i="11"/>
  <c r="D827" i="11"/>
  <c r="E826" i="11"/>
  <c r="D826" i="11"/>
  <c r="E825" i="11"/>
  <c r="D825" i="11"/>
  <c r="E824" i="11"/>
  <c r="D824" i="11"/>
  <c r="E823" i="11"/>
  <c r="D823" i="11"/>
  <c r="E822" i="11"/>
  <c r="D822" i="11"/>
  <c r="E821" i="11"/>
  <c r="D821" i="11"/>
  <c r="E820" i="11"/>
  <c r="D820" i="11"/>
  <c r="E819" i="11"/>
  <c r="D819" i="11"/>
  <c r="E818" i="11"/>
  <c r="D818" i="11"/>
  <c r="E817" i="11"/>
  <c r="D817" i="11"/>
  <c r="E816" i="11"/>
  <c r="D816" i="11"/>
  <c r="E815" i="11"/>
  <c r="D815" i="11"/>
  <c r="E814" i="11"/>
  <c r="D814" i="11"/>
  <c r="E813" i="11"/>
  <c r="D813" i="11"/>
  <c r="E812" i="11"/>
  <c r="D812" i="11"/>
  <c r="E811" i="11"/>
  <c r="D811" i="11"/>
  <c r="E810" i="11"/>
  <c r="D810" i="11"/>
  <c r="E809" i="11"/>
  <c r="D809" i="11"/>
  <c r="E808" i="11"/>
  <c r="D808" i="11"/>
  <c r="E807" i="11"/>
  <c r="D807" i="11"/>
  <c r="E806" i="11"/>
  <c r="D806" i="11"/>
  <c r="E805" i="11"/>
  <c r="D805" i="11"/>
  <c r="E804" i="11"/>
  <c r="D804" i="11"/>
  <c r="E803" i="11"/>
  <c r="D803" i="11"/>
  <c r="E802" i="11"/>
  <c r="D802" i="11"/>
  <c r="E801" i="11"/>
  <c r="D801" i="11"/>
  <c r="E800" i="11"/>
  <c r="D800" i="11"/>
  <c r="E799" i="11"/>
  <c r="D799" i="11"/>
  <c r="E798" i="11"/>
  <c r="D798" i="11"/>
  <c r="E797" i="11"/>
  <c r="D797" i="11"/>
  <c r="E796" i="11"/>
  <c r="D796" i="11"/>
  <c r="E795" i="11"/>
  <c r="D795" i="11"/>
  <c r="E794" i="11"/>
  <c r="D794" i="11"/>
  <c r="E793" i="11"/>
  <c r="D793" i="11"/>
  <c r="E792" i="11"/>
  <c r="D792" i="11"/>
  <c r="E791" i="11"/>
  <c r="D791" i="11"/>
  <c r="E790" i="11"/>
  <c r="D790" i="11"/>
  <c r="E789" i="11"/>
  <c r="D789" i="11"/>
  <c r="E788" i="11"/>
  <c r="D788" i="11"/>
  <c r="E787" i="11"/>
  <c r="D787" i="11"/>
  <c r="E786" i="11"/>
  <c r="D786" i="11"/>
  <c r="E785" i="11"/>
  <c r="D785" i="11"/>
  <c r="E784" i="11"/>
  <c r="D784" i="11"/>
  <c r="E783" i="11"/>
  <c r="D783" i="11"/>
  <c r="E782" i="11"/>
  <c r="D782" i="11"/>
  <c r="E781" i="11"/>
  <c r="D781" i="11"/>
  <c r="E780" i="11"/>
  <c r="D780" i="11"/>
  <c r="E779" i="11"/>
  <c r="D779" i="11"/>
  <c r="E778" i="11"/>
  <c r="D778" i="11"/>
  <c r="E777" i="11"/>
  <c r="D777" i="11"/>
  <c r="E776" i="11"/>
  <c r="D776" i="11"/>
  <c r="E775" i="11"/>
  <c r="D775" i="11"/>
  <c r="E774" i="11"/>
  <c r="D774" i="11"/>
  <c r="E773" i="11"/>
  <c r="D773" i="11"/>
  <c r="E772" i="11"/>
  <c r="D772" i="11"/>
  <c r="E771" i="11"/>
  <c r="D771" i="11"/>
  <c r="E770" i="11"/>
  <c r="D770" i="11"/>
  <c r="E769" i="11"/>
  <c r="D769" i="11"/>
  <c r="E768" i="11"/>
  <c r="D768" i="11"/>
  <c r="E767" i="11"/>
  <c r="D767" i="11"/>
  <c r="E766" i="11"/>
  <c r="D766" i="11"/>
  <c r="E765" i="11"/>
  <c r="D765" i="11"/>
  <c r="E764" i="11"/>
  <c r="D764" i="11"/>
  <c r="E763" i="11"/>
  <c r="D763" i="11"/>
  <c r="E762" i="11"/>
  <c r="D762" i="11"/>
  <c r="E761" i="11"/>
  <c r="D761" i="11"/>
  <c r="E760" i="11"/>
  <c r="D760" i="11"/>
  <c r="E759" i="11"/>
  <c r="D759" i="11"/>
  <c r="E758" i="11"/>
  <c r="D758" i="11"/>
  <c r="E757" i="11"/>
  <c r="D757" i="11"/>
  <c r="E756" i="11"/>
  <c r="D756" i="11"/>
  <c r="E755" i="11"/>
  <c r="D755" i="11"/>
  <c r="E754" i="11"/>
  <c r="D754" i="11"/>
  <c r="E753" i="11"/>
  <c r="D753" i="11"/>
  <c r="E752" i="11"/>
  <c r="D752" i="11"/>
  <c r="E751" i="11"/>
  <c r="D751" i="11"/>
  <c r="E750" i="11"/>
  <c r="D750" i="11"/>
  <c r="E749" i="11"/>
  <c r="D749" i="11"/>
  <c r="E748" i="11"/>
  <c r="D748" i="11"/>
  <c r="E747" i="11"/>
  <c r="D747" i="11"/>
  <c r="E746" i="11"/>
  <c r="D746" i="11"/>
  <c r="E745" i="11"/>
  <c r="D745" i="11"/>
  <c r="E744" i="11"/>
  <c r="D744" i="11"/>
  <c r="E743" i="11"/>
  <c r="D743" i="11"/>
  <c r="E742" i="11"/>
  <c r="D742" i="11"/>
  <c r="E741" i="11"/>
  <c r="D741" i="11"/>
  <c r="E740" i="11"/>
  <c r="D740" i="11"/>
  <c r="E739" i="11"/>
  <c r="D739" i="11"/>
  <c r="E738" i="11"/>
  <c r="D738" i="11"/>
  <c r="E737" i="11"/>
  <c r="D737" i="11"/>
  <c r="E736" i="11"/>
  <c r="D736" i="11"/>
  <c r="E735" i="11"/>
  <c r="D735" i="11"/>
  <c r="E734" i="11"/>
  <c r="D734" i="11"/>
  <c r="E733" i="11"/>
  <c r="D733" i="11"/>
  <c r="E732" i="11"/>
  <c r="D732" i="11"/>
  <c r="E731" i="11"/>
  <c r="D731" i="11"/>
  <c r="E730" i="11"/>
  <c r="D730" i="11"/>
  <c r="E729" i="11"/>
  <c r="D729" i="11"/>
  <c r="E728" i="11"/>
  <c r="D728" i="11"/>
  <c r="E727" i="11"/>
  <c r="D727" i="11"/>
  <c r="E726" i="11"/>
  <c r="D726" i="11"/>
  <c r="E725" i="11"/>
  <c r="D725" i="11"/>
  <c r="E724" i="11"/>
  <c r="D724" i="11"/>
  <c r="E723" i="11"/>
  <c r="D723" i="11"/>
  <c r="E722" i="11"/>
  <c r="D722" i="11"/>
  <c r="E721" i="11"/>
  <c r="D721" i="11"/>
  <c r="E720" i="11"/>
  <c r="D720" i="11"/>
  <c r="E719" i="11"/>
  <c r="D719" i="11"/>
  <c r="E718" i="11"/>
  <c r="D718" i="11"/>
  <c r="E717" i="11"/>
  <c r="D717" i="11"/>
  <c r="E716" i="11"/>
  <c r="D716" i="11"/>
  <c r="E715" i="11"/>
  <c r="D715" i="11"/>
  <c r="E714" i="11"/>
  <c r="D714" i="11"/>
  <c r="E713" i="11"/>
  <c r="D713" i="11"/>
  <c r="E712" i="11"/>
  <c r="D712" i="11"/>
  <c r="E711" i="11"/>
  <c r="D711" i="11"/>
  <c r="E710" i="11"/>
  <c r="D710" i="11"/>
  <c r="E709" i="11"/>
  <c r="D709" i="11"/>
  <c r="E708" i="11"/>
  <c r="D708" i="11"/>
  <c r="E707" i="11"/>
  <c r="D707" i="11"/>
  <c r="E706" i="11"/>
  <c r="D706" i="11"/>
  <c r="E705" i="11"/>
  <c r="D705" i="11"/>
  <c r="E704" i="11"/>
  <c r="D704" i="11"/>
  <c r="E703" i="11"/>
  <c r="D703" i="11"/>
  <c r="E702" i="11"/>
  <c r="D702" i="11"/>
  <c r="E701" i="11"/>
  <c r="D701" i="11"/>
  <c r="E700" i="11"/>
  <c r="D700" i="11"/>
  <c r="E699" i="11"/>
  <c r="D699" i="11"/>
  <c r="E698" i="11"/>
  <c r="D698" i="11"/>
  <c r="E697" i="11"/>
  <c r="D697" i="11"/>
  <c r="E696" i="11"/>
  <c r="D696" i="11"/>
  <c r="E695" i="11"/>
  <c r="D695" i="11"/>
  <c r="E694" i="11"/>
  <c r="D694" i="11"/>
  <c r="E693" i="11"/>
  <c r="D693" i="11"/>
  <c r="E692" i="11"/>
  <c r="D692" i="11"/>
  <c r="E691" i="11"/>
  <c r="D691" i="11"/>
  <c r="E690" i="11"/>
  <c r="D690" i="11"/>
  <c r="E689" i="11"/>
  <c r="D689" i="11"/>
  <c r="E688" i="11"/>
  <c r="D688" i="11"/>
  <c r="E687" i="11"/>
  <c r="D687" i="11"/>
  <c r="E686" i="11"/>
  <c r="D686" i="11"/>
  <c r="E685" i="11"/>
  <c r="D685" i="11"/>
  <c r="E684" i="11"/>
  <c r="D684" i="11"/>
  <c r="E683" i="11"/>
  <c r="D683" i="11"/>
  <c r="E682" i="11"/>
  <c r="D682" i="11"/>
  <c r="E681" i="11"/>
  <c r="D681" i="11"/>
  <c r="E680" i="11"/>
  <c r="D680" i="11"/>
  <c r="E679" i="11"/>
  <c r="D679" i="11"/>
  <c r="E678" i="11"/>
  <c r="D678" i="11"/>
  <c r="E677" i="11"/>
  <c r="D677" i="11"/>
  <c r="E676" i="11"/>
  <c r="D676" i="11"/>
  <c r="E675" i="11"/>
  <c r="D675" i="11"/>
  <c r="E674" i="11"/>
  <c r="D674" i="11"/>
  <c r="E673" i="11"/>
  <c r="D673" i="11"/>
  <c r="E672" i="11"/>
  <c r="D672" i="11"/>
  <c r="E671" i="11"/>
  <c r="D671" i="11"/>
  <c r="E670" i="11"/>
  <c r="D670" i="11"/>
  <c r="E669" i="11"/>
  <c r="D669" i="11"/>
  <c r="E668" i="11"/>
  <c r="D668" i="11"/>
  <c r="E667" i="11"/>
  <c r="D667" i="11"/>
  <c r="E666" i="11"/>
  <c r="D666" i="11"/>
  <c r="E665" i="11"/>
  <c r="D665" i="11"/>
  <c r="E664" i="11"/>
  <c r="D664" i="11"/>
  <c r="E663" i="11"/>
  <c r="D663" i="11"/>
  <c r="E662" i="11"/>
  <c r="D662" i="11"/>
  <c r="E661" i="11"/>
  <c r="D661" i="11"/>
  <c r="E660" i="11"/>
  <c r="D660" i="11"/>
  <c r="E659" i="11"/>
  <c r="D659" i="11"/>
  <c r="E658" i="11"/>
  <c r="D658" i="11"/>
  <c r="E657" i="11"/>
  <c r="D657" i="11"/>
  <c r="E656" i="11"/>
  <c r="D656" i="11"/>
  <c r="E655" i="11"/>
  <c r="D655" i="11"/>
  <c r="E654" i="11"/>
  <c r="D654" i="11"/>
  <c r="E653" i="11"/>
  <c r="D653" i="11"/>
  <c r="E652" i="11"/>
  <c r="D652" i="11"/>
  <c r="E651" i="11"/>
  <c r="D651" i="11"/>
  <c r="E650" i="11"/>
  <c r="D650" i="11"/>
  <c r="E649" i="11"/>
  <c r="D649" i="11"/>
  <c r="E648" i="11"/>
  <c r="D648" i="11"/>
  <c r="E647" i="11"/>
  <c r="D647" i="11"/>
  <c r="E646" i="11"/>
  <c r="D646" i="11"/>
  <c r="E645" i="11"/>
  <c r="D645" i="11"/>
  <c r="E644" i="11"/>
  <c r="D644" i="11"/>
  <c r="E643" i="11"/>
  <c r="D643" i="11"/>
  <c r="E642" i="11"/>
  <c r="D642" i="11"/>
  <c r="E641" i="11"/>
  <c r="D641" i="11"/>
  <c r="E640" i="11"/>
  <c r="D640" i="11"/>
  <c r="E639" i="11"/>
  <c r="D639" i="11"/>
  <c r="E638" i="11"/>
  <c r="D638" i="11"/>
  <c r="E637" i="11"/>
  <c r="D637" i="11"/>
  <c r="E636" i="11"/>
  <c r="D636" i="11"/>
  <c r="E635" i="11"/>
  <c r="D635" i="11"/>
  <c r="E634" i="11"/>
  <c r="D634" i="11"/>
  <c r="E633" i="11"/>
  <c r="D633" i="11"/>
  <c r="E632" i="11"/>
  <c r="D632" i="11"/>
  <c r="E631" i="11"/>
  <c r="D631" i="11"/>
  <c r="E630" i="11"/>
  <c r="D630" i="11"/>
  <c r="E629" i="11"/>
  <c r="D629" i="11"/>
  <c r="E628" i="11"/>
  <c r="D628" i="11"/>
  <c r="E627" i="11"/>
  <c r="D627" i="11"/>
  <c r="E626" i="11"/>
  <c r="D626" i="11"/>
  <c r="E625" i="11"/>
  <c r="D625" i="11"/>
  <c r="E624" i="11"/>
  <c r="D624" i="11"/>
  <c r="E623" i="11"/>
  <c r="D623" i="11"/>
  <c r="E622" i="11"/>
  <c r="D622" i="11"/>
  <c r="E621" i="11"/>
  <c r="D621" i="11"/>
  <c r="E620" i="11"/>
  <c r="D620" i="11"/>
  <c r="E619" i="11"/>
  <c r="D619" i="11"/>
  <c r="E618" i="11"/>
  <c r="D618" i="11"/>
  <c r="E617" i="11"/>
  <c r="D617" i="11"/>
  <c r="E616" i="11"/>
  <c r="D616" i="11"/>
  <c r="E615" i="11"/>
  <c r="D615" i="11"/>
  <c r="E614" i="11"/>
  <c r="D614" i="11"/>
  <c r="E613" i="11"/>
  <c r="D613" i="11"/>
  <c r="E612" i="11"/>
  <c r="D612" i="11"/>
  <c r="E611" i="11"/>
  <c r="D611" i="11"/>
  <c r="E610" i="11"/>
  <c r="D610" i="11"/>
  <c r="E609" i="11"/>
  <c r="D609" i="11"/>
  <c r="E608" i="11"/>
  <c r="D608" i="11"/>
  <c r="E607" i="11"/>
  <c r="D607" i="11"/>
  <c r="E606" i="11"/>
  <c r="D606" i="11"/>
  <c r="E605" i="11"/>
  <c r="D605" i="11"/>
  <c r="E604" i="11"/>
  <c r="D604" i="11"/>
  <c r="E603" i="11"/>
  <c r="D603" i="11"/>
  <c r="E602" i="11"/>
  <c r="D602" i="11"/>
  <c r="E601" i="11"/>
  <c r="D601" i="11"/>
  <c r="E600" i="11"/>
  <c r="D600" i="11"/>
  <c r="E599" i="11"/>
  <c r="D599" i="11"/>
  <c r="E598" i="11"/>
  <c r="D598" i="11"/>
  <c r="E597" i="11"/>
  <c r="D597" i="11"/>
  <c r="E596" i="11"/>
  <c r="D596" i="11"/>
  <c r="E595" i="11"/>
  <c r="D595" i="11"/>
  <c r="E594" i="11"/>
  <c r="D594" i="11"/>
  <c r="E593" i="11"/>
  <c r="D593" i="11"/>
  <c r="E592" i="11"/>
  <c r="D592" i="11"/>
  <c r="E591" i="11"/>
  <c r="D591" i="11"/>
  <c r="E590" i="11"/>
  <c r="D590" i="11"/>
  <c r="E589" i="11"/>
  <c r="D589" i="11"/>
  <c r="E588" i="11"/>
  <c r="D588" i="11"/>
  <c r="E587" i="11"/>
  <c r="D587" i="11"/>
  <c r="E586" i="11"/>
  <c r="D586" i="11"/>
  <c r="E585" i="11"/>
  <c r="D585" i="11"/>
  <c r="E584" i="11"/>
  <c r="D584" i="11"/>
  <c r="E583" i="11"/>
  <c r="D583" i="11"/>
  <c r="E582" i="11"/>
  <c r="D582" i="11"/>
  <c r="E581" i="11"/>
  <c r="D581" i="11"/>
  <c r="E580" i="11"/>
  <c r="D580" i="11"/>
  <c r="E579" i="11"/>
  <c r="D579" i="11"/>
  <c r="E578" i="11"/>
  <c r="D578" i="11"/>
  <c r="E577" i="11"/>
  <c r="D577" i="11"/>
  <c r="E576" i="11"/>
  <c r="D576" i="11"/>
  <c r="E575" i="11"/>
  <c r="D575" i="11"/>
  <c r="E574" i="11"/>
  <c r="D574" i="11"/>
  <c r="E573" i="11"/>
  <c r="D573" i="11"/>
  <c r="E572" i="11"/>
  <c r="D572" i="11"/>
  <c r="E571" i="11"/>
  <c r="D571" i="11"/>
  <c r="E570" i="11"/>
  <c r="D570" i="11"/>
  <c r="E569" i="11"/>
  <c r="D569" i="11"/>
  <c r="E568" i="11"/>
  <c r="D568" i="11"/>
  <c r="E567" i="11"/>
  <c r="D567" i="11"/>
  <c r="E566" i="11"/>
  <c r="D566" i="11"/>
  <c r="E565" i="11"/>
  <c r="D565" i="11"/>
  <c r="E564" i="11"/>
  <c r="D564" i="11"/>
  <c r="E563" i="11"/>
  <c r="D563" i="11"/>
  <c r="E562" i="11"/>
  <c r="D562" i="11"/>
  <c r="E561" i="11"/>
  <c r="D561" i="11"/>
  <c r="E560" i="11"/>
  <c r="D560" i="11"/>
  <c r="E559" i="11"/>
  <c r="D559" i="11"/>
  <c r="E558" i="11"/>
  <c r="D558" i="11"/>
  <c r="E557" i="11"/>
  <c r="D557" i="11"/>
  <c r="E556" i="11"/>
  <c r="D556" i="11"/>
  <c r="E555" i="11"/>
  <c r="D555" i="11"/>
  <c r="E554" i="11"/>
  <c r="D554" i="11"/>
  <c r="E553" i="11"/>
  <c r="D553" i="11"/>
  <c r="E552" i="11"/>
  <c r="D552" i="11"/>
  <c r="E551" i="11"/>
  <c r="D551" i="11"/>
  <c r="E550" i="11"/>
  <c r="D550" i="11"/>
  <c r="E549" i="11"/>
  <c r="D549" i="11"/>
  <c r="E548" i="11"/>
  <c r="D548" i="11"/>
  <c r="E547" i="11"/>
  <c r="D547" i="11"/>
  <c r="E546" i="11"/>
  <c r="D546" i="11"/>
  <c r="E545" i="11"/>
  <c r="D545" i="11"/>
  <c r="E544" i="11"/>
  <c r="D544" i="11"/>
  <c r="E543" i="11"/>
  <c r="D543" i="11"/>
  <c r="E542" i="11"/>
  <c r="D542" i="11"/>
  <c r="E541" i="11"/>
  <c r="D541" i="11"/>
  <c r="E540" i="11"/>
  <c r="D540" i="11"/>
  <c r="E539" i="11"/>
  <c r="D539" i="11"/>
  <c r="E538" i="11"/>
  <c r="D538" i="11"/>
  <c r="E537" i="11"/>
  <c r="D537" i="11"/>
  <c r="E536" i="11"/>
  <c r="D536" i="11"/>
  <c r="E535" i="11"/>
  <c r="D535" i="11"/>
  <c r="E534" i="11"/>
  <c r="D534" i="11"/>
  <c r="E533" i="11"/>
  <c r="D533" i="11"/>
  <c r="E532" i="11"/>
  <c r="D532" i="11"/>
  <c r="E531" i="11"/>
  <c r="D531" i="11"/>
  <c r="E530" i="11"/>
  <c r="D530" i="11"/>
  <c r="E529" i="11"/>
  <c r="D529" i="11"/>
  <c r="E528" i="11"/>
  <c r="D528" i="11"/>
  <c r="E527" i="11"/>
  <c r="D527" i="11"/>
  <c r="E526" i="11"/>
  <c r="D526" i="11"/>
  <c r="E525" i="11"/>
  <c r="D525" i="11"/>
  <c r="E524" i="11"/>
  <c r="D524" i="11"/>
  <c r="E523" i="11"/>
  <c r="D523" i="11"/>
  <c r="E522" i="11"/>
  <c r="D522" i="11"/>
  <c r="E521" i="11"/>
  <c r="D521" i="11"/>
  <c r="E520" i="11"/>
  <c r="D520" i="11"/>
  <c r="E519" i="11"/>
  <c r="D519" i="11"/>
  <c r="E518" i="11"/>
  <c r="D518" i="11"/>
  <c r="E517" i="11"/>
  <c r="D517" i="11"/>
  <c r="E516" i="11"/>
  <c r="D516" i="11"/>
  <c r="E515" i="11"/>
  <c r="D515" i="11"/>
  <c r="E514" i="11"/>
  <c r="D514" i="11"/>
  <c r="E513" i="11"/>
  <c r="D513" i="11"/>
  <c r="E512" i="11"/>
  <c r="D512" i="11"/>
  <c r="E511" i="11"/>
  <c r="D511" i="11"/>
  <c r="E510" i="11"/>
  <c r="D510" i="11"/>
  <c r="E509" i="11"/>
  <c r="D509" i="11"/>
  <c r="E508" i="11"/>
  <c r="D508" i="11"/>
  <c r="E507" i="11"/>
  <c r="D507" i="11"/>
  <c r="E506" i="11"/>
  <c r="D506" i="11"/>
  <c r="E505" i="11"/>
  <c r="D505" i="11"/>
  <c r="E504" i="11"/>
  <c r="D504" i="11"/>
  <c r="E503" i="11"/>
  <c r="D503" i="11"/>
  <c r="E502" i="11"/>
  <c r="D502" i="11"/>
  <c r="E501" i="11"/>
  <c r="D501" i="11"/>
  <c r="E500" i="11"/>
  <c r="D500" i="11"/>
  <c r="E499" i="11"/>
  <c r="D499" i="11"/>
  <c r="E498" i="11"/>
  <c r="D498" i="11"/>
  <c r="E497" i="11"/>
  <c r="D497" i="11"/>
  <c r="E496" i="11"/>
  <c r="D496" i="11"/>
  <c r="E495" i="11"/>
  <c r="D495" i="11"/>
  <c r="E494" i="11"/>
  <c r="D494" i="11"/>
  <c r="E493" i="11"/>
  <c r="D493" i="11"/>
  <c r="E492" i="11"/>
  <c r="D492" i="11"/>
  <c r="E491" i="11"/>
  <c r="D491" i="11"/>
  <c r="E490" i="11"/>
  <c r="D490" i="11"/>
  <c r="E489" i="11"/>
  <c r="D489" i="11"/>
  <c r="E488" i="11"/>
  <c r="D488" i="11"/>
  <c r="E487" i="11"/>
  <c r="D487" i="11"/>
  <c r="E486" i="11"/>
  <c r="D486" i="11"/>
  <c r="E485" i="11"/>
  <c r="D485" i="11"/>
  <c r="E484" i="11"/>
  <c r="D484" i="11"/>
  <c r="E483" i="11"/>
  <c r="D483" i="11"/>
  <c r="E482" i="11"/>
  <c r="D482" i="11"/>
  <c r="E481" i="11"/>
  <c r="D481" i="11"/>
  <c r="E480" i="11"/>
  <c r="D480" i="11"/>
  <c r="E479" i="11"/>
  <c r="D479" i="11"/>
  <c r="E478" i="11"/>
  <c r="D478" i="11"/>
  <c r="E477" i="11"/>
  <c r="D477" i="11"/>
  <c r="E476" i="11"/>
  <c r="D476" i="11"/>
  <c r="E475" i="11"/>
  <c r="D475" i="11"/>
  <c r="E474" i="11"/>
  <c r="D474" i="11"/>
  <c r="E473" i="11"/>
  <c r="D473" i="11"/>
  <c r="E472" i="11"/>
  <c r="D472" i="11"/>
  <c r="E471" i="11"/>
  <c r="D471" i="11"/>
  <c r="E470" i="11"/>
  <c r="D470" i="11"/>
  <c r="E469" i="11"/>
  <c r="D469" i="11"/>
  <c r="E468" i="11"/>
  <c r="D468" i="11"/>
  <c r="E467" i="11"/>
  <c r="D467" i="11"/>
  <c r="E466" i="11"/>
  <c r="D466" i="11"/>
  <c r="E465" i="11"/>
  <c r="D465" i="11"/>
  <c r="E464" i="11"/>
  <c r="D464" i="11"/>
  <c r="E463" i="11"/>
  <c r="D463" i="11"/>
  <c r="E462" i="11"/>
  <c r="D462" i="11"/>
  <c r="E461" i="11"/>
  <c r="D461" i="11"/>
  <c r="E460" i="11"/>
  <c r="D460" i="11"/>
  <c r="E459" i="11"/>
  <c r="D459" i="11"/>
  <c r="E458" i="11"/>
  <c r="D458" i="11"/>
  <c r="E457" i="11"/>
  <c r="D457" i="11"/>
  <c r="E456" i="11"/>
  <c r="D456" i="11"/>
  <c r="E455" i="11"/>
  <c r="D455" i="11"/>
  <c r="E454" i="11"/>
  <c r="D454" i="11"/>
  <c r="E453" i="11"/>
  <c r="D453" i="11"/>
  <c r="E452" i="11"/>
  <c r="D452" i="11"/>
  <c r="E451" i="11"/>
  <c r="D451" i="11"/>
  <c r="E450" i="11"/>
  <c r="D450" i="11"/>
  <c r="E449" i="11"/>
  <c r="D449" i="11"/>
  <c r="E448" i="11"/>
  <c r="D448" i="11"/>
  <c r="E447" i="11"/>
  <c r="D447" i="11"/>
  <c r="E446" i="11"/>
  <c r="D446" i="11"/>
  <c r="E445" i="11"/>
  <c r="D445" i="11"/>
  <c r="E444" i="11"/>
  <c r="D444" i="11"/>
  <c r="E443" i="11"/>
  <c r="D443" i="11"/>
  <c r="E442" i="11"/>
  <c r="D442" i="11"/>
  <c r="E441" i="11"/>
  <c r="D441" i="11"/>
  <c r="E440" i="11"/>
  <c r="D440" i="11"/>
  <c r="E439" i="11"/>
  <c r="D439" i="11"/>
  <c r="E438" i="11"/>
  <c r="D438" i="11"/>
  <c r="E437" i="11"/>
  <c r="D437" i="11"/>
  <c r="E436" i="11"/>
  <c r="D436" i="11"/>
  <c r="E435" i="11"/>
  <c r="D435" i="11"/>
  <c r="E434" i="11"/>
  <c r="D434" i="11"/>
  <c r="E433" i="11"/>
  <c r="D433" i="11"/>
  <c r="E432" i="11"/>
  <c r="D432" i="11"/>
  <c r="E431" i="11"/>
  <c r="D431" i="11"/>
  <c r="E430" i="11"/>
  <c r="D430" i="11"/>
  <c r="E429" i="11"/>
  <c r="D429" i="11"/>
  <c r="E428" i="11"/>
  <c r="D428" i="11"/>
  <c r="E427" i="11"/>
  <c r="D427" i="11"/>
  <c r="E426" i="11"/>
  <c r="D426" i="11"/>
  <c r="E425" i="11"/>
  <c r="D425" i="11"/>
  <c r="E424" i="11"/>
  <c r="D424" i="11"/>
  <c r="E423" i="11"/>
  <c r="D423" i="11"/>
  <c r="E422" i="11"/>
  <c r="D422" i="11"/>
  <c r="E421" i="11"/>
  <c r="D421" i="11"/>
  <c r="E420" i="11"/>
  <c r="D420" i="11"/>
  <c r="E419" i="11"/>
  <c r="D419" i="11"/>
  <c r="E418" i="11"/>
  <c r="D418" i="11"/>
  <c r="E417" i="11"/>
  <c r="D417" i="11"/>
  <c r="E416" i="11"/>
  <c r="D416" i="11"/>
  <c r="E415" i="11"/>
  <c r="D415" i="11"/>
  <c r="E414" i="11"/>
  <c r="D414" i="11"/>
  <c r="E413" i="11"/>
  <c r="D413" i="11"/>
  <c r="E412" i="11"/>
  <c r="D412" i="11"/>
  <c r="E411" i="11"/>
  <c r="D411" i="11"/>
  <c r="E410" i="11"/>
  <c r="D410" i="11"/>
  <c r="E409" i="11"/>
  <c r="D409" i="11"/>
  <c r="E408" i="11"/>
  <c r="D408" i="11"/>
  <c r="E407" i="11"/>
  <c r="D407" i="11"/>
  <c r="E406" i="11"/>
  <c r="D406" i="11"/>
  <c r="E405" i="11"/>
  <c r="D405" i="11"/>
  <c r="E404" i="11"/>
  <c r="D404" i="11"/>
  <c r="E403" i="11"/>
  <c r="D403" i="11"/>
  <c r="E402" i="11"/>
  <c r="D402" i="11"/>
  <c r="E401" i="11"/>
  <c r="D401" i="11"/>
  <c r="E400" i="11"/>
  <c r="D400" i="11"/>
  <c r="E399" i="11"/>
  <c r="D399" i="11"/>
  <c r="E398" i="11"/>
  <c r="D398" i="11"/>
  <c r="E397" i="11"/>
  <c r="D397" i="11"/>
  <c r="E396" i="11"/>
  <c r="D396" i="11"/>
  <c r="E395" i="11"/>
  <c r="D395" i="11"/>
  <c r="E394" i="11"/>
  <c r="D394" i="11"/>
  <c r="E393" i="11"/>
  <c r="D393" i="11"/>
  <c r="E392" i="11"/>
  <c r="D392" i="11"/>
  <c r="E391" i="11"/>
  <c r="D391" i="11"/>
  <c r="E390" i="11"/>
  <c r="D390" i="11"/>
  <c r="E389" i="11"/>
  <c r="D389" i="11"/>
  <c r="E388" i="11"/>
  <c r="D388" i="11"/>
  <c r="E387" i="11"/>
  <c r="D387" i="11"/>
  <c r="E386" i="11"/>
  <c r="D386" i="11"/>
  <c r="E385" i="11"/>
  <c r="D385" i="11"/>
  <c r="E384" i="11"/>
  <c r="D384" i="11"/>
  <c r="E383" i="11"/>
  <c r="D383" i="11"/>
  <c r="E382" i="11"/>
  <c r="D382" i="11"/>
  <c r="E381" i="11"/>
  <c r="D381" i="11"/>
  <c r="E380" i="11"/>
  <c r="D380" i="11"/>
  <c r="E379" i="11"/>
  <c r="D379" i="11"/>
  <c r="E378" i="11"/>
  <c r="D378" i="11"/>
  <c r="E377" i="11"/>
  <c r="D377" i="11"/>
  <c r="E376" i="11"/>
  <c r="D376" i="11"/>
  <c r="E375" i="11"/>
  <c r="D375" i="11"/>
  <c r="E374" i="11"/>
  <c r="D374" i="11"/>
  <c r="E373" i="11"/>
  <c r="D373" i="11"/>
  <c r="E372" i="11"/>
  <c r="D372" i="11"/>
  <c r="E371" i="11"/>
  <c r="D371" i="11"/>
  <c r="E370" i="11"/>
  <c r="D370" i="11"/>
  <c r="E369" i="11"/>
  <c r="D369" i="11"/>
  <c r="E368" i="11"/>
  <c r="D368" i="11"/>
  <c r="E367" i="11"/>
  <c r="D367" i="11"/>
  <c r="E366" i="11"/>
  <c r="D366" i="11"/>
  <c r="E365" i="11"/>
  <c r="D365" i="11"/>
  <c r="E364" i="11"/>
  <c r="D364" i="11"/>
  <c r="E363" i="11"/>
  <c r="D363" i="11"/>
  <c r="E362" i="11"/>
  <c r="D362" i="11"/>
  <c r="E361" i="11"/>
  <c r="D361" i="11"/>
  <c r="E360" i="11"/>
  <c r="D360" i="11"/>
  <c r="E359" i="11"/>
  <c r="D359" i="11"/>
  <c r="E358" i="11"/>
  <c r="D358" i="11"/>
  <c r="E357" i="11"/>
  <c r="D357" i="11"/>
  <c r="E356" i="11"/>
  <c r="D356" i="11"/>
  <c r="E355" i="11"/>
  <c r="D355" i="11"/>
  <c r="E354" i="11"/>
  <c r="D354" i="11"/>
  <c r="E353" i="11"/>
  <c r="D353" i="11"/>
  <c r="E352" i="11"/>
  <c r="D352" i="11"/>
  <c r="E351" i="11"/>
  <c r="D351" i="11"/>
  <c r="E350" i="11"/>
  <c r="D350" i="11"/>
  <c r="E349" i="11"/>
  <c r="D349" i="11"/>
  <c r="E348" i="11"/>
  <c r="D348" i="11"/>
  <c r="E347" i="11"/>
  <c r="D347" i="11"/>
  <c r="E346" i="11"/>
  <c r="D346" i="11"/>
  <c r="E345" i="11"/>
  <c r="D345" i="11"/>
  <c r="E344" i="11"/>
  <c r="D344" i="11"/>
  <c r="E343" i="11"/>
  <c r="D343" i="11"/>
  <c r="E342" i="11"/>
  <c r="D342" i="11"/>
  <c r="E341" i="11"/>
  <c r="D341" i="11"/>
  <c r="E340" i="11"/>
  <c r="D340" i="11"/>
  <c r="E339" i="11"/>
  <c r="D339" i="11"/>
  <c r="E338" i="11"/>
  <c r="D338" i="11"/>
  <c r="E337" i="11"/>
  <c r="D337" i="11"/>
  <c r="E336" i="11"/>
  <c r="D336" i="11"/>
  <c r="E335" i="11"/>
  <c r="D335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8" i="11"/>
  <c r="D328" i="11"/>
  <c r="E327" i="11"/>
  <c r="D327" i="11"/>
  <c r="E326" i="11"/>
  <c r="D326" i="11"/>
  <c r="E325" i="11"/>
  <c r="D325" i="11"/>
  <c r="E324" i="11"/>
  <c r="D324" i="11"/>
  <c r="E323" i="11"/>
  <c r="D323" i="11"/>
  <c r="E322" i="11"/>
  <c r="D322" i="11"/>
  <c r="E321" i="11"/>
  <c r="D321" i="11"/>
  <c r="E320" i="11"/>
  <c r="D320" i="11"/>
  <c r="E319" i="11"/>
  <c r="D319" i="11"/>
  <c r="E318" i="11"/>
  <c r="D318" i="11"/>
  <c r="E317" i="11"/>
  <c r="D317" i="11"/>
  <c r="E316" i="11"/>
  <c r="D316" i="11"/>
  <c r="E315" i="11"/>
  <c r="D315" i="11"/>
  <c r="E314" i="11"/>
  <c r="D314" i="11"/>
  <c r="E313" i="11"/>
  <c r="D313" i="11"/>
  <c r="E312" i="11"/>
  <c r="D312" i="11"/>
  <c r="E311" i="11"/>
  <c r="D311" i="11"/>
  <c r="E310" i="11"/>
  <c r="D310" i="11"/>
  <c r="E309" i="11"/>
  <c r="D309" i="11"/>
  <c r="E308" i="11"/>
  <c r="D308" i="11"/>
  <c r="E307" i="11"/>
  <c r="D307" i="11"/>
  <c r="E306" i="11"/>
  <c r="D306" i="11"/>
  <c r="E305" i="11"/>
  <c r="D305" i="11"/>
  <c r="E304" i="11"/>
  <c r="D304" i="11"/>
  <c r="E303" i="11"/>
  <c r="D303" i="11"/>
  <c r="E302" i="11"/>
  <c r="D302" i="11"/>
  <c r="E301" i="11"/>
  <c r="D301" i="11"/>
  <c r="E300" i="11"/>
  <c r="D300" i="1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93" i="11"/>
  <c r="D293" i="11"/>
  <c r="E292" i="11"/>
  <c r="D292" i="11"/>
  <c r="E291" i="11"/>
  <c r="D291" i="11"/>
  <c r="E290" i="11"/>
  <c r="D290" i="11"/>
  <c r="E289" i="11"/>
  <c r="D289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81" i="11"/>
  <c r="D281" i="11"/>
  <c r="E280" i="11"/>
  <c r="D280" i="11"/>
  <c r="E279" i="11"/>
  <c r="D279" i="11"/>
  <c r="E278" i="11"/>
  <c r="D278" i="11"/>
  <c r="E277" i="11"/>
  <c r="D277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70" i="11"/>
  <c r="D270" i="11"/>
  <c r="E269" i="11"/>
  <c r="D269" i="11"/>
  <c r="E268" i="11"/>
  <c r="D268" i="11"/>
  <c r="E267" i="11"/>
  <c r="D267" i="11"/>
  <c r="E266" i="11"/>
  <c r="D266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8" i="11"/>
  <c r="D258" i="11"/>
  <c r="E257" i="11"/>
  <c r="D257" i="11"/>
  <c r="E256" i="11"/>
  <c r="D256" i="11"/>
  <c r="E255" i="11"/>
  <c r="D255" i="11"/>
  <c r="E254" i="11"/>
  <c r="D254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6" i="11"/>
  <c r="D246" i="11"/>
  <c r="E245" i="11"/>
  <c r="D245" i="11"/>
  <c r="E244" i="11"/>
  <c r="D244" i="11"/>
  <c r="E243" i="11"/>
  <c r="D243" i="11"/>
  <c r="E242" i="11"/>
  <c r="D242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33" i="11"/>
  <c r="D233" i="11"/>
  <c r="E232" i="11"/>
  <c r="D232" i="11"/>
  <c r="E231" i="11"/>
  <c r="D231" i="11"/>
  <c r="E230" i="11"/>
  <c r="D230" i="11"/>
  <c r="E229" i="11"/>
  <c r="D229" i="11"/>
  <c r="E228" i="11"/>
  <c r="D228" i="11"/>
  <c r="E227" i="11"/>
  <c r="D227" i="11"/>
  <c r="E226" i="11"/>
  <c r="D226" i="11"/>
  <c r="E225" i="11"/>
  <c r="D225" i="11"/>
  <c r="E224" i="11"/>
  <c r="D224" i="11"/>
  <c r="E223" i="11"/>
  <c r="D223" i="11"/>
  <c r="E222" i="11"/>
  <c r="D222" i="11"/>
  <c r="E221" i="11"/>
  <c r="D221" i="11"/>
  <c r="E220" i="11"/>
  <c r="D220" i="11"/>
  <c r="E219" i="11"/>
  <c r="D219" i="11"/>
  <c r="E218" i="11"/>
  <c r="D218" i="11"/>
  <c r="E217" i="11"/>
  <c r="D217" i="11"/>
  <c r="E216" i="11"/>
  <c r="D216" i="11"/>
  <c r="E215" i="11"/>
  <c r="D215" i="11"/>
  <c r="E214" i="11"/>
  <c r="D214" i="11"/>
  <c r="E213" i="11"/>
  <c r="D213" i="11"/>
  <c r="E212" i="11"/>
  <c r="D212" i="11"/>
  <c r="E211" i="11"/>
  <c r="D211" i="11"/>
  <c r="E210" i="11"/>
  <c r="D210" i="11"/>
  <c r="E209" i="11"/>
  <c r="D209" i="11"/>
  <c r="E208" i="11"/>
  <c r="D208" i="11"/>
  <c r="E207" i="11"/>
  <c r="D207" i="11"/>
  <c r="E206" i="11"/>
  <c r="D206" i="11"/>
  <c r="E205" i="11"/>
  <c r="D205" i="11"/>
  <c r="E204" i="11"/>
  <c r="D204" i="11"/>
  <c r="E203" i="11"/>
  <c r="D203" i="11"/>
  <c r="E202" i="11"/>
  <c r="D202" i="11"/>
  <c r="E201" i="11"/>
  <c r="D201" i="11"/>
  <c r="E200" i="11"/>
  <c r="D200" i="11"/>
  <c r="E199" i="11"/>
  <c r="D199" i="11"/>
  <c r="E198" i="11"/>
  <c r="D198" i="11"/>
  <c r="E197" i="11"/>
  <c r="D197" i="11"/>
  <c r="E196" i="11"/>
  <c r="D196" i="11"/>
  <c r="E195" i="11"/>
  <c r="D195" i="11"/>
  <c r="E194" i="11"/>
  <c r="D194" i="11"/>
  <c r="E193" i="11"/>
  <c r="D193" i="11"/>
  <c r="E192" i="11"/>
  <c r="D192" i="11"/>
  <c r="E191" i="11"/>
  <c r="D191" i="11"/>
  <c r="E190" i="11"/>
  <c r="D190" i="11"/>
  <c r="E189" i="11"/>
  <c r="D189" i="11"/>
  <c r="E188" i="11"/>
  <c r="D188" i="11"/>
  <c r="E187" i="11"/>
  <c r="D187" i="11"/>
  <c r="E186" i="11"/>
  <c r="D186" i="11"/>
  <c r="E185" i="11"/>
  <c r="D185" i="11"/>
  <c r="E184" i="11"/>
  <c r="D184" i="11"/>
  <c r="E183" i="11"/>
  <c r="D183" i="11"/>
  <c r="E182" i="11"/>
  <c r="D182" i="11"/>
  <c r="E181" i="11"/>
  <c r="D181" i="11"/>
  <c r="E180" i="11"/>
  <c r="D180" i="11"/>
  <c r="E179" i="11"/>
  <c r="D179" i="11"/>
  <c r="E178" i="11"/>
  <c r="D178" i="11"/>
  <c r="E177" i="11"/>
  <c r="D177" i="11"/>
  <c r="E176" i="11"/>
  <c r="D176" i="11"/>
  <c r="E175" i="11"/>
  <c r="D175" i="11"/>
  <c r="E174" i="11"/>
  <c r="D174" i="11"/>
  <c r="E173" i="11"/>
  <c r="D173" i="11"/>
  <c r="E172" i="11"/>
  <c r="D172" i="11"/>
  <c r="E171" i="11"/>
  <c r="D171" i="11"/>
  <c r="E170" i="11"/>
  <c r="D170" i="11"/>
  <c r="E169" i="11"/>
  <c r="D169" i="11"/>
  <c r="E168" i="11"/>
  <c r="D168" i="11"/>
  <c r="E167" i="11"/>
  <c r="D167" i="11"/>
  <c r="E166" i="11"/>
  <c r="D166" i="11"/>
  <c r="E165" i="11"/>
  <c r="D165" i="11"/>
  <c r="E164" i="11"/>
  <c r="D164" i="11"/>
  <c r="E163" i="11"/>
  <c r="D163" i="11"/>
  <c r="E162" i="11"/>
  <c r="D162" i="11"/>
  <c r="E161" i="11"/>
  <c r="D161" i="11"/>
  <c r="E160" i="11"/>
  <c r="D160" i="11"/>
  <c r="E159" i="11"/>
  <c r="D159" i="11"/>
  <c r="E158" i="11"/>
  <c r="D158" i="11"/>
  <c r="E157" i="11"/>
  <c r="D157" i="11"/>
  <c r="E156" i="11"/>
  <c r="D156" i="11"/>
  <c r="E155" i="11"/>
  <c r="D155" i="11"/>
  <c r="E154" i="11"/>
  <c r="D154" i="11"/>
  <c r="E153" i="11"/>
  <c r="D153" i="11"/>
  <c r="E152" i="11"/>
  <c r="D152" i="11"/>
  <c r="E151" i="11"/>
  <c r="D151" i="11"/>
  <c r="E150" i="11"/>
  <c r="D150" i="11"/>
  <c r="E149" i="11"/>
  <c r="D149" i="11"/>
  <c r="E148" i="11"/>
  <c r="D148" i="11"/>
  <c r="E147" i="11"/>
  <c r="D147" i="11"/>
  <c r="E146" i="11"/>
  <c r="D146" i="11"/>
  <c r="E145" i="11"/>
  <c r="D145" i="11"/>
  <c r="E144" i="11"/>
  <c r="D144" i="11"/>
  <c r="E143" i="11"/>
  <c r="D143" i="11"/>
  <c r="E142" i="11"/>
  <c r="D142" i="11"/>
  <c r="E141" i="11"/>
  <c r="D141" i="11"/>
  <c r="E140" i="11"/>
  <c r="D140" i="11"/>
  <c r="E139" i="11"/>
  <c r="D139" i="11"/>
  <c r="E138" i="11"/>
  <c r="D138" i="11"/>
  <c r="E137" i="11"/>
  <c r="D137" i="11"/>
  <c r="E136" i="11"/>
  <c r="D136" i="11"/>
  <c r="E135" i="11"/>
  <c r="D135" i="11"/>
  <c r="E134" i="11"/>
  <c r="D134" i="11"/>
  <c r="E133" i="11"/>
  <c r="D133" i="11"/>
  <c r="E132" i="11"/>
  <c r="D132" i="11"/>
  <c r="E131" i="11"/>
  <c r="D131" i="11"/>
  <c r="E130" i="11"/>
  <c r="D130" i="11"/>
  <c r="E129" i="11"/>
  <c r="D129" i="11"/>
  <c r="E128" i="11"/>
  <c r="D128" i="11"/>
  <c r="E127" i="11"/>
  <c r="D127" i="11"/>
  <c r="E126" i="11"/>
  <c r="D126" i="11"/>
  <c r="E125" i="11"/>
  <c r="D125" i="11"/>
  <c r="E124" i="11"/>
  <c r="D124" i="11"/>
  <c r="E123" i="11"/>
  <c r="D123" i="11"/>
  <c r="E122" i="11"/>
  <c r="D122" i="11"/>
  <c r="E121" i="11"/>
  <c r="D121" i="11"/>
  <c r="E120" i="11"/>
  <c r="D120" i="11"/>
  <c r="E119" i="11"/>
  <c r="D119" i="11"/>
  <c r="E118" i="11"/>
  <c r="D118" i="11"/>
  <c r="E117" i="11"/>
  <c r="D117" i="11"/>
  <c r="E116" i="11"/>
  <c r="D116" i="11"/>
  <c r="E115" i="11"/>
  <c r="D115" i="11"/>
  <c r="E114" i="11"/>
  <c r="D114" i="11"/>
  <c r="E113" i="11"/>
  <c r="D113" i="11"/>
  <c r="E112" i="11"/>
  <c r="D112" i="11"/>
  <c r="E111" i="11"/>
  <c r="D111" i="11"/>
  <c r="E110" i="11"/>
  <c r="D110" i="11"/>
  <c r="E109" i="11"/>
  <c r="D109" i="11"/>
  <c r="E108" i="11"/>
  <c r="D108" i="11"/>
  <c r="E107" i="11"/>
  <c r="D107" i="11"/>
  <c r="E106" i="11"/>
  <c r="D106" i="11"/>
  <c r="E105" i="11"/>
  <c r="D105" i="11"/>
  <c r="E104" i="11"/>
  <c r="D104" i="11"/>
  <c r="E103" i="11"/>
  <c r="D103" i="11"/>
  <c r="E102" i="11"/>
  <c r="D102" i="11"/>
  <c r="E101" i="11"/>
  <c r="D101" i="11"/>
  <c r="E100" i="11"/>
  <c r="D100" i="11"/>
  <c r="E99" i="11"/>
  <c r="D99" i="11"/>
  <c r="E98" i="11"/>
  <c r="D98" i="11"/>
  <c r="E97" i="11"/>
  <c r="D97" i="11"/>
  <c r="E96" i="11"/>
  <c r="D96" i="11"/>
  <c r="E95" i="11"/>
  <c r="D95" i="11"/>
  <c r="E94" i="11"/>
  <c r="D94" i="11"/>
  <c r="E93" i="11"/>
  <c r="D93" i="11"/>
  <c r="E92" i="11"/>
  <c r="D92" i="11"/>
  <c r="E91" i="11"/>
  <c r="D91" i="11"/>
  <c r="E90" i="11"/>
  <c r="D90" i="11"/>
  <c r="E89" i="11"/>
  <c r="D89" i="11"/>
  <c r="E88" i="11"/>
  <c r="D88" i="11"/>
  <c r="E87" i="11"/>
  <c r="D87" i="11"/>
  <c r="E86" i="11"/>
  <c r="D86" i="11"/>
  <c r="E85" i="11"/>
  <c r="D85" i="11"/>
  <c r="E84" i="11"/>
  <c r="D84" i="11"/>
  <c r="E83" i="11"/>
  <c r="D83" i="11"/>
  <c r="E82" i="11"/>
  <c r="D82" i="11"/>
  <c r="E81" i="11"/>
  <c r="D81" i="11"/>
  <c r="E80" i="11"/>
  <c r="D80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O41" i="11"/>
  <c r="E41" i="11"/>
  <c r="D41" i="11"/>
  <c r="O40" i="11"/>
  <c r="E40" i="11"/>
  <c r="D40" i="11"/>
  <c r="E39" i="11"/>
  <c r="D39" i="11"/>
  <c r="O38" i="11"/>
  <c r="O37" i="11" s="1"/>
  <c r="E38" i="11"/>
  <c r="D38" i="11"/>
  <c r="E37" i="11"/>
  <c r="D37" i="11"/>
  <c r="T36" i="11"/>
  <c r="S36" i="11"/>
  <c r="Q36" i="11"/>
  <c r="P36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9" i="11"/>
  <c r="D29" i="11"/>
  <c r="E28" i="11"/>
  <c r="D28" i="11"/>
  <c r="S27" i="11"/>
  <c r="T27" i="11" s="1"/>
  <c r="Q27" i="11"/>
  <c r="P27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K21" i="11"/>
  <c r="E21" i="11"/>
  <c r="D21" i="11"/>
  <c r="E20" i="11"/>
  <c r="D20" i="11"/>
  <c r="T19" i="11"/>
  <c r="S19" i="11"/>
  <c r="Q19" i="11"/>
  <c r="P19" i="11"/>
  <c r="E19" i="11"/>
  <c r="D19" i="11"/>
  <c r="E18" i="11"/>
  <c r="D18" i="11"/>
  <c r="E17" i="11"/>
  <c r="D17" i="11"/>
  <c r="E16" i="11"/>
  <c r="D16" i="11"/>
  <c r="E15" i="11"/>
  <c r="D15" i="11"/>
  <c r="O14" i="11"/>
  <c r="K12" i="11" s="1"/>
  <c r="E14" i="11"/>
  <c r="D14" i="11"/>
  <c r="Q13" i="11"/>
  <c r="P13" i="11"/>
  <c r="P15" i="11" s="1"/>
  <c r="E13" i="11"/>
  <c r="D13" i="11"/>
  <c r="Q12" i="11"/>
  <c r="P12" i="11"/>
  <c r="E12" i="11"/>
  <c r="D12" i="11"/>
  <c r="Q11" i="11"/>
  <c r="P11" i="11"/>
  <c r="E11" i="11"/>
  <c r="D11" i="11"/>
  <c r="Q10" i="11"/>
  <c r="P10" i="11"/>
  <c r="E10" i="11"/>
  <c r="D10" i="11"/>
  <c r="Q9" i="11"/>
  <c r="P9" i="11"/>
  <c r="E9" i="11"/>
  <c r="D9" i="11"/>
  <c r="Q8" i="11"/>
  <c r="Q15" i="11" s="1"/>
  <c r="P8" i="11"/>
  <c r="K8" i="11"/>
  <c r="C18" i="13" s="1"/>
  <c r="E8" i="11"/>
  <c r="D8" i="11"/>
  <c r="Q7" i="11"/>
  <c r="P7" i="11"/>
  <c r="E7" i="11"/>
  <c r="D7" i="11"/>
  <c r="Q6" i="11"/>
  <c r="P6" i="11"/>
  <c r="E6" i="11"/>
  <c r="D6" i="11"/>
  <c r="E5" i="11"/>
  <c r="D5" i="11"/>
  <c r="E4" i="11"/>
  <c r="D4" i="11"/>
  <c r="E3" i="11"/>
  <c r="D3" i="11"/>
  <c r="H2" i="11"/>
  <c r="K4" i="11" s="1"/>
  <c r="C19" i="13" s="1"/>
  <c r="C20" i="13" s="1"/>
  <c r="U78" i="10"/>
  <c r="U56" i="10"/>
  <c r="U71" i="10" s="1"/>
  <c r="W55" i="10"/>
  <c r="V55" i="10"/>
  <c r="V56" i="10" s="1"/>
  <c r="U55" i="10"/>
  <c r="T55" i="10"/>
  <c r="S55" i="10"/>
  <c r="W54" i="10"/>
  <c r="S54" i="10"/>
  <c r="W53" i="10"/>
  <c r="V53" i="10"/>
  <c r="U53" i="10"/>
  <c r="U54" i="10" s="1"/>
  <c r="T53" i="10"/>
  <c r="S53" i="10"/>
  <c r="Q40" i="10"/>
  <c r="Q49" i="10" s="1"/>
  <c r="L40" i="10"/>
  <c r="L49" i="10" s="1"/>
  <c r="B40" i="10"/>
  <c r="B32" i="10"/>
  <c r="B31" i="10"/>
  <c r="B30" i="10"/>
  <c r="R27" i="10"/>
  <c r="P27" i="10"/>
  <c r="O27" i="10"/>
  <c r="M27" i="10"/>
  <c r="K27" i="10"/>
  <c r="J27" i="10"/>
  <c r="C27" i="10"/>
  <c r="B27" i="10"/>
  <c r="R26" i="10"/>
  <c r="P26" i="10"/>
  <c r="O26" i="10"/>
  <c r="M26" i="10"/>
  <c r="K26" i="10"/>
  <c r="J26" i="10"/>
  <c r="R25" i="10"/>
  <c r="Q25" i="10"/>
  <c r="P25" i="10"/>
  <c r="O25" i="10"/>
  <c r="M25" i="10"/>
  <c r="L25" i="10"/>
  <c r="K25" i="10"/>
  <c r="J25" i="10"/>
  <c r="R24" i="10"/>
  <c r="R39" i="10" s="1"/>
  <c r="R48" i="10" s="1"/>
  <c r="P24" i="10"/>
  <c r="O24" i="10"/>
  <c r="K24" i="10"/>
  <c r="J24" i="10"/>
  <c r="R23" i="10"/>
  <c r="R40" i="10" s="1"/>
  <c r="R49" i="10" s="1"/>
  <c r="P23" i="10"/>
  <c r="P40" i="10" s="1"/>
  <c r="P49" i="10" s="1"/>
  <c r="O23" i="10"/>
  <c r="O40" i="10" s="1"/>
  <c r="O49" i="10" s="1"/>
  <c r="M23" i="10"/>
  <c r="M40" i="10" s="1"/>
  <c r="M49" i="10" s="1"/>
  <c r="K23" i="10"/>
  <c r="K40" i="10" s="1"/>
  <c r="K49" i="10" s="1"/>
  <c r="J23" i="10"/>
  <c r="J40" i="10" s="1"/>
  <c r="J49" i="10" s="1"/>
  <c r="R22" i="10"/>
  <c r="Q22" i="10"/>
  <c r="Q39" i="10" s="1"/>
  <c r="Q48" i="10" s="1"/>
  <c r="P22" i="10"/>
  <c r="P39" i="10" s="1"/>
  <c r="P48" i="10" s="1"/>
  <c r="O22" i="10"/>
  <c r="O39" i="10" s="1"/>
  <c r="O48" i="10" s="1"/>
  <c r="M22" i="10"/>
  <c r="L22" i="10"/>
  <c r="L39" i="10" s="1"/>
  <c r="L48" i="10" s="1"/>
  <c r="K22" i="10"/>
  <c r="K39" i="10" s="1"/>
  <c r="K48" i="10" s="1"/>
  <c r="J22" i="10"/>
  <c r="J39" i="10" s="1"/>
  <c r="J48" i="10" s="1"/>
  <c r="C22" i="10"/>
  <c r="B22" i="10"/>
  <c r="O20" i="10"/>
  <c r="J20" i="10"/>
  <c r="C17" i="10"/>
  <c r="P17" i="10" s="1"/>
  <c r="C16" i="10"/>
  <c r="B49" i="10" s="1"/>
  <c r="T15" i="10"/>
  <c r="P15" i="10"/>
  <c r="O15" i="10"/>
  <c r="K15" i="10"/>
  <c r="J15" i="10"/>
  <c r="F15" i="10"/>
  <c r="E15" i="10"/>
  <c r="C15" i="10"/>
  <c r="S15" i="10" s="1"/>
  <c r="T14" i="10"/>
  <c r="S14" i="10"/>
  <c r="O14" i="10"/>
  <c r="N14" i="10"/>
  <c r="J14" i="10"/>
  <c r="H14" i="10"/>
  <c r="E14" i="10"/>
  <c r="D14" i="10"/>
  <c r="C14" i="10"/>
  <c r="Q14" i="10" s="1"/>
  <c r="S13" i="10"/>
  <c r="N13" i="10"/>
  <c r="H13" i="10"/>
  <c r="D13" i="10"/>
  <c r="C13" i="10"/>
  <c r="P13" i="10" s="1"/>
  <c r="T12" i="10"/>
  <c r="T11" i="10"/>
  <c r="T10" i="10"/>
  <c r="T9" i="10"/>
  <c r="T8" i="10"/>
  <c r="T7" i="10"/>
  <c r="N237" i="9"/>
  <c r="M237" i="9"/>
  <c r="L237" i="9"/>
  <c r="K237" i="9"/>
  <c r="J237" i="9"/>
  <c r="I237" i="9"/>
  <c r="H237" i="9"/>
  <c r="G237" i="9"/>
  <c r="F237" i="9"/>
  <c r="E237" i="9"/>
  <c r="D237" i="9"/>
  <c r="K229" i="9"/>
  <c r="E229" i="9"/>
  <c r="N227" i="9"/>
  <c r="M227" i="9"/>
  <c r="L227" i="9"/>
  <c r="K227" i="9"/>
  <c r="J227" i="9"/>
  <c r="I227" i="9"/>
  <c r="H227" i="9"/>
  <c r="G227" i="9"/>
  <c r="F227" i="9"/>
  <c r="E227" i="9"/>
  <c r="D227" i="9"/>
  <c r="N221" i="9"/>
  <c r="N229" i="9" s="1"/>
  <c r="M221" i="9"/>
  <c r="M229" i="9" s="1"/>
  <c r="L221" i="9"/>
  <c r="L229" i="9" s="1"/>
  <c r="K221" i="9"/>
  <c r="J221" i="9"/>
  <c r="J229" i="9" s="1"/>
  <c r="I221" i="9"/>
  <c r="I229" i="9" s="1"/>
  <c r="H221" i="9"/>
  <c r="H229" i="9" s="1"/>
  <c r="G221" i="9"/>
  <c r="G229" i="9" s="1"/>
  <c r="F221" i="9"/>
  <c r="F229" i="9" s="1"/>
  <c r="E221" i="9"/>
  <c r="D221" i="9"/>
  <c r="D229" i="9" s="1"/>
  <c r="N202" i="9"/>
  <c r="M202" i="9"/>
  <c r="L202" i="9"/>
  <c r="K202" i="9"/>
  <c r="J202" i="9"/>
  <c r="I202" i="9"/>
  <c r="H202" i="9"/>
  <c r="G202" i="9"/>
  <c r="F202" i="9"/>
  <c r="E202" i="9"/>
  <c r="D202" i="9"/>
  <c r="N189" i="9"/>
  <c r="M189" i="9"/>
  <c r="L189" i="9"/>
  <c r="K189" i="9"/>
  <c r="J189" i="9"/>
  <c r="I189" i="9"/>
  <c r="H189" i="9"/>
  <c r="G189" i="9"/>
  <c r="F189" i="9"/>
  <c r="E189" i="9"/>
  <c r="D189" i="9"/>
  <c r="N182" i="9"/>
  <c r="M182" i="9"/>
  <c r="L182" i="9"/>
  <c r="K182" i="9"/>
  <c r="J182" i="9"/>
  <c r="I182" i="9"/>
  <c r="H182" i="9"/>
  <c r="G182" i="9"/>
  <c r="F182" i="9"/>
  <c r="E182" i="9"/>
  <c r="D182" i="9"/>
  <c r="N175" i="9"/>
  <c r="M175" i="9"/>
  <c r="L175" i="9"/>
  <c r="K175" i="9"/>
  <c r="J175" i="9"/>
  <c r="I175" i="9"/>
  <c r="H175" i="9"/>
  <c r="G175" i="9"/>
  <c r="F175" i="9"/>
  <c r="E175" i="9"/>
  <c r="D175" i="9"/>
  <c r="N170" i="9"/>
  <c r="N238" i="9" s="1"/>
  <c r="M170" i="9"/>
  <c r="M238" i="9" s="1"/>
  <c r="L170" i="9"/>
  <c r="L172" i="9" s="1"/>
  <c r="L206" i="9" s="1"/>
  <c r="K170" i="9"/>
  <c r="K172" i="9" s="1"/>
  <c r="K206" i="9" s="1"/>
  <c r="J170" i="9"/>
  <c r="J238" i="9" s="1"/>
  <c r="I170" i="9"/>
  <c r="I238" i="9" s="1"/>
  <c r="H170" i="9"/>
  <c r="H238" i="9" s="1"/>
  <c r="G170" i="9"/>
  <c r="G238" i="9" s="1"/>
  <c r="F170" i="9"/>
  <c r="F238" i="9" s="1"/>
  <c r="E170" i="9"/>
  <c r="E238" i="9" s="1"/>
  <c r="D170" i="9"/>
  <c r="D172" i="9" s="1"/>
  <c r="D206" i="9" s="1"/>
  <c r="N165" i="9"/>
  <c r="M165" i="9"/>
  <c r="L165" i="9"/>
  <c r="K165" i="9"/>
  <c r="J165" i="9"/>
  <c r="I165" i="9"/>
  <c r="H165" i="9"/>
  <c r="G165" i="9"/>
  <c r="F165" i="9"/>
  <c r="E165" i="9"/>
  <c r="D165" i="9"/>
  <c r="N160" i="9"/>
  <c r="M160" i="9"/>
  <c r="L160" i="9"/>
  <c r="K160" i="9"/>
  <c r="J160" i="9"/>
  <c r="I160" i="9"/>
  <c r="H160" i="9"/>
  <c r="G160" i="9"/>
  <c r="F160" i="9"/>
  <c r="E160" i="9"/>
  <c r="D160" i="9"/>
  <c r="N159" i="9"/>
  <c r="M159" i="9"/>
  <c r="L159" i="9"/>
  <c r="K159" i="9"/>
  <c r="J159" i="9"/>
  <c r="I159" i="9"/>
  <c r="H159" i="9"/>
  <c r="G159" i="9"/>
  <c r="F159" i="9"/>
  <c r="E159" i="9"/>
  <c r="D159" i="9"/>
  <c r="N153" i="9"/>
  <c r="M153" i="9"/>
  <c r="L153" i="9"/>
  <c r="K153" i="9"/>
  <c r="J153" i="9"/>
  <c r="I153" i="9"/>
  <c r="H153" i="9"/>
  <c r="G153" i="9"/>
  <c r="F153" i="9"/>
  <c r="E153" i="9"/>
  <c r="D153" i="9"/>
  <c r="N152" i="9"/>
  <c r="M152" i="9"/>
  <c r="L152" i="9"/>
  <c r="K152" i="9"/>
  <c r="J152" i="9"/>
  <c r="I152" i="9"/>
  <c r="H152" i="9"/>
  <c r="G152" i="9"/>
  <c r="F152" i="9"/>
  <c r="E152" i="9"/>
  <c r="D152" i="9"/>
  <c r="N143" i="9"/>
  <c r="M143" i="9"/>
  <c r="L143" i="9"/>
  <c r="K143" i="9"/>
  <c r="J143" i="9"/>
  <c r="I143" i="9"/>
  <c r="H143" i="9"/>
  <c r="G143" i="9"/>
  <c r="F143" i="9"/>
  <c r="E143" i="9"/>
  <c r="D143" i="9"/>
  <c r="N142" i="9"/>
  <c r="N144" i="9" s="1"/>
  <c r="N149" i="9" s="1"/>
  <c r="M142" i="9"/>
  <c r="M144" i="9" s="1"/>
  <c r="M149" i="9" s="1"/>
  <c r="L142" i="9"/>
  <c r="L144" i="9" s="1"/>
  <c r="L149" i="9" s="1"/>
  <c r="K142" i="9"/>
  <c r="K144" i="9" s="1"/>
  <c r="K149" i="9" s="1"/>
  <c r="J142" i="9"/>
  <c r="J144" i="9" s="1"/>
  <c r="J149" i="9" s="1"/>
  <c r="I142" i="9"/>
  <c r="I144" i="9" s="1"/>
  <c r="I149" i="9" s="1"/>
  <c r="H142" i="9"/>
  <c r="H144" i="9" s="1"/>
  <c r="H149" i="9" s="1"/>
  <c r="G142" i="9"/>
  <c r="G144" i="9" s="1"/>
  <c r="G149" i="9" s="1"/>
  <c r="F142" i="9"/>
  <c r="F144" i="9" s="1"/>
  <c r="F149" i="9" s="1"/>
  <c r="E142" i="9"/>
  <c r="E144" i="9" s="1"/>
  <c r="E149" i="9" s="1"/>
  <c r="D142" i="9"/>
  <c r="D144" i="9" s="1"/>
  <c r="D149" i="9" s="1"/>
  <c r="N139" i="9"/>
  <c r="N141" i="9" s="1"/>
  <c r="M139" i="9"/>
  <c r="M141" i="9" s="1"/>
  <c r="L139" i="9"/>
  <c r="L141" i="9" s="1"/>
  <c r="K139" i="9"/>
  <c r="K141" i="9" s="1"/>
  <c r="J139" i="9"/>
  <c r="J141" i="9" s="1"/>
  <c r="I139" i="9"/>
  <c r="I141" i="9" s="1"/>
  <c r="H139" i="9"/>
  <c r="H141" i="9" s="1"/>
  <c r="G139" i="9"/>
  <c r="G141" i="9" s="1"/>
  <c r="F139" i="9"/>
  <c r="F141" i="9" s="1"/>
  <c r="E139" i="9"/>
  <c r="E141" i="9" s="1"/>
  <c r="D139" i="9"/>
  <c r="D141" i="9" s="1"/>
  <c r="N121" i="9"/>
  <c r="M121" i="9"/>
  <c r="L121" i="9"/>
  <c r="K121" i="9"/>
  <c r="J121" i="9"/>
  <c r="I121" i="9"/>
  <c r="H121" i="9"/>
  <c r="G121" i="9"/>
  <c r="F121" i="9"/>
  <c r="E121" i="9"/>
  <c r="D121" i="9"/>
  <c r="N112" i="9"/>
  <c r="M112" i="9"/>
  <c r="L112" i="9"/>
  <c r="K112" i="9"/>
  <c r="J112" i="9"/>
  <c r="I112" i="9"/>
  <c r="H112" i="9"/>
  <c r="G112" i="9"/>
  <c r="F112" i="9"/>
  <c r="E112" i="9"/>
  <c r="D112" i="9"/>
  <c r="N111" i="9"/>
  <c r="N113" i="9" s="1"/>
  <c r="N118" i="9" s="1"/>
  <c r="M111" i="9"/>
  <c r="M113" i="9" s="1"/>
  <c r="M118" i="9" s="1"/>
  <c r="L111" i="9"/>
  <c r="L113" i="9" s="1"/>
  <c r="L118" i="9" s="1"/>
  <c r="K111" i="9"/>
  <c r="K113" i="9" s="1"/>
  <c r="K118" i="9" s="1"/>
  <c r="J111" i="9"/>
  <c r="J113" i="9" s="1"/>
  <c r="J118" i="9" s="1"/>
  <c r="I111" i="9"/>
  <c r="I113" i="9" s="1"/>
  <c r="I118" i="9" s="1"/>
  <c r="H111" i="9"/>
  <c r="H113" i="9" s="1"/>
  <c r="H118" i="9" s="1"/>
  <c r="G111" i="9"/>
  <c r="G113" i="9" s="1"/>
  <c r="G118" i="9" s="1"/>
  <c r="F111" i="9"/>
  <c r="F113" i="9" s="1"/>
  <c r="F118" i="9" s="1"/>
  <c r="E111" i="9"/>
  <c r="E113" i="9" s="1"/>
  <c r="E118" i="9" s="1"/>
  <c r="D111" i="9"/>
  <c r="D113" i="9" s="1"/>
  <c r="D118" i="9" s="1"/>
  <c r="N108" i="9"/>
  <c r="N110" i="9" s="1"/>
  <c r="M108" i="9"/>
  <c r="M110" i="9" s="1"/>
  <c r="L108" i="9"/>
  <c r="L110" i="9" s="1"/>
  <c r="K108" i="9"/>
  <c r="K110" i="9" s="1"/>
  <c r="J108" i="9"/>
  <c r="J110" i="9" s="1"/>
  <c r="I108" i="9"/>
  <c r="I110" i="9" s="1"/>
  <c r="H108" i="9"/>
  <c r="H110" i="9" s="1"/>
  <c r="G108" i="9"/>
  <c r="G110" i="9" s="1"/>
  <c r="F108" i="9"/>
  <c r="F110" i="9" s="1"/>
  <c r="E108" i="9"/>
  <c r="E110" i="9" s="1"/>
  <c r="D108" i="9"/>
  <c r="D110" i="9" s="1"/>
  <c r="N89" i="9"/>
  <c r="M89" i="9"/>
  <c r="L89" i="9"/>
  <c r="K89" i="9"/>
  <c r="J89" i="9"/>
  <c r="I89" i="9"/>
  <c r="H89" i="9"/>
  <c r="G89" i="9"/>
  <c r="F89" i="9"/>
  <c r="E89" i="9"/>
  <c r="D89" i="9"/>
  <c r="N88" i="9"/>
  <c r="N120" i="9" s="1"/>
  <c r="M88" i="9"/>
  <c r="M120" i="9" s="1"/>
  <c r="L88" i="9"/>
  <c r="L120" i="9" s="1"/>
  <c r="K88" i="9"/>
  <c r="K120" i="9" s="1"/>
  <c r="J88" i="9"/>
  <c r="J120" i="9" s="1"/>
  <c r="I88" i="9"/>
  <c r="I120" i="9" s="1"/>
  <c r="H88" i="9"/>
  <c r="H120" i="9" s="1"/>
  <c r="G88" i="9"/>
  <c r="G120" i="9" s="1"/>
  <c r="F88" i="9"/>
  <c r="F120" i="9" s="1"/>
  <c r="E88" i="9"/>
  <c r="E120" i="9" s="1"/>
  <c r="D88" i="9"/>
  <c r="D120" i="9" s="1"/>
  <c r="K81" i="9"/>
  <c r="K86" i="9" s="1"/>
  <c r="G81" i="9"/>
  <c r="G86" i="9" s="1"/>
  <c r="N80" i="9"/>
  <c r="M80" i="9"/>
  <c r="L80" i="9"/>
  <c r="K80" i="9"/>
  <c r="J80" i="9"/>
  <c r="I80" i="9"/>
  <c r="H80" i="9"/>
  <c r="G80" i="9"/>
  <c r="F80" i="9"/>
  <c r="E80" i="9"/>
  <c r="D80" i="9"/>
  <c r="N79" i="9"/>
  <c r="N81" i="9" s="1"/>
  <c r="N86" i="9" s="1"/>
  <c r="M79" i="9"/>
  <c r="M81" i="9" s="1"/>
  <c r="M86" i="9" s="1"/>
  <c r="L79" i="9"/>
  <c r="L81" i="9" s="1"/>
  <c r="L86" i="9" s="1"/>
  <c r="K79" i="9"/>
  <c r="J79" i="9"/>
  <c r="J81" i="9" s="1"/>
  <c r="J86" i="9" s="1"/>
  <c r="I79" i="9"/>
  <c r="I81" i="9" s="1"/>
  <c r="I86" i="9" s="1"/>
  <c r="H79" i="9"/>
  <c r="H81" i="9" s="1"/>
  <c r="H86" i="9" s="1"/>
  <c r="G79" i="9"/>
  <c r="F79" i="9"/>
  <c r="F81" i="9" s="1"/>
  <c r="F86" i="9" s="1"/>
  <c r="E79" i="9"/>
  <c r="E81" i="9" s="1"/>
  <c r="E86" i="9" s="1"/>
  <c r="D79" i="9"/>
  <c r="D81" i="9" s="1"/>
  <c r="D86" i="9" s="1"/>
  <c r="N78" i="9"/>
  <c r="L78" i="9"/>
  <c r="J78" i="9"/>
  <c r="H78" i="9"/>
  <c r="F78" i="9"/>
  <c r="D78" i="9"/>
  <c r="N76" i="9"/>
  <c r="M76" i="9"/>
  <c r="M78" i="9" s="1"/>
  <c r="L76" i="9"/>
  <c r="K76" i="9"/>
  <c r="J76" i="9"/>
  <c r="I76" i="9"/>
  <c r="I78" i="9" s="1"/>
  <c r="H76" i="9"/>
  <c r="G76" i="9"/>
  <c r="F76" i="9"/>
  <c r="E76" i="9"/>
  <c r="E78" i="9" s="1"/>
  <c r="D76" i="9"/>
  <c r="N57" i="9"/>
  <c r="M57" i="9"/>
  <c r="L57" i="9"/>
  <c r="K57" i="9"/>
  <c r="J57" i="9"/>
  <c r="I57" i="9"/>
  <c r="H57" i="9"/>
  <c r="G57" i="9"/>
  <c r="F57" i="9"/>
  <c r="E57" i="9"/>
  <c r="D57" i="9"/>
  <c r="N50" i="9"/>
  <c r="M50" i="9"/>
  <c r="L50" i="9"/>
  <c r="K50" i="9"/>
  <c r="J50" i="9"/>
  <c r="I50" i="9"/>
  <c r="H50" i="9"/>
  <c r="G50" i="9"/>
  <c r="F50" i="9"/>
  <c r="E50" i="9"/>
  <c r="D50" i="9"/>
  <c r="N49" i="9"/>
  <c r="N51" i="9" s="1"/>
  <c r="N54" i="9" s="1"/>
  <c r="M49" i="9"/>
  <c r="M51" i="9" s="1"/>
  <c r="M54" i="9" s="1"/>
  <c r="L49" i="9"/>
  <c r="L51" i="9" s="1"/>
  <c r="L54" i="9" s="1"/>
  <c r="K49" i="9"/>
  <c r="K51" i="9" s="1"/>
  <c r="K54" i="9" s="1"/>
  <c r="J49" i="9"/>
  <c r="J51" i="9" s="1"/>
  <c r="J54" i="9" s="1"/>
  <c r="I49" i="9"/>
  <c r="I51" i="9" s="1"/>
  <c r="I54" i="9" s="1"/>
  <c r="H49" i="9"/>
  <c r="H51" i="9" s="1"/>
  <c r="H54" i="9" s="1"/>
  <c r="G49" i="9"/>
  <c r="G51" i="9" s="1"/>
  <c r="G54" i="9" s="1"/>
  <c r="F49" i="9"/>
  <c r="F51" i="9" s="1"/>
  <c r="F54" i="9" s="1"/>
  <c r="E49" i="9"/>
  <c r="E51" i="9" s="1"/>
  <c r="E54" i="9" s="1"/>
  <c r="D49" i="9"/>
  <c r="D51" i="9" s="1"/>
  <c r="D54" i="9" s="1"/>
  <c r="AQ40" i="8"/>
  <c r="AT38" i="8"/>
  <c r="AS38" i="8"/>
  <c r="AR38" i="8"/>
  <c r="AQ38" i="8"/>
  <c r="AC36" i="8"/>
  <c r="Q36" i="8"/>
  <c r="BD35" i="8"/>
  <c r="AV35" i="8"/>
  <c r="AB35" i="8"/>
  <c r="X35" i="8"/>
  <c r="T35" i="8"/>
  <c r="O35" i="8"/>
  <c r="AD34" i="8"/>
  <c r="AC34" i="8"/>
  <c r="AB34" i="8"/>
  <c r="AB36" i="8" s="1"/>
  <c r="AA34" i="8"/>
  <c r="Y34" i="8"/>
  <c r="X34" i="8"/>
  <c r="W34" i="8"/>
  <c r="V34" i="8"/>
  <c r="T34" i="8"/>
  <c r="S34" i="8"/>
  <c r="R34" i="8"/>
  <c r="Q34" i="8"/>
  <c r="O34" i="8"/>
  <c r="O36" i="8" s="1"/>
  <c r="N34" i="8"/>
  <c r="M34" i="8"/>
  <c r="Y32" i="8"/>
  <c r="T32" i="8"/>
  <c r="Q32" i="8"/>
  <c r="BD31" i="8"/>
  <c r="BC31" i="8"/>
  <c r="BC35" i="8" s="1"/>
  <c r="BB31" i="8"/>
  <c r="BB35" i="8" s="1"/>
  <c r="BA31" i="8"/>
  <c r="BA35" i="8" s="1"/>
  <c r="AY31" i="8"/>
  <c r="AY35" i="8" s="1"/>
  <c r="AX31" i="8"/>
  <c r="AX35" i="8" s="1"/>
  <c r="AW31" i="8"/>
  <c r="AW35" i="8" s="1"/>
  <c r="AV31" i="8"/>
  <c r="AT31" i="8"/>
  <c r="AT35" i="8" s="1"/>
  <c r="AD31" i="8"/>
  <c r="AD35" i="8" s="1"/>
  <c r="AD36" i="8" s="1"/>
  <c r="AC31" i="8"/>
  <c r="AC35" i="8" s="1"/>
  <c r="AB31" i="8"/>
  <c r="AA31" i="8"/>
  <c r="AA35" i="8" s="1"/>
  <c r="Y31" i="8"/>
  <c r="Y35" i="8" s="1"/>
  <c r="Y36" i="8" s="1"/>
  <c r="X31" i="8"/>
  <c r="W31" i="8"/>
  <c r="W35" i="8" s="1"/>
  <c r="V31" i="8"/>
  <c r="V35" i="8" s="1"/>
  <c r="V36" i="8" s="1"/>
  <c r="T31" i="8"/>
  <c r="S31" i="8"/>
  <c r="S35" i="8" s="1"/>
  <c r="R31" i="8"/>
  <c r="R35" i="8" s="1"/>
  <c r="R36" i="8" s="1"/>
  <c r="Q31" i="8"/>
  <c r="Q35" i="8" s="1"/>
  <c r="O31" i="8"/>
  <c r="N31" i="8"/>
  <c r="N35" i="8" s="1"/>
  <c r="N36" i="8" s="1"/>
  <c r="M31" i="8"/>
  <c r="M35" i="8" s="1"/>
  <c r="M36" i="8" s="1"/>
  <c r="AD30" i="8"/>
  <c r="AD32" i="8" s="1"/>
  <c r="AC30" i="8"/>
  <c r="AB30" i="8"/>
  <c r="AB32" i="8" s="1"/>
  <c r="AA30" i="8"/>
  <c r="AA32" i="8" s="1"/>
  <c r="Z30" i="8"/>
  <c r="Y30" i="8"/>
  <c r="X30" i="8"/>
  <c r="X32" i="8" s="1"/>
  <c r="W30" i="8"/>
  <c r="W32" i="8" s="1"/>
  <c r="V30" i="8"/>
  <c r="U30" i="8" s="1"/>
  <c r="T30" i="8"/>
  <c r="S30" i="8"/>
  <c r="R30" i="8"/>
  <c r="R32" i="8" s="1"/>
  <c r="Q30" i="8"/>
  <c r="P30" i="8"/>
  <c r="O30" i="8"/>
  <c r="O32" i="8" s="1"/>
  <c r="N30" i="8"/>
  <c r="N32" i="8" s="1"/>
  <c r="M30" i="8"/>
  <c r="AW27" i="8"/>
  <c r="AW26" i="8" s="1"/>
  <c r="Q27" i="8"/>
  <c r="AD26" i="8"/>
  <c r="AC26" i="8"/>
  <c r="AB26" i="8"/>
  <c r="AA26" i="8"/>
  <c r="AA28" i="8" s="1"/>
  <c r="Y26" i="8"/>
  <c r="X26" i="8"/>
  <c r="W26" i="8"/>
  <c r="V26" i="8"/>
  <c r="T26" i="8"/>
  <c r="S26" i="8"/>
  <c r="R26" i="8"/>
  <c r="Q26" i="8"/>
  <c r="Q28" i="8" s="1"/>
  <c r="O26" i="8"/>
  <c r="N26" i="8"/>
  <c r="M26" i="8"/>
  <c r="M28" i="8" s="1"/>
  <c r="BA23" i="8"/>
  <c r="BA27" i="8" s="1"/>
  <c r="BA26" i="8" s="1"/>
  <c r="AW23" i="8"/>
  <c r="AV23" i="8"/>
  <c r="AV27" i="8" s="1"/>
  <c r="AV26" i="8" s="1"/>
  <c r="AC23" i="8"/>
  <c r="AC27" i="8" s="1"/>
  <c r="AC28" i="8" s="1"/>
  <c r="AA23" i="8"/>
  <c r="AA27" i="8" s="1"/>
  <c r="Y23" i="8"/>
  <c r="Y27" i="8" s="1"/>
  <c r="Y28" i="8" s="1"/>
  <c r="Q23" i="8"/>
  <c r="O23" i="8"/>
  <c r="O27" i="8" s="1"/>
  <c r="O28" i="8" s="1"/>
  <c r="M23" i="8"/>
  <c r="M27" i="8" s="1"/>
  <c r="AW22" i="8"/>
  <c r="AD22" i="8"/>
  <c r="AD38" i="8" s="1"/>
  <c r="AC22" i="8"/>
  <c r="AC24" i="8" s="1"/>
  <c r="AB22" i="8"/>
  <c r="AA22" i="8"/>
  <c r="Z22" i="8"/>
  <c r="Y22" i="8"/>
  <c r="Y24" i="8" s="1"/>
  <c r="X22" i="8"/>
  <c r="W22" i="8"/>
  <c r="V22" i="8"/>
  <c r="V38" i="8" s="1"/>
  <c r="T22" i="8"/>
  <c r="S22" i="8"/>
  <c r="R22" i="8"/>
  <c r="R24" i="8" s="1"/>
  <c r="Q22" i="8"/>
  <c r="Q24" i="8" s="1"/>
  <c r="O22" i="8"/>
  <c r="N22" i="8"/>
  <c r="N38" i="8" s="1"/>
  <c r="M22" i="8"/>
  <c r="M24" i="8" s="1"/>
  <c r="Y20" i="8"/>
  <c r="R20" i="8"/>
  <c r="N20" i="8"/>
  <c r="M20" i="8"/>
  <c r="BD19" i="8"/>
  <c r="BD23" i="8" s="1"/>
  <c r="BC19" i="8"/>
  <c r="BC23" i="8" s="1"/>
  <c r="BB19" i="8"/>
  <c r="BA19" i="8"/>
  <c r="AY19" i="8"/>
  <c r="AY23" i="8" s="1"/>
  <c r="AX19" i="8"/>
  <c r="AW19" i="8"/>
  <c r="AV19" i="8"/>
  <c r="AT19" i="8"/>
  <c r="AT23" i="8" s="1"/>
  <c r="AT27" i="8" s="1"/>
  <c r="AD19" i="8"/>
  <c r="AD23" i="8" s="1"/>
  <c r="AD27" i="8" s="1"/>
  <c r="AC19" i="8"/>
  <c r="AB19" i="8"/>
  <c r="AB23" i="8" s="1"/>
  <c r="AA19" i="8"/>
  <c r="Y19" i="8"/>
  <c r="X19" i="8"/>
  <c r="X23" i="8" s="1"/>
  <c r="W19" i="8"/>
  <c r="W23" i="8" s="1"/>
  <c r="V19" i="8"/>
  <c r="V23" i="8" s="1"/>
  <c r="V27" i="8" s="1"/>
  <c r="T19" i="8"/>
  <c r="T23" i="8" s="1"/>
  <c r="T27" i="8" s="1"/>
  <c r="T28" i="8" s="1"/>
  <c r="S19" i="8"/>
  <c r="S23" i="8" s="1"/>
  <c r="R19" i="8"/>
  <c r="R23" i="8" s="1"/>
  <c r="R27" i="8" s="1"/>
  <c r="Q19" i="8"/>
  <c r="O19" i="8"/>
  <c r="N19" i="8"/>
  <c r="N23" i="8" s="1"/>
  <c r="N27" i="8" s="1"/>
  <c r="M19" i="8"/>
  <c r="BD18" i="8"/>
  <c r="BC18" i="8"/>
  <c r="BA18" i="8"/>
  <c r="AY18" i="8"/>
  <c r="AW18" i="8"/>
  <c r="AW38" i="8" s="1"/>
  <c r="AV18" i="8"/>
  <c r="AD18" i="8"/>
  <c r="AC18" i="8"/>
  <c r="AC20" i="8" s="1"/>
  <c r="AB18" i="8"/>
  <c r="AB20" i="8" s="1"/>
  <c r="AA18" i="8"/>
  <c r="Y18" i="8"/>
  <c r="Y38" i="8" s="1"/>
  <c r="X18" i="8"/>
  <c r="X20" i="8" s="1"/>
  <c r="W18" i="8"/>
  <c r="W38" i="8" s="1"/>
  <c r="V18" i="8"/>
  <c r="U18" i="8"/>
  <c r="T18" i="8"/>
  <c r="T20" i="8" s="1"/>
  <c r="S18" i="8"/>
  <c r="S38" i="8" s="1"/>
  <c r="R18" i="8"/>
  <c r="Q18" i="8"/>
  <c r="Q38" i="8" s="1"/>
  <c r="P18" i="8"/>
  <c r="O18" i="8"/>
  <c r="O38" i="8" s="1"/>
  <c r="N18" i="8"/>
  <c r="M18" i="8"/>
  <c r="M38" i="8" s="1"/>
  <c r="AT16" i="8"/>
  <c r="AT40" i="8" s="1"/>
  <c r="AS16" i="8"/>
  <c r="AS40" i="8" s="1"/>
  <c r="AS42" i="8" s="1"/>
  <c r="AR16" i="8"/>
  <c r="AR40" i="8" s="1"/>
  <c r="AR42" i="8" s="1"/>
  <c r="AQ16" i="8"/>
  <c r="AD16" i="8"/>
  <c r="N16" i="8"/>
  <c r="Y14" i="8"/>
  <c r="BD13" i="8"/>
  <c r="BC13" i="8"/>
  <c r="BB13" i="8"/>
  <c r="BA13" i="8"/>
  <c r="AY13" i="8"/>
  <c r="AX13" i="8"/>
  <c r="AW13" i="8"/>
  <c r="AV13" i="8"/>
  <c r="AT13" i="8"/>
  <c r="AD13" i="8"/>
  <c r="AD14" i="8" s="1"/>
  <c r="AC13" i="8"/>
  <c r="AB13" i="8"/>
  <c r="AA13" i="8"/>
  <c r="Y13" i="8"/>
  <c r="X13" i="8"/>
  <c r="W13" i="8"/>
  <c r="V13" i="8"/>
  <c r="V14" i="8" s="1"/>
  <c r="T13" i="8"/>
  <c r="S13" i="8"/>
  <c r="R13" i="8"/>
  <c r="R14" i="8" s="1"/>
  <c r="Q13" i="8"/>
  <c r="O13" i="8"/>
  <c r="N13" i="8"/>
  <c r="N14" i="8" s="1"/>
  <c r="M13" i="8"/>
  <c r="AD12" i="8"/>
  <c r="AC12" i="8"/>
  <c r="AC14" i="8" s="1"/>
  <c r="AB12" i="8"/>
  <c r="AB14" i="8" s="1"/>
  <c r="AA12" i="8"/>
  <c r="Z12" i="8" s="1"/>
  <c r="Z16" i="8" s="1"/>
  <c r="Y12" i="8"/>
  <c r="X12" i="8"/>
  <c r="X14" i="8" s="1"/>
  <c r="W12" i="8"/>
  <c r="W14" i="8" s="1"/>
  <c r="V12" i="8"/>
  <c r="U12" i="8"/>
  <c r="T12" i="8"/>
  <c r="T14" i="8" s="1"/>
  <c r="S12" i="8"/>
  <c r="S14" i="8" s="1"/>
  <c r="R12" i="8"/>
  <c r="Q12" i="8"/>
  <c r="Q14" i="8" s="1"/>
  <c r="P12" i="8"/>
  <c r="O12" i="8"/>
  <c r="O14" i="8" s="1"/>
  <c r="N12" i="8"/>
  <c r="M12" i="8"/>
  <c r="M14" i="8" s="1"/>
  <c r="BD9" i="8"/>
  <c r="BD8" i="8" s="1"/>
  <c r="BD16" i="8" s="1"/>
  <c r="BC9" i="8"/>
  <c r="BC8" i="8" s="1"/>
  <c r="BC16" i="8" s="1"/>
  <c r="BB9" i="8"/>
  <c r="BA9" i="8"/>
  <c r="AY9" i="8"/>
  <c r="AY8" i="8" s="1"/>
  <c r="AY16" i="8" s="1"/>
  <c r="AX9" i="8"/>
  <c r="AW9" i="8"/>
  <c r="AV9" i="8"/>
  <c r="AV8" i="8" s="1"/>
  <c r="AV16" i="8" s="1"/>
  <c r="AT9" i="8"/>
  <c r="BB8" i="8"/>
  <c r="BB16" i="8" s="1"/>
  <c r="BA8" i="8"/>
  <c r="BA16" i="8" s="1"/>
  <c r="AX8" i="8"/>
  <c r="AX16" i="8" s="1"/>
  <c r="AW8" i="8"/>
  <c r="AW16" i="8" s="1"/>
  <c r="AW40" i="8" s="1"/>
  <c r="AD8" i="8"/>
  <c r="AC8" i="8"/>
  <c r="AB8" i="8"/>
  <c r="AB16" i="8" s="1"/>
  <c r="AA8" i="8"/>
  <c r="Z8" i="8"/>
  <c r="Y8" i="8"/>
  <c r="X8" i="8"/>
  <c r="X16" i="8" s="1"/>
  <c r="W8" i="8"/>
  <c r="V8" i="8"/>
  <c r="V16" i="8" s="1"/>
  <c r="V40" i="8" s="1"/>
  <c r="U8" i="8"/>
  <c r="T8" i="8"/>
  <c r="T16" i="8" s="1"/>
  <c r="S8" i="8"/>
  <c r="R8" i="8"/>
  <c r="R16" i="8" s="1"/>
  <c r="Q8" i="8"/>
  <c r="O8" i="8"/>
  <c r="N8" i="8"/>
  <c r="M8" i="8"/>
  <c r="L5" i="8"/>
  <c r="F5" i="8"/>
  <c r="G5" i="8" s="1"/>
  <c r="E5" i="8"/>
  <c r="D5" i="8"/>
  <c r="G4" i="8"/>
  <c r="F4" i="8"/>
  <c r="E4" i="8"/>
  <c r="D4" i="8"/>
  <c r="AA16" i="7"/>
  <c r="V16" i="7"/>
  <c r="V14" i="12" s="1"/>
  <c r="U16" i="7"/>
  <c r="U14" i="12" s="1"/>
  <c r="T16" i="7"/>
  <c r="S16" i="7"/>
  <c r="R16" i="7"/>
  <c r="R14" i="12" s="1"/>
  <c r="Q16" i="7"/>
  <c r="Q14" i="12" s="1"/>
  <c r="AA7" i="7"/>
  <c r="AA15" i="12" s="1"/>
  <c r="V7" i="7"/>
  <c r="V15" i="12" s="1"/>
  <c r="U7" i="7"/>
  <c r="U15" i="12" s="1"/>
  <c r="T7" i="7"/>
  <c r="T15" i="12" s="1"/>
  <c r="S7" i="7"/>
  <c r="S15" i="12" s="1"/>
  <c r="R7" i="7"/>
  <c r="R15" i="12" s="1"/>
  <c r="Q7" i="7"/>
  <c r="Q15" i="12" s="1"/>
  <c r="L5" i="7"/>
  <c r="D5" i="7"/>
  <c r="E5" i="7" s="1"/>
  <c r="F5" i="7" s="1"/>
  <c r="G5" i="7" s="1"/>
  <c r="G4" i="7"/>
  <c r="F4" i="7"/>
  <c r="E4" i="7"/>
  <c r="D4" i="7"/>
  <c r="P31" i="6"/>
  <c r="O31" i="6"/>
  <c r="N31" i="6"/>
  <c r="M31" i="6"/>
  <c r="K31" i="6"/>
  <c r="J31" i="6"/>
  <c r="I31" i="6"/>
  <c r="H31" i="6"/>
  <c r="G31" i="6"/>
  <c r="F31" i="6"/>
  <c r="E31" i="6"/>
  <c r="D31" i="6"/>
  <c r="AM29" i="6"/>
  <c r="AN29" i="6" s="1"/>
  <c r="AO29" i="6" s="1"/>
  <c r="AL29" i="6"/>
  <c r="AG29" i="6"/>
  <c r="AH29" i="6" s="1"/>
  <c r="AI29" i="6" s="1"/>
  <c r="AE29" i="6"/>
  <c r="AA29" i="6"/>
  <c r="V29" i="6"/>
  <c r="Q29" i="6"/>
  <c r="AL28" i="6"/>
  <c r="AQ28" i="6" s="1"/>
  <c r="AG28" i="6"/>
  <c r="AC28" i="6"/>
  <c r="AC29" i="6" s="1"/>
  <c r="Y28" i="6"/>
  <c r="AD29" i="6" s="1"/>
  <c r="W28" i="6"/>
  <c r="W31" i="6" s="1"/>
  <c r="U28" i="6"/>
  <c r="S28" i="6"/>
  <c r="S31" i="6" s="1"/>
  <c r="AA26" i="6"/>
  <c r="AM24" i="6"/>
  <c r="AN24" i="6" s="1"/>
  <c r="AO24" i="6" s="1"/>
  <c r="AH24" i="6"/>
  <c r="AI24" i="6" s="1"/>
  <c r="AE24" i="6"/>
  <c r="AD24" i="6"/>
  <c r="AC24" i="6"/>
  <c r="AA24" i="6"/>
  <c r="Y24" i="6"/>
  <c r="V24" i="6"/>
  <c r="Q24" i="6"/>
  <c r="AL23" i="6"/>
  <c r="AQ23" i="6" s="1"/>
  <c r="AH23" i="6"/>
  <c r="AM23" i="6" s="1"/>
  <c r="AG23" i="6"/>
  <c r="Z23" i="6"/>
  <c r="Z24" i="6" s="1"/>
  <c r="W23" i="6"/>
  <c r="W26" i="6" s="1"/>
  <c r="U23" i="6"/>
  <c r="S23" i="6"/>
  <c r="S26" i="6" s="1"/>
  <c r="AN19" i="6"/>
  <c r="AO19" i="6" s="1"/>
  <c r="AM19" i="6"/>
  <c r="AI19" i="6"/>
  <c r="AJ19" i="6" s="1"/>
  <c r="AH19" i="6"/>
  <c r="AA19" i="6"/>
  <c r="V19" i="6"/>
  <c r="Q19" i="6"/>
  <c r="AH18" i="6"/>
  <c r="AM18" i="6" s="1"/>
  <c r="AR18" i="6" s="1"/>
  <c r="AW18" i="6" s="1"/>
  <c r="BB18" i="6" s="1"/>
  <c r="AD18" i="6"/>
  <c r="AD31" i="6" s="1"/>
  <c r="AC18" i="6"/>
  <c r="AC26" i="6" s="1"/>
  <c r="AB18" i="6"/>
  <c r="AB31" i="6" s="1"/>
  <c r="Y18" i="6"/>
  <c r="Y26" i="6" s="1"/>
  <c r="X18" i="6"/>
  <c r="X31" i="6" s="1"/>
  <c r="W18" i="6"/>
  <c r="W19" i="6" s="1"/>
  <c r="T18" i="6"/>
  <c r="T31" i="6" s="1"/>
  <c r="S18" i="6"/>
  <c r="R18" i="6"/>
  <c r="R26" i="6" s="1"/>
  <c r="AM15" i="6"/>
  <c r="AN15" i="6" s="1"/>
  <c r="AO15" i="6" s="1"/>
  <c r="AH15" i="6"/>
  <c r="AI15" i="6" s="1"/>
  <c r="AD15" i="6"/>
  <c r="AC15" i="6"/>
  <c r="AB15" i="6"/>
  <c r="AA15" i="6"/>
  <c r="Y15" i="6"/>
  <c r="X15" i="6"/>
  <c r="W15" i="6"/>
  <c r="V15" i="6"/>
  <c r="Q15" i="6"/>
  <c r="AG14" i="6"/>
  <c r="AL14" i="6" s="1"/>
  <c r="AE14" i="6"/>
  <c r="Z14" i="6"/>
  <c r="U14" i="6"/>
  <c r="Z15" i="6" s="1"/>
  <c r="S14" i="6"/>
  <c r="AN11" i="6"/>
  <c r="AO11" i="6" s="1"/>
  <c r="AM11" i="6"/>
  <c r="AI11" i="6"/>
  <c r="AJ11" i="6" s="1"/>
  <c r="AH11" i="6"/>
  <c r="AA11" i="6"/>
  <c r="V11" i="6"/>
  <c r="Q11" i="6"/>
  <c r="AH10" i="6"/>
  <c r="AM10" i="6" s="1"/>
  <c r="AR10" i="6" s="1"/>
  <c r="AW10" i="6" s="1"/>
  <c r="BB10" i="6" s="1"/>
  <c r="AD10" i="6"/>
  <c r="AD11" i="6" s="1"/>
  <c r="AC10" i="6"/>
  <c r="AB10" i="6"/>
  <c r="AB11" i="6" s="1"/>
  <c r="Y10" i="6"/>
  <c r="Y11" i="6" s="1"/>
  <c r="X10" i="6"/>
  <c r="AC11" i="6" s="1"/>
  <c r="W10" i="6"/>
  <c r="Z10" i="6" s="1"/>
  <c r="T10" i="6"/>
  <c r="S10" i="6"/>
  <c r="R10" i="6"/>
  <c r="U10" i="6" s="1"/>
  <c r="L5" i="6"/>
  <c r="D5" i="6"/>
  <c r="E5" i="6" s="1"/>
  <c r="F5" i="6" s="1"/>
  <c r="G5" i="6" s="1"/>
  <c r="G4" i="6"/>
  <c r="F4" i="6"/>
  <c r="E4" i="6"/>
  <c r="D4" i="6"/>
  <c r="Z68" i="5"/>
  <c r="U68" i="5"/>
  <c r="P68" i="5"/>
  <c r="D68" i="5"/>
  <c r="Z66" i="5"/>
  <c r="U66" i="5"/>
  <c r="P66" i="5"/>
  <c r="G66" i="5"/>
  <c r="G68" i="5" s="1"/>
  <c r="F66" i="5"/>
  <c r="F68" i="5" s="1"/>
  <c r="E66" i="5"/>
  <c r="E68" i="5" s="1"/>
  <c r="D66" i="5"/>
  <c r="Z65" i="5"/>
  <c r="U65" i="5"/>
  <c r="P65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C63" i="5"/>
  <c r="AB63" i="5"/>
  <c r="AA63" i="5"/>
  <c r="Y63" i="5"/>
  <c r="X63" i="5"/>
  <c r="W63" i="5"/>
  <c r="V63" i="5"/>
  <c r="T63" i="5"/>
  <c r="S63" i="5"/>
  <c r="U63" i="5" s="1"/>
  <c r="R63" i="5"/>
  <c r="Q63" i="5"/>
  <c r="P63" i="5" s="1"/>
  <c r="M63" i="5"/>
  <c r="L63" i="5"/>
  <c r="U62" i="5"/>
  <c r="P62" i="5"/>
  <c r="Z61" i="5"/>
  <c r="U61" i="5"/>
  <c r="Z60" i="5"/>
  <c r="U60" i="5"/>
  <c r="P60" i="5"/>
  <c r="Z59" i="5"/>
  <c r="U59" i="5"/>
  <c r="Z56" i="5"/>
  <c r="U56" i="5"/>
  <c r="P56" i="5"/>
  <c r="Z55" i="5"/>
  <c r="U55" i="5"/>
  <c r="P55" i="5"/>
  <c r="Z54" i="5"/>
  <c r="P54" i="5"/>
  <c r="Z52" i="5"/>
  <c r="U52" i="5"/>
  <c r="P52" i="5"/>
  <c r="Z51" i="5"/>
  <c r="U51" i="5"/>
  <c r="P51" i="5"/>
  <c r="Z49" i="5"/>
  <c r="Z48" i="5"/>
  <c r="U48" i="5"/>
  <c r="P48" i="5"/>
  <c r="Z47" i="5"/>
  <c r="U47" i="5"/>
  <c r="P47" i="5"/>
  <c r="AE44" i="5"/>
  <c r="W44" i="5"/>
  <c r="S44" i="5"/>
  <c r="L44" i="5"/>
  <c r="Z42" i="5"/>
  <c r="U42" i="5"/>
  <c r="P42" i="5"/>
  <c r="U41" i="5"/>
  <c r="P41" i="5"/>
  <c r="Z40" i="5"/>
  <c r="U40" i="5"/>
  <c r="P40" i="5"/>
  <c r="Z39" i="5"/>
  <c r="U39" i="5"/>
  <c r="P39" i="5"/>
  <c r="AG38" i="5"/>
  <c r="AH38" i="5" s="1"/>
  <c r="AF38" i="5"/>
  <c r="AB38" i="5"/>
  <c r="X38" i="5"/>
  <c r="X44" i="5" s="1"/>
  <c r="S38" i="5"/>
  <c r="O38" i="5"/>
  <c r="AE37" i="5"/>
  <c r="W7" i="7" s="1"/>
  <c r="Z37" i="5"/>
  <c r="U37" i="5"/>
  <c r="P37" i="5"/>
  <c r="AB34" i="5"/>
  <c r="X34" i="5"/>
  <c r="W34" i="5"/>
  <c r="M34" i="5"/>
  <c r="Z33" i="5"/>
  <c r="Z32" i="5"/>
  <c r="U32" i="5"/>
  <c r="Z31" i="5"/>
  <c r="Z29" i="5"/>
  <c r="Z28" i="5"/>
  <c r="Z27" i="5"/>
  <c r="Z26" i="5"/>
  <c r="U26" i="5"/>
  <c r="Z25" i="5"/>
  <c r="Z24" i="5"/>
  <c r="Z23" i="5"/>
  <c r="Z21" i="5"/>
  <c r="Z20" i="5"/>
  <c r="U18" i="5"/>
  <c r="Z17" i="5"/>
  <c r="Z14" i="5"/>
  <c r="T14" i="5"/>
  <c r="U14" i="5" s="1"/>
  <c r="T13" i="5"/>
  <c r="U13" i="5" s="1"/>
  <c r="AD12" i="5"/>
  <c r="AC12" i="5"/>
  <c r="AC34" i="5" s="1"/>
  <c r="AB12" i="5"/>
  <c r="AA12" i="5"/>
  <c r="Y12" i="5"/>
  <c r="Y34" i="5" s="1"/>
  <c r="X12" i="5"/>
  <c r="W12" i="5"/>
  <c r="V12" i="5"/>
  <c r="S12" i="5"/>
  <c r="S34" i="5" s="1"/>
  <c r="R12" i="5"/>
  <c r="Q12" i="5"/>
  <c r="P12" i="5"/>
  <c r="O12" i="5"/>
  <c r="N12" i="5"/>
  <c r="M12" i="5"/>
  <c r="Z11" i="5"/>
  <c r="Z12" i="5" s="1"/>
  <c r="T11" i="5"/>
  <c r="T12" i="5" s="1"/>
  <c r="P11" i="5"/>
  <c r="BD9" i="5"/>
  <c r="BC9" i="5"/>
  <c r="BB9" i="5"/>
  <c r="BA9" i="5"/>
  <c r="AY9" i="5"/>
  <c r="AX9" i="5"/>
  <c r="AW9" i="5"/>
  <c r="AV9" i="5"/>
  <c r="AT9" i="5"/>
  <c r="AS9" i="5"/>
  <c r="AR9" i="5"/>
  <c r="AQ9" i="5"/>
  <c r="AA9" i="5"/>
  <c r="AA34" i="5" s="1"/>
  <c r="Z34" i="5" s="1"/>
  <c r="Z9" i="5"/>
  <c r="X9" i="5"/>
  <c r="V9" i="5"/>
  <c r="V34" i="5" s="1"/>
  <c r="T9" i="5"/>
  <c r="T34" i="5" s="1"/>
  <c r="L5" i="5"/>
  <c r="E5" i="5"/>
  <c r="F5" i="5" s="1"/>
  <c r="G5" i="5" s="1"/>
  <c r="D5" i="5"/>
  <c r="G4" i="5"/>
  <c r="F4" i="5"/>
  <c r="E4" i="5"/>
  <c r="D4" i="5"/>
  <c r="D24" i="4"/>
  <c r="E23" i="4"/>
  <c r="D23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D8" i="4"/>
  <c r="D7" i="4"/>
  <c r="D6" i="4"/>
  <c r="J5" i="4"/>
  <c r="F5" i="4"/>
  <c r="G5" i="4" s="1"/>
  <c r="H5" i="4" s="1"/>
  <c r="I5" i="4" s="1"/>
  <c r="D5" i="4"/>
  <c r="D4" i="4"/>
  <c r="D3" i="4"/>
  <c r="AC66" i="3"/>
  <c r="Y66" i="3"/>
  <c r="Q66" i="3"/>
  <c r="M66" i="3"/>
  <c r="AD65" i="3"/>
  <c r="AD66" i="3" s="1"/>
  <c r="AH66" i="3" s="1"/>
  <c r="AM66" i="3" s="1"/>
  <c r="AC65" i="3"/>
  <c r="AB65" i="3"/>
  <c r="AB66" i="3" s="1"/>
  <c r="AE66" i="3" s="1"/>
  <c r="AA65" i="3"/>
  <c r="AA66" i="3" s="1"/>
  <c r="Y65" i="3"/>
  <c r="X65" i="3"/>
  <c r="X66" i="3" s="1"/>
  <c r="W65" i="3"/>
  <c r="W66" i="3" s="1"/>
  <c r="V65" i="3"/>
  <c r="V66" i="3" s="1"/>
  <c r="T65" i="3"/>
  <c r="T66" i="3" s="1"/>
  <c r="S65" i="3"/>
  <c r="S66" i="3" s="1"/>
  <c r="R65" i="3"/>
  <c r="R66" i="3" s="1"/>
  <c r="Q65" i="3"/>
  <c r="O65" i="3"/>
  <c r="O66" i="3" s="1"/>
  <c r="N65" i="3"/>
  <c r="N66" i="3" s="1"/>
  <c r="M65" i="3"/>
  <c r="AC61" i="3"/>
  <c r="Y61" i="3"/>
  <c r="M61" i="3"/>
  <c r="AD60" i="3"/>
  <c r="AC60" i="3"/>
  <c r="AB60" i="3"/>
  <c r="AA60" i="3"/>
  <c r="Z60" i="3"/>
  <c r="Y60" i="3"/>
  <c r="X60" i="3"/>
  <c r="W60" i="3"/>
  <c r="V60" i="3"/>
  <c r="T60" i="3"/>
  <c r="S60" i="3"/>
  <c r="R60" i="3"/>
  <c r="Q60" i="3"/>
  <c r="O60" i="3"/>
  <c r="N60" i="3"/>
  <c r="M60" i="3"/>
  <c r="M62" i="3" s="1"/>
  <c r="AR57" i="3"/>
  <c r="AS57" i="3" s="1"/>
  <c r="R56" i="3"/>
  <c r="AD55" i="3"/>
  <c r="AC55" i="3"/>
  <c r="AB55" i="3"/>
  <c r="AA55" i="3"/>
  <c r="Y55" i="3"/>
  <c r="X55" i="3"/>
  <c r="W55" i="3"/>
  <c r="V55" i="3"/>
  <c r="T55" i="3"/>
  <c r="S55" i="3"/>
  <c r="R55" i="3"/>
  <c r="Q55" i="3"/>
  <c r="P55" i="3"/>
  <c r="O55" i="3"/>
  <c r="N55" i="3"/>
  <c r="M55" i="3"/>
  <c r="AL53" i="3"/>
  <c r="AJ53" i="3"/>
  <c r="AO53" i="3" s="1"/>
  <c r="AB53" i="3"/>
  <c r="AG53" i="3" s="1"/>
  <c r="X53" i="3"/>
  <c r="T53" i="3"/>
  <c r="AD52" i="3"/>
  <c r="AD51" i="3"/>
  <c r="AC51" i="3"/>
  <c r="AB51" i="3"/>
  <c r="AA51" i="3"/>
  <c r="Y51" i="3"/>
  <c r="X51" i="3"/>
  <c r="W51" i="3"/>
  <c r="V51" i="3"/>
  <c r="T51" i="3"/>
  <c r="S51" i="3"/>
  <c r="R51" i="3"/>
  <c r="Q51" i="3"/>
  <c r="P51" i="3"/>
  <c r="O51" i="3"/>
  <c r="N51" i="3"/>
  <c r="M51" i="3"/>
  <c r="AJ48" i="3"/>
  <c r="AO48" i="3" s="1"/>
  <c r="Z47" i="3"/>
  <c r="AD46" i="3"/>
  <c r="AC46" i="3"/>
  <c r="AB46" i="3"/>
  <c r="AA46" i="3"/>
  <c r="Y46" i="3"/>
  <c r="X46" i="3"/>
  <c r="W46" i="3"/>
  <c r="V46" i="3"/>
  <c r="T46" i="3"/>
  <c r="S46" i="3"/>
  <c r="R46" i="3"/>
  <c r="Q46" i="3"/>
  <c r="P46" i="3"/>
  <c r="O46" i="3"/>
  <c r="N46" i="3"/>
  <c r="M46" i="3"/>
  <c r="Z43" i="3"/>
  <c r="U43" i="3"/>
  <c r="Z39" i="3"/>
  <c r="U39" i="3"/>
  <c r="U37" i="3"/>
  <c r="O37" i="3"/>
  <c r="N37" i="3"/>
  <c r="P36" i="3"/>
  <c r="P34" i="3"/>
  <c r="K33" i="3"/>
  <c r="J33" i="3"/>
  <c r="I33" i="3"/>
  <c r="H33" i="3"/>
  <c r="AA30" i="3"/>
  <c r="K30" i="3"/>
  <c r="J30" i="3"/>
  <c r="I30" i="3"/>
  <c r="H30" i="3"/>
  <c r="Z29" i="3"/>
  <c r="U29" i="3"/>
  <c r="P29" i="3"/>
  <c r="AD27" i="3"/>
  <c r="AC27" i="3"/>
  <c r="AB27" i="3"/>
  <c r="AA27" i="3"/>
  <c r="Y27" i="3"/>
  <c r="X27" i="3"/>
  <c r="W27" i="3"/>
  <c r="V27" i="3"/>
  <c r="T27" i="3"/>
  <c r="S27" i="3"/>
  <c r="R27" i="3"/>
  <c r="Q27" i="3"/>
  <c r="O27" i="3"/>
  <c r="N27" i="3"/>
  <c r="M27" i="3"/>
  <c r="AK26" i="3"/>
  <c r="AF26" i="3"/>
  <c r="Z26" i="3"/>
  <c r="U26" i="3"/>
  <c r="AK25" i="3"/>
  <c r="AF25" i="3"/>
  <c r="Z24" i="3"/>
  <c r="U24" i="3"/>
  <c r="U60" i="3" s="1"/>
  <c r="P24" i="3"/>
  <c r="P60" i="3" s="1"/>
  <c r="AK23" i="3"/>
  <c r="AF23" i="3"/>
  <c r="Z23" i="3"/>
  <c r="Z27" i="3" s="1"/>
  <c r="U23" i="3"/>
  <c r="M23" i="3"/>
  <c r="P23" i="3" s="1"/>
  <c r="P27" i="3" s="1"/>
  <c r="AA20" i="3"/>
  <c r="W20" i="3"/>
  <c r="S20" i="3"/>
  <c r="O20" i="3"/>
  <c r="L20" i="3"/>
  <c r="AD19" i="3"/>
  <c r="AC19" i="3"/>
  <c r="AB19" i="3"/>
  <c r="Y19" i="3"/>
  <c r="X19" i="3"/>
  <c r="W19" i="3"/>
  <c r="T19" i="3"/>
  <c r="S19" i="3"/>
  <c r="R19" i="3"/>
  <c r="O19" i="3"/>
  <c r="N19" i="3"/>
  <c r="M19" i="3"/>
  <c r="Z18" i="3"/>
  <c r="Z55" i="3" s="1"/>
  <c r="U18" i="3"/>
  <c r="U55" i="3" s="1"/>
  <c r="P18" i="3"/>
  <c r="Z17" i="3"/>
  <c r="U17" i="3"/>
  <c r="P17" i="3"/>
  <c r="AP16" i="3"/>
  <c r="AK16" i="3"/>
  <c r="AF16" i="3"/>
  <c r="Z16" i="3"/>
  <c r="Z65" i="3" s="1"/>
  <c r="Z66" i="3" s="1"/>
  <c r="U16" i="3"/>
  <c r="U65" i="3" s="1"/>
  <c r="U66" i="3" s="1"/>
  <c r="P16" i="3"/>
  <c r="P65" i="3" s="1"/>
  <c r="P66" i="3" s="1"/>
  <c r="AK15" i="3"/>
  <c r="AF15" i="3"/>
  <c r="Z15" i="3"/>
  <c r="U15" i="3"/>
  <c r="P15" i="3"/>
  <c r="Z14" i="3"/>
  <c r="U14" i="3"/>
  <c r="U19" i="3" s="1"/>
  <c r="P14" i="3"/>
  <c r="AB11" i="3"/>
  <c r="AB8" i="12" s="1"/>
  <c r="X11" i="3"/>
  <c r="T11" i="3"/>
  <c r="L11" i="3"/>
  <c r="K11" i="3"/>
  <c r="J11" i="3"/>
  <c r="I11" i="3"/>
  <c r="H11" i="3"/>
  <c r="AD10" i="3"/>
  <c r="AC10" i="3"/>
  <c r="AC9" i="8" s="1"/>
  <c r="AB10" i="3"/>
  <c r="AB9" i="8" s="1"/>
  <c r="AA10" i="3"/>
  <c r="Z10" i="3"/>
  <c r="Y10" i="3"/>
  <c r="Y9" i="8" s="1"/>
  <c r="X10" i="3"/>
  <c r="X9" i="8" s="1"/>
  <c r="W10" i="3"/>
  <c r="W9" i="8" s="1"/>
  <c r="W10" i="8" s="1"/>
  <c r="V10" i="3"/>
  <c r="T10" i="3"/>
  <c r="T9" i="8" s="1"/>
  <c r="S10" i="3"/>
  <c r="S9" i="8" s="1"/>
  <c r="S10" i="8" s="1"/>
  <c r="R10" i="3"/>
  <c r="R47" i="3" s="1"/>
  <c r="Q10" i="3"/>
  <c r="Q38" i="5" s="1"/>
  <c r="Q44" i="5" s="1"/>
  <c r="P44" i="5" s="1"/>
  <c r="O10" i="3"/>
  <c r="N10" i="3"/>
  <c r="M10" i="3"/>
  <c r="M38" i="5" s="1"/>
  <c r="L10" i="3"/>
  <c r="L7" i="12" s="1"/>
  <c r="Z9" i="3"/>
  <c r="U9" i="3"/>
  <c r="P9" i="3"/>
  <c r="Z8" i="3"/>
  <c r="U8" i="3"/>
  <c r="U10" i="3" s="1"/>
  <c r="P8" i="3"/>
  <c r="P10" i="3" s="1"/>
  <c r="L5" i="3"/>
  <c r="D5" i="3"/>
  <c r="E5" i="3" s="1"/>
  <c r="F5" i="3" s="1"/>
  <c r="G5" i="3" s="1"/>
  <c r="L4" i="3"/>
  <c r="Q4" i="3" s="1"/>
  <c r="K4" i="3"/>
  <c r="J4" i="3"/>
  <c r="H4" i="3"/>
  <c r="G4" i="3"/>
  <c r="F4" i="3"/>
  <c r="E4" i="3"/>
  <c r="D4" i="3"/>
  <c r="AA86" i="2"/>
  <c r="S86" i="2"/>
  <c r="BD85" i="2"/>
  <c r="BC85" i="2"/>
  <c r="BB85" i="2"/>
  <c r="BA85" i="2"/>
  <c r="AY85" i="2"/>
  <c r="AX85" i="2"/>
  <c r="AW85" i="2"/>
  <c r="AV85" i="2"/>
  <c r="AT85" i="2"/>
  <c r="AS85" i="2"/>
  <c r="AR85" i="2"/>
  <c r="AQ85" i="2"/>
  <c r="AO85" i="2"/>
  <c r="AN85" i="2"/>
  <c r="AM85" i="2"/>
  <c r="AL85" i="2"/>
  <c r="AJ85" i="2"/>
  <c r="AI85" i="2"/>
  <c r="AH85" i="2"/>
  <c r="AG85" i="2"/>
  <c r="AA85" i="2"/>
  <c r="Y85" i="2"/>
  <c r="Y86" i="2" s="1"/>
  <c r="X85" i="2"/>
  <c r="W85" i="2"/>
  <c r="V85" i="2"/>
  <c r="V86" i="2" s="1"/>
  <c r="T85" i="2"/>
  <c r="T86" i="2" s="1"/>
  <c r="S85" i="2"/>
  <c r="R85" i="2"/>
  <c r="R86" i="2" s="1"/>
  <c r="Q85" i="2"/>
  <c r="Q86" i="2" s="1"/>
  <c r="AA83" i="2"/>
  <c r="S83" i="2"/>
  <c r="BD82" i="2"/>
  <c r="BC82" i="2"/>
  <c r="BB82" i="2"/>
  <c r="BA82" i="2"/>
  <c r="AY82" i="2"/>
  <c r="AX82" i="2"/>
  <c r="AW82" i="2"/>
  <c r="AV82" i="2"/>
  <c r="AT82" i="2"/>
  <c r="AS82" i="2"/>
  <c r="AR82" i="2"/>
  <c r="AQ82" i="2"/>
  <c r="AO82" i="2"/>
  <c r="AN82" i="2"/>
  <c r="AM82" i="2"/>
  <c r="AL82" i="2"/>
  <c r="AJ82" i="2"/>
  <c r="AI82" i="2"/>
  <c r="AH82" i="2"/>
  <c r="AG82" i="2"/>
  <c r="AA82" i="2"/>
  <c r="Y82" i="2"/>
  <c r="Y83" i="2" s="1"/>
  <c r="X82" i="2"/>
  <c r="W82" i="2"/>
  <c r="V82" i="2"/>
  <c r="V83" i="2" s="1"/>
  <c r="T82" i="2"/>
  <c r="T83" i="2" s="1"/>
  <c r="S82" i="2"/>
  <c r="R82" i="2"/>
  <c r="R83" i="2" s="1"/>
  <c r="Q82" i="2"/>
  <c r="Q83" i="2" s="1"/>
  <c r="AA80" i="2"/>
  <c r="S80" i="2"/>
  <c r="BD79" i="2"/>
  <c r="BC79" i="2"/>
  <c r="BB79" i="2"/>
  <c r="BA79" i="2"/>
  <c r="AY79" i="2"/>
  <c r="AX79" i="2"/>
  <c r="AW79" i="2"/>
  <c r="AV79" i="2"/>
  <c r="AT79" i="2"/>
  <c r="AS79" i="2"/>
  <c r="AR79" i="2"/>
  <c r="AQ79" i="2"/>
  <c r="AO79" i="2"/>
  <c r="AN79" i="2"/>
  <c r="AM79" i="2"/>
  <c r="AL79" i="2"/>
  <c r="AJ79" i="2"/>
  <c r="AI79" i="2"/>
  <c r="AH79" i="2"/>
  <c r="AG79" i="2"/>
  <c r="AA79" i="2"/>
  <c r="Y79" i="2"/>
  <c r="Y80" i="2" s="1"/>
  <c r="X79" i="2"/>
  <c r="W79" i="2"/>
  <c r="V79" i="2"/>
  <c r="V80" i="2" s="1"/>
  <c r="T79" i="2"/>
  <c r="T80" i="2" s="1"/>
  <c r="S79" i="2"/>
  <c r="R79" i="2"/>
  <c r="R80" i="2" s="1"/>
  <c r="Q79" i="2"/>
  <c r="Q80" i="2" s="1"/>
  <c r="AD73" i="2"/>
  <c r="AC73" i="2"/>
  <c r="AB73" i="2"/>
  <c r="AA73" i="2"/>
  <c r="Y73" i="2"/>
  <c r="X73" i="2"/>
  <c r="W73" i="2"/>
  <c r="V73" i="2"/>
  <c r="T73" i="2"/>
  <c r="S73" i="2"/>
  <c r="R73" i="2"/>
  <c r="Q73" i="2"/>
  <c r="AD68" i="2"/>
  <c r="AC68" i="2"/>
  <c r="AB68" i="2"/>
  <c r="AA68" i="2"/>
  <c r="Y68" i="2"/>
  <c r="X68" i="2"/>
  <c r="W68" i="2"/>
  <c r="V68" i="2"/>
  <c r="U68" i="2"/>
  <c r="T68" i="2"/>
  <c r="S68" i="2"/>
  <c r="R68" i="2"/>
  <c r="AA62" i="2"/>
  <c r="S62" i="2"/>
  <c r="AA61" i="2"/>
  <c r="Z61" i="2"/>
  <c r="Y61" i="2"/>
  <c r="U61" i="2"/>
  <c r="T61" i="2"/>
  <c r="S61" i="2"/>
  <c r="Q61" i="2"/>
  <c r="AA60" i="2"/>
  <c r="Y60" i="2"/>
  <c r="Y62" i="2" s="1"/>
  <c r="X60" i="2"/>
  <c r="W60" i="2"/>
  <c r="V60" i="2"/>
  <c r="T60" i="2"/>
  <c r="T62" i="2" s="1"/>
  <c r="S60" i="2"/>
  <c r="R60" i="2"/>
  <c r="Q60" i="2"/>
  <c r="Q62" i="2" s="1"/>
  <c r="BB54" i="2"/>
  <c r="AX54" i="2"/>
  <c r="AP54" i="2"/>
  <c r="AL54" i="2"/>
  <c r="AH54" i="2"/>
  <c r="Q54" i="2"/>
  <c r="K54" i="2"/>
  <c r="J54" i="2"/>
  <c r="I54" i="2"/>
  <c r="H54" i="2"/>
  <c r="G54" i="2"/>
  <c r="F54" i="2"/>
  <c r="E54" i="2"/>
  <c r="D54" i="2"/>
  <c r="BD53" i="2"/>
  <c r="BD54" i="2" s="1"/>
  <c r="AZ53" i="2"/>
  <c r="AZ54" i="2" s="1"/>
  <c r="AV53" i="2"/>
  <c r="AV54" i="2" s="1"/>
  <c r="AR53" i="2"/>
  <c r="AR54" i="2" s="1"/>
  <c r="AN53" i="2"/>
  <c r="AN54" i="2" s="1"/>
  <c r="AJ53" i="2"/>
  <c r="AJ54" i="2" s="1"/>
  <c r="AF53" i="2"/>
  <c r="AF54" i="2" s="1"/>
  <c r="R53" i="2"/>
  <c r="BE51" i="2"/>
  <c r="BE53" i="2" s="1"/>
  <c r="BE54" i="2" s="1"/>
  <c r="BD51" i="2"/>
  <c r="BC51" i="2"/>
  <c r="BC53" i="2" s="1"/>
  <c r="BC54" i="2" s="1"/>
  <c r="BB51" i="2"/>
  <c r="BB53" i="2" s="1"/>
  <c r="BA51" i="2"/>
  <c r="BA53" i="2" s="1"/>
  <c r="BA54" i="2" s="1"/>
  <c r="AZ51" i="2"/>
  <c r="AY51" i="2"/>
  <c r="AY53" i="2" s="1"/>
  <c r="AY54" i="2" s="1"/>
  <c r="AX51" i="2"/>
  <c r="AX53" i="2" s="1"/>
  <c r="AW51" i="2"/>
  <c r="AW53" i="2" s="1"/>
  <c r="AW54" i="2" s="1"/>
  <c r="AV51" i="2"/>
  <c r="AU51" i="2"/>
  <c r="AU53" i="2" s="1"/>
  <c r="AU54" i="2" s="1"/>
  <c r="AT51" i="2"/>
  <c r="AT53" i="2" s="1"/>
  <c r="AT54" i="2" s="1"/>
  <c r="AS51" i="2"/>
  <c r="AS53" i="2" s="1"/>
  <c r="AS54" i="2" s="1"/>
  <c r="AR51" i="2"/>
  <c r="AQ51" i="2"/>
  <c r="AQ53" i="2" s="1"/>
  <c r="AQ54" i="2" s="1"/>
  <c r="AP51" i="2"/>
  <c r="AP53" i="2" s="1"/>
  <c r="AO51" i="2"/>
  <c r="AO53" i="2" s="1"/>
  <c r="AO54" i="2" s="1"/>
  <c r="AN51" i="2"/>
  <c r="AM51" i="2"/>
  <c r="AM53" i="2" s="1"/>
  <c r="AM54" i="2" s="1"/>
  <c r="AL51" i="2"/>
  <c r="AL53" i="2" s="1"/>
  <c r="AK51" i="2"/>
  <c r="AK53" i="2" s="1"/>
  <c r="AK54" i="2" s="1"/>
  <c r="AJ51" i="2"/>
  <c r="AI51" i="2"/>
  <c r="AI53" i="2" s="1"/>
  <c r="AI54" i="2" s="1"/>
  <c r="AH51" i="2"/>
  <c r="AH53" i="2" s="1"/>
  <c r="AG51" i="2"/>
  <c r="AG53" i="2" s="1"/>
  <c r="AG54" i="2" s="1"/>
  <c r="AF51" i="2"/>
  <c r="AE51" i="2"/>
  <c r="Z51" i="2"/>
  <c r="U51" i="2"/>
  <c r="P51" i="2"/>
  <c r="L51" i="2"/>
  <c r="L53" i="2" s="1"/>
  <c r="Z50" i="2"/>
  <c r="U50" i="2"/>
  <c r="P50" i="2"/>
  <c r="AD49" i="2"/>
  <c r="AD51" i="2" s="1"/>
  <c r="AC49" i="2"/>
  <c r="AC51" i="2" s="1"/>
  <c r="AB49" i="2"/>
  <c r="AB51" i="2" s="1"/>
  <c r="Z49" i="2"/>
  <c r="Y49" i="2"/>
  <c r="Y51" i="2" s="1"/>
  <c r="X49" i="2"/>
  <c r="X51" i="2" s="1"/>
  <c r="W49" i="2"/>
  <c r="W51" i="2" s="1"/>
  <c r="W53" i="2" s="1"/>
  <c r="U49" i="2"/>
  <c r="T49" i="2"/>
  <c r="T51" i="2" s="1"/>
  <c r="S49" i="2"/>
  <c r="S51" i="2" s="1"/>
  <c r="R49" i="2"/>
  <c r="R51" i="2" s="1"/>
  <c r="P49" i="2"/>
  <c r="O49" i="2"/>
  <c r="O51" i="2" s="1"/>
  <c r="N49" i="2"/>
  <c r="N51" i="2" s="1"/>
  <c r="M49" i="2"/>
  <c r="M51" i="2" s="1"/>
  <c r="Z48" i="2"/>
  <c r="U48" i="2"/>
  <c r="P48" i="2"/>
  <c r="Z47" i="2"/>
  <c r="U47" i="2"/>
  <c r="P47" i="2"/>
  <c r="Z46" i="2"/>
  <c r="U46" i="2"/>
  <c r="P46" i="2"/>
  <c r="Z45" i="2"/>
  <c r="U45" i="2"/>
  <c r="P45" i="2"/>
  <c r="Z44" i="2"/>
  <c r="U44" i="2"/>
  <c r="P44" i="2"/>
  <c r="Z42" i="2"/>
  <c r="U42" i="2"/>
  <c r="P42" i="2"/>
  <c r="Z40" i="2"/>
  <c r="U40" i="2"/>
  <c r="P40" i="2"/>
  <c r="Z39" i="2"/>
  <c r="U39" i="2"/>
  <c r="P39" i="2"/>
  <c r="Z38" i="2"/>
  <c r="U38" i="2"/>
  <c r="P38" i="2"/>
  <c r="Z37" i="2"/>
  <c r="U37" i="2"/>
  <c r="Z36" i="2"/>
  <c r="U36" i="2"/>
  <c r="P36" i="2"/>
  <c r="AD35" i="2"/>
  <c r="AD41" i="2" s="1"/>
  <c r="AC35" i="2"/>
  <c r="AC41" i="2" s="1"/>
  <c r="AC53" i="2" s="1"/>
  <c r="AB35" i="2"/>
  <c r="AB41" i="2" s="1"/>
  <c r="AB53" i="2" s="1"/>
  <c r="AA35" i="2"/>
  <c r="AA41" i="2" s="1"/>
  <c r="Y35" i="2"/>
  <c r="Y41" i="2" s="1"/>
  <c r="X35" i="2"/>
  <c r="X41" i="2" s="1"/>
  <c r="X53" i="2" s="1"/>
  <c r="W35" i="2"/>
  <c r="W41" i="2" s="1"/>
  <c r="V35" i="2"/>
  <c r="V41" i="2" s="1"/>
  <c r="T35" i="2"/>
  <c r="T41" i="2" s="1"/>
  <c r="S35" i="2"/>
  <c r="S41" i="2" s="1"/>
  <c r="S53" i="2" s="1"/>
  <c r="R35" i="2"/>
  <c r="R41" i="2" s="1"/>
  <c r="Q35" i="2"/>
  <c r="Q41" i="2" s="1"/>
  <c r="O35" i="2"/>
  <c r="O41" i="2" s="1"/>
  <c r="N35" i="2"/>
  <c r="N41" i="2" s="1"/>
  <c r="N53" i="2" s="1"/>
  <c r="M35" i="2"/>
  <c r="M41" i="2" s="1"/>
  <c r="M53" i="2" s="1"/>
  <c r="L35" i="2"/>
  <c r="L41" i="2" s="1"/>
  <c r="Z34" i="2"/>
  <c r="U34" i="2"/>
  <c r="P34" i="2"/>
  <c r="AW33" i="2"/>
  <c r="AT33" i="2"/>
  <c r="AS33" i="2"/>
  <c r="AR33" i="2"/>
  <c r="AQ33" i="2"/>
  <c r="Z33" i="2"/>
  <c r="Z79" i="2" s="1"/>
  <c r="Z80" i="2" s="1"/>
  <c r="U33" i="2"/>
  <c r="U79" i="2" s="1"/>
  <c r="U80" i="2" s="1"/>
  <c r="P33" i="2"/>
  <c r="Z32" i="2"/>
  <c r="U32" i="2"/>
  <c r="P32" i="2"/>
  <c r="BD31" i="2"/>
  <c r="BC31" i="2"/>
  <c r="BB31" i="2"/>
  <c r="BA31" i="2"/>
  <c r="AY31" i="2"/>
  <c r="AX31" i="2"/>
  <c r="AW31" i="2"/>
  <c r="AV31" i="2"/>
  <c r="AT31" i="2"/>
  <c r="AS31" i="2"/>
  <c r="AR31" i="2"/>
  <c r="AQ31" i="2"/>
  <c r="Z31" i="2"/>
  <c r="Z34" i="8" s="1"/>
  <c r="U31" i="2"/>
  <c r="U34" i="8" s="1"/>
  <c r="P31" i="2"/>
  <c r="P34" i="8" s="1"/>
  <c r="BA30" i="2"/>
  <c r="AW30" i="2"/>
  <c r="AV30" i="2"/>
  <c r="AT30" i="2"/>
  <c r="AS30" i="2"/>
  <c r="AR30" i="2"/>
  <c r="AQ30" i="2"/>
  <c r="Z30" i="2"/>
  <c r="Z26" i="8" s="1"/>
  <c r="U30" i="2"/>
  <c r="U26" i="8" s="1"/>
  <c r="P30" i="2"/>
  <c r="P26" i="8" s="1"/>
  <c r="BD29" i="2"/>
  <c r="BC29" i="2"/>
  <c r="BB29" i="2"/>
  <c r="BA29" i="2"/>
  <c r="AY29" i="2"/>
  <c r="AX29" i="2"/>
  <c r="AW29" i="2"/>
  <c r="AV29" i="2"/>
  <c r="AT29" i="2"/>
  <c r="AS29" i="2"/>
  <c r="AR29" i="2"/>
  <c r="AQ29" i="2"/>
  <c r="Z29" i="2"/>
  <c r="Z85" i="2" s="1"/>
  <c r="Z86" i="2" s="1"/>
  <c r="U29" i="2"/>
  <c r="U85" i="2" s="1"/>
  <c r="U86" i="2" s="1"/>
  <c r="P29" i="2"/>
  <c r="BD28" i="2"/>
  <c r="BC28" i="2"/>
  <c r="BA28" i="2"/>
  <c r="AY28" i="2"/>
  <c r="AW28" i="2"/>
  <c r="AV28" i="2"/>
  <c r="AT28" i="2"/>
  <c r="AS28" i="2"/>
  <c r="AR28" i="2"/>
  <c r="AR35" i="2" s="1"/>
  <c r="AQ28" i="2"/>
  <c r="AQ35" i="2" s="1"/>
  <c r="Z28" i="2"/>
  <c r="U28" i="2"/>
  <c r="P28" i="2"/>
  <c r="P35" i="2" s="1"/>
  <c r="P41" i="2" s="1"/>
  <c r="P53" i="2" s="1"/>
  <c r="AA23" i="2"/>
  <c r="AA54" i="2" s="1"/>
  <c r="W23" i="2"/>
  <c r="W54" i="2" s="1"/>
  <c r="S23" i="2"/>
  <c r="S54" i="2" s="1"/>
  <c r="N23" i="2"/>
  <c r="N54" i="2" s="1"/>
  <c r="L23" i="2"/>
  <c r="Z22" i="2"/>
  <c r="U22" i="2"/>
  <c r="P22" i="2"/>
  <c r="Z21" i="2"/>
  <c r="U21" i="2"/>
  <c r="P21" i="2"/>
  <c r="Z20" i="2"/>
  <c r="U20" i="2"/>
  <c r="P20" i="2"/>
  <c r="Z19" i="2"/>
  <c r="U19" i="2"/>
  <c r="P19" i="2"/>
  <c r="Z18" i="2"/>
  <c r="U18" i="2"/>
  <c r="P18" i="2"/>
  <c r="Z17" i="2"/>
  <c r="U17" i="2"/>
  <c r="P17" i="2"/>
  <c r="Z16" i="2"/>
  <c r="U16" i="2"/>
  <c r="P16" i="2"/>
  <c r="AD15" i="2"/>
  <c r="AD76" i="2" s="1"/>
  <c r="AC15" i="2"/>
  <c r="AB15" i="2"/>
  <c r="AB76" i="2" s="1"/>
  <c r="AA15" i="2"/>
  <c r="AA76" i="2" s="1"/>
  <c r="Y15" i="2"/>
  <c r="X15" i="2"/>
  <c r="X76" i="2" s="1"/>
  <c r="W15" i="2"/>
  <c r="W76" i="2" s="1"/>
  <c r="V15" i="2"/>
  <c r="V76" i="2" s="1"/>
  <c r="T15" i="2"/>
  <c r="T76" i="2" s="1"/>
  <c r="S15" i="2"/>
  <c r="S76" i="2" s="1"/>
  <c r="R15" i="2"/>
  <c r="R76" i="2" s="1"/>
  <c r="Q15" i="2"/>
  <c r="Q76" i="2" s="1"/>
  <c r="O15" i="2"/>
  <c r="O23" i="2" s="1"/>
  <c r="N15" i="2"/>
  <c r="M15" i="2"/>
  <c r="M23" i="2" s="1"/>
  <c r="L15" i="2"/>
  <c r="BD14" i="2"/>
  <c r="BD73" i="2" s="1"/>
  <c r="BC14" i="2"/>
  <c r="BC73" i="2" s="1"/>
  <c r="BB14" i="2"/>
  <c r="BB73" i="2" s="1"/>
  <c r="BA14" i="2"/>
  <c r="BA73" i="2" s="1"/>
  <c r="AY14" i="2"/>
  <c r="AY73" i="2" s="1"/>
  <c r="AX14" i="2"/>
  <c r="AX73" i="2" s="1"/>
  <c r="AW14" i="2"/>
  <c r="AW73" i="2" s="1"/>
  <c r="AV14" i="2"/>
  <c r="AV73" i="2" s="1"/>
  <c r="AT14" i="2"/>
  <c r="AT73" i="2" s="1"/>
  <c r="AS14" i="2"/>
  <c r="AS73" i="2" s="1"/>
  <c r="AR14" i="2"/>
  <c r="AR73" i="2" s="1"/>
  <c r="AQ14" i="2"/>
  <c r="AQ73" i="2" s="1"/>
  <c r="Z14" i="2"/>
  <c r="Z68" i="2" s="1"/>
  <c r="U14" i="2"/>
  <c r="U73" i="2" s="1"/>
  <c r="P14" i="2"/>
  <c r="BD13" i="2"/>
  <c r="BC13" i="2"/>
  <c r="BB13" i="2"/>
  <c r="BA13" i="2"/>
  <c r="AY13" i="2"/>
  <c r="AX13" i="2"/>
  <c r="AW13" i="2"/>
  <c r="AV13" i="2"/>
  <c r="AT13" i="2"/>
  <c r="AS13" i="2"/>
  <c r="AR13" i="2"/>
  <c r="AQ13" i="2"/>
  <c r="Z13" i="2"/>
  <c r="Z60" i="2" s="1"/>
  <c r="Z62" i="2" s="1"/>
  <c r="U13" i="2"/>
  <c r="U60" i="2" s="1"/>
  <c r="U62" i="2" s="1"/>
  <c r="P13" i="2"/>
  <c r="Z12" i="2"/>
  <c r="U12" i="2"/>
  <c r="P12" i="2"/>
  <c r="BB11" i="2"/>
  <c r="AX11" i="2"/>
  <c r="BC11" i="2" s="1"/>
  <c r="AT11" i="2"/>
  <c r="AY11" i="2" s="1"/>
  <c r="BD11" i="2" s="1"/>
  <c r="AR11" i="2"/>
  <c r="AW11" i="2" s="1"/>
  <c r="AP11" i="2"/>
  <c r="AU11" i="2" s="1"/>
  <c r="AZ11" i="2" s="1"/>
  <c r="BE11" i="2" s="1"/>
  <c r="AO11" i="2"/>
  <c r="AN11" i="2"/>
  <c r="AS11" i="2" s="1"/>
  <c r="AS15" i="2" s="1"/>
  <c r="AS76" i="2" s="1"/>
  <c r="AM11" i="2"/>
  <c r="AL11" i="2"/>
  <c r="AQ11" i="2" s="1"/>
  <c r="AV11" i="2" s="1"/>
  <c r="BA11" i="2" s="1"/>
  <c r="Z11" i="2"/>
  <c r="U11" i="2"/>
  <c r="AF11" i="2" s="1"/>
  <c r="AK11" i="2" s="1"/>
  <c r="P11" i="2"/>
  <c r="BC10" i="2"/>
  <c r="BC15" i="2" s="1"/>
  <c r="BC76" i="2" s="1"/>
  <c r="AS10" i="2"/>
  <c r="AX10" i="2" s="1"/>
  <c r="AX15" i="2" s="1"/>
  <c r="AX76" i="2" s="1"/>
  <c r="AQ10" i="2"/>
  <c r="AO10" i="2"/>
  <c r="AT10" i="2" s="1"/>
  <c r="AT15" i="2" s="1"/>
  <c r="AT76" i="2" s="1"/>
  <c r="AN10" i="2"/>
  <c r="AM10" i="2"/>
  <c r="AL10" i="2"/>
  <c r="Z10" i="2"/>
  <c r="U10" i="2"/>
  <c r="P10" i="2"/>
  <c r="P15" i="2" s="1"/>
  <c r="P23" i="2" s="1"/>
  <c r="V5" i="2"/>
  <c r="R5" i="2"/>
  <c r="Q5" i="2"/>
  <c r="Q5" i="5" s="1"/>
  <c r="N5" i="2"/>
  <c r="M5" i="2"/>
  <c r="I5" i="2"/>
  <c r="H5" i="2"/>
  <c r="E5" i="2"/>
  <c r="F5" i="2" s="1"/>
  <c r="G5" i="2" s="1"/>
  <c r="D5" i="2"/>
  <c r="B5" i="2"/>
  <c r="AX4" i="2"/>
  <c r="BC4" i="2" s="1"/>
  <c r="AV4" i="2"/>
  <c r="BA4" i="2" s="1"/>
  <c r="AT4" i="2"/>
  <c r="AY4" i="2" s="1"/>
  <c r="BD4" i="2" s="1"/>
  <c r="AS4" i="2"/>
  <c r="AR4" i="2"/>
  <c r="AW4" i="2" s="1"/>
  <c r="BB4" i="2" s="1"/>
  <c r="AQ4" i="2"/>
  <c r="V4" i="2"/>
  <c r="Q4" i="2"/>
  <c r="P4" i="2"/>
  <c r="O4" i="2"/>
  <c r="N4" i="2"/>
  <c r="M4" i="2"/>
  <c r="K4" i="2"/>
  <c r="J4" i="2"/>
  <c r="I4" i="2"/>
  <c r="H4" i="2"/>
  <c r="G4" i="2"/>
  <c r="F4" i="2"/>
  <c r="E4" i="2"/>
  <c r="D4" i="2"/>
  <c r="B4" i="2"/>
  <c r="C17" i="1"/>
  <c r="AA4" i="2" l="1"/>
  <c r="S4" i="2"/>
  <c r="U4" i="2"/>
  <c r="T4" i="2"/>
  <c r="R4" i="2"/>
  <c r="Z15" i="2"/>
  <c r="AF10" i="2"/>
  <c r="AY10" i="2"/>
  <c r="M54" i="2"/>
  <c r="AV10" i="2"/>
  <c r="AQ15" i="2"/>
  <c r="AQ76" i="2" s="1"/>
  <c r="P54" i="2"/>
  <c r="AR10" i="2"/>
  <c r="AC76" i="2"/>
  <c r="AC23" i="2"/>
  <c r="AC54" i="2" s="1"/>
  <c r="B5" i="13"/>
  <c r="B5" i="12"/>
  <c r="B5" i="8"/>
  <c r="B5" i="6"/>
  <c r="B5" i="7"/>
  <c r="B5" i="5"/>
  <c r="B5" i="3"/>
  <c r="U15" i="2"/>
  <c r="Y76" i="2"/>
  <c r="Y23" i="2"/>
  <c r="O53" i="2"/>
  <c r="O54" i="2" s="1"/>
  <c r="T53" i="2"/>
  <c r="M4" i="3"/>
  <c r="P4" i="3"/>
  <c r="V4" i="3"/>
  <c r="AA4" i="3" s="1"/>
  <c r="AF4" i="3" s="1"/>
  <c r="O4" i="3"/>
  <c r="N4" i="3"/>
  <c r="R4" i="3"/>
  <c r="N7" i="12"/>
  <c r="N9" i="8"/>
  <c r="N10" i="8" s="1"/>
  <c r="N38" i="5"/>
  <c r="N20" i="3"/>
  <c r="N53" i="3"/>
  <c r="N11" i="3"/>
  <c r="N61" i="3"/>
  <c r="N47" i="3"/>
  <c r="N56" i="3"/>
  <c r="N52" i="3"/>
  <c r="I5" i="12"/>
  <c r="I5" i="6"/>
  <c r="I5" i="7"/>
  <c r="I5" i="8"/>
  <c r="I5" i="3"/>
  <c r="N5" i="12"/>
  <c r="N5" i="7"/>
  <c r="N5" i="8"/>
  <c r="N5" i="6"/>
  <c r="R5" i="12"/>
  <c r="R5" i="8"/>
  <c r="R5" i="7"/>
  <c r="R5" i="6"/>
  <c r="V5" i="12"/>
  <c r="V5" i="7"/>
  <c r="V5" i="8"/>
  <c r="V5" i="6"/>
  <c r="V5" i="3"/>
  <c r="V5" i="5"/>
  <c r="L54" i="2"/>
  <c r="U82" i="2"/>
  <c r="U83" i="2" s="1"/>
  <c r="U35" i="2"/>
  <c r="U41" i="2" s="1"/>
  <c r="U53" i="2" s="1"/>
  <c r="AS35" i="2"/>
  <c r="AW35" i="2"/>
  <c r="P7" i="12"/>
  <c r="P9" i="8"/>
  <c r="P61" i="3"/>
  <c r="P56" i="3"/>
  <c r="P57" i="3" s="1"/>
  <c r="P52" i="3"/>
  <c r="P47" i="3"/>
  <c r="P48" i="3" s="1"/>
  <c r="V9" i="8"/>
  <c r="V10" i="8" s="1"/>
  <c r="V31" i="6"/>
  <c r="V20" i="3"/>
  <c r="V38" i="5"/>
  <c r="V44" i="5" s="1"/>
  <c r="V11" i="3"/>
  <c r="V8" i="12" s="1"/>
  <c r="V61" i="2"/>
  <c r="R61" i="2"/>
  <c r="Z9" i="8"/>
  <c r="Z10" i="8" s="1"/>
  <c r="Z11" i="3"/>
  <c r="Z61" i="3"/>
  <c r="Z62" i="3" s="1"/>
  <c r="AD9" i="8"/>
  <c r="AD10" i="8" s="1"/>
  <c r="AD20" i="3"/>
  <c r="AD38" i="5"/>
  <c r="AD53" i="3"/>
  <c r="AI53" i="3" s="1"/>
  <c r="AD11" i="3"/>
  <c r="AD8" i="12" s="1"/>
  <c r="AD61" i="3"/>
  <c r="AA9" i="12"/>
  <c r="AA12" i="12"/>
  <c r="AA28" i="3"/>
  <c r="AA21" i="3"/>
  <c r="V52" i="3"/>
  <c r="V56" i="3" s="1"/>
  <c r="P53" i="3"/>
  <c r="V57" i="3"/>
  <c r="Z56" i="3"/>
  <c r="N62" i="3"/>
  <c r="Z11" i="6"/>
  <c r="AE10" i="6"/>
  <c r="AJ10" i="6" s="1"/>
  <c r="AO10" i="6" s="1"/>
  <c r="AT10" i="6" s="1"/>
  <c r="AY10" i="6" s="1"/>
  <c r="BD10" i="6" s="1"/>
  <c r="AJ15" i="6"/>
  <c r="AI14" i="6"/>
  <c r="AN14" i="6" s="1"/>
  <c r="AS14" i="6" s="1"/>
  <c r="AX14" i="6" s="1"/>
  <c r="BC14" i="6" s="1"/>
  <c r="T7" i="12"/>
  <c r="T8" i="7"/>
  <c r="AB7" i="12"/>
  <c r="AB8" i="7"/>
  <c r="AR23" i="6"/>
  <c r="S7" i="12"/>
  <c r="S10" i="12" s="1"/>
  <c r="S8" i="7"/>
  <c r="S28" i="3"/>
  <c r="S21" i="3"/>
  <c r="C11" i="13"/>
  <c r="AA13" i="12"/>
  <c r="AD62" i="3"/>
  <c r="AG66" i="3"/>
  <c r="AL66" i="3" s="1"/>
  <c r="AJ66" i="3"/>
  <c r="AO66" i="3" s="1"/>
  <c r="AI66" i="3"/>
  <c r="AN66" i="3" s="1"/>
  <c r="B4" i="13"/>
  <c r="B4" i="12"/>
  <c r="B4" i="10"/>
  <c r="B4" i="8"/>
  <c r="B4" i="9"/>
  <c r="P241" i="9" s="1"/>
  <c r="B4" i="7"/>
  <c r="B4" i="6"/>
  <c r="B4" i="3"/>
  <c r="J5" i="2"/>
  <c r="O5" i="2"/>
  <c r="S5" i="2"/>
  <c r="W5" i="2"/>
  <c r="AA5" i="2"/>
  <c r="R23" i="2"/>
  <c r="R54" i="2" s="1"/>
  <c r="V23" i="2"/>
  <c r="V54" i="2" s="1"/>
  <c r="AD23" i="2"/>
  <c r="Z82" i="2"/>
  <c r="Z83" i="2" s="1"/>
  <c r="Z35" i="2"/>
  <c r="Z41" i="2" s="1"/>
  <c r="Z53" i="2" s="1"/>
  <c r="AT35" i="2"/>
  <c r="R62" i="2"/>
  <c r="V62" i="2"/>
  <c r="U9" i="8"/>
  <c r="U56" i="3"/>
  <c r="U57" i="3" s="1"/>
  <c r="U52" i="3"/>
  <c r="U47" i="3"/>
  <c r="U20" i="3"/>
  <c r="U11" i="3"/>
  <c r="R9" i="8"/>
  <c r="R10" i="8" s="1"/>
  <c r="R38" i="5"/>
  <c r="R44" i="5" s="1"/>
  <c r="R20" i="3"/>
  <c r="R53" i="3"/>
  <c r="R11" i="3"/>
  <c r="R61" i="3"/>
  <c r="P11" i="3"/>
  <c r="O9" i="12"/>
  <c r="O28" i="3"/>
  <c r="O21" i="3"/>
  <c r="V47" i="3"/>
  <c r="V61" i="3" s="1"/>
  <c r="V62" i="3" s="1"/>
  <c r="Z52" i="3"/>
  <c r="N57" i="3"/>
  <c r="R57" i="3"/>
  <c r="AD56" i="3"/>
  <c r="AD57" i="3" s="1"/>
  <c r="Y62" i="3"/>
  <c r="AC62" i="3"/>
  <c r="U61" i="3"/>
  <c r="U62" i="3" s="1"/>
  <c r="Z63" i="5"/>
  <c r="H5" i="12"/>
  <c r="H5" i="8"/>
  <c r="H5" i="6"/>
  <c r="H5" i="7"/>
  <c r="H5" i="5"/>
  <c r="H5" i="3"/>
  <c r="M5" i="12"/>
  <c r="M5" i="6"/>
  <c r="M5" i="7"/>
  <c r="M5" i="8"/>
  <c r="Q5" i="12"/>
  <c r="Q5" i="6"/>
  <c r="Q5" i="8"/>
  <c r="Q5" i="7"/>
  <c r="Q5" i="3"/>
  <c r="T23" i="2"/>
  <c r="T54" i="2" s="1"/>
  <c r="X23" i="2"/>
  <c r="X54" i="2" s="1"/>
  <c r="AB23" i="2"/>
  <c r="AB54" i="2" s="1"/>
  <c r="Y53" i="2"/>
  <c r="AD53" i="2"/>
  <c r="Z73" i="2"/>
  <c r="Z19" i="8"/>
  <c r="Z23" i="8" s="1"/>
  <c r="Z27" i="8" s="1"/>
  <c r="Z28" i="8" s="1"/>
  <c r="Z46" i="3"/>
  <c r="Z48" i="3" s="1"/>
  <c r="Z19" i="3"/>
  <c r="Z20" i="3" s="1"/>
  <c r="U13" i="8"/>
  <c r="U14" i="8" s="1"/>
  <c r="U31" i="8"/>
  <c r="U35" i="8" s="1"/>
  <c r="U36" i="8" s="1"/>
  <c r="U53" i="3"/>
  <c r="U51" i="3"/>
  <c r="Z57" i="3"/>
  <c r="W28" i="3"/>
  <c r="W21" i="3"/>
  <c r="P62" i="3"/>
  <c r="U27" i="3"/>
  <c r="N48" i="3"/>
  <c r="R48" i="3"/>
  <c r="AD47" i="3"/>
  <c r="AD48" i="3" s="1"/>
  <c r="AI48" i="3" s="1"/>
  <c r="R52" i="3"/>
  <c r="R62" i="3"/>
  <c r="B4" i="5"/>
  <c r="I5" i="5"/>
  <c r="P38" i="5"/>
  <c r="AI38" i="5"/>
  <c r="O7" i="12"/>
  <c r="O9" i="8"/>
  <c r="O10" i="8" s="1"/>
  <c r="AA9" i="8"/>
  <c r="AA10" i="8" s="1"/>
  <c r="AA31" i="6"/>
  <c r="M11" i="3"/>
  <c r="Q11" i="3"/>
  <c r="Q8" i="12" s="1"/>
  <c r="Y11" i="3"/>
  <c r="AC11" i="3"/>
  <c r="AC8" i="12" s="1"/>
  <c r="Z31" i="8"/>
  <c r="Z35" i="8" s="1"/>
  <c r="Z36" i="8" s="1"/>
  <c r="Z13" i="8"/>
  <c r="L9" i="12"/>
  <c r="L10" i="12" s="1"/>
  <c r="T20" i="3"/>
  <c r="X20" i="3"/>
  <c r="AB20" i="3"/>
  <c r="U46" i="3"/>
  <c r="U48" i="3" s="1"/>
  <c r="O47" i="3"/>
  <c r="O48" i="3" s="1"/>
  <c r="S47" i="3"/>
  <c r="S48" i="3" s="1"/>
  <c r="W47" i="3"/>
  <c r="W48" i="3" s="1"/>
  <c r="AA47" i="3"/>
  <c r="AA61" i="3" s="1"/>
  <c r="AA62" i="3" s="1"/>
  <c r="O52" i="3"/>
  <c r="S52" i="3"/>
  <c r="W52" i="3"/>
  <c r="AA52" i="3"/>
  <c r="AA56" i="3" s="1"/>
  <c r="AA57" i="3" s="1"/>
  <c r="M53" i="3"/>
  <c r="Y53" i="3"/>
  <c r="AC53" i="3"/>
  <c r="AH53" i="3" s="1"/>
  <c r="O56" i="3"/>
  <c r="O57" i="3" s="1"/>
  <c r="S56" i="3"/>
  <c r="S57" i="3" s="1"/>
  <c r="W56" i="3"/>
  <c r="W57" i="3" s="1"/>
  <c r="L4" i="5"/>
  <c r="U9" i="5"/>
  <c r="U34" i="5" s="1"/>
  <c r="T38" i="5"/>
  <c r="T44" i="5" s="1"/>
  <c r="Y38" i="5"/>
  <c r="Y44" i="5" s="1"/>
  <c r="AC38" i="5"/>
  <c r="AC44" i="5" s="1"/>
  <c r="AJ14" i="6"/>
  <c r="AO14" i="6" s="1"/>
  <c r="AT14" i="6" s="1"/>
  <c r="AY14" i="6" s="1"/>
  <c r="BD14" i="6" s="1"/>
  <c r="AV23" i="6"/>
  <c r="AI23" i="6"/>
  <c r="AJ24" i="6"/>
  <c r="P19" i="8"/>
  <c r="P23" i="8" s="1"/>
  <c r="P27" i="8" s="1"/>
  <c r="P28" i="8" s="1"/>
  <c r="P19" i="3"/>
  <c r="P20" i="3" s="1"/>
  <c r="M20" i="3"/>
  <c r="Q20" i="3"/>
  <c r="Y20" i="3"/>
  <c r="AC20" i="3"/>
  <c r="V33" i="3"/>
  <c r="T47" i="3"/>
  <c r="T48" i="3" s="1"/>
  <c r="X47" i="3"/>
  <c r="X48" i="3" s="1"/>
  <c r="AB47" i="3"/>
  <c r="AB48" i="3" s="1"/>
  <c r="AG48" i="3" s="1"/>
  <c r="Z51" i="3"/>
  <c r="T52" i="3"/>
  <c r="X52" i="3"/>
  <c r="AB52" i="3"/>
  <c r="Z53" i="3"/>
  <c r="T56" i="3"/>
  <c r="T57" i="3" s="1"/>
  <c r="X56" i="3"/>
  <c r="X57" i="3" s="1"/>
  <c r="AB56" i="3"/>
  <c r="AB57" i="3" s="1"/>
  <c r="O61" i="3"/>
  <c r="O62" i="3" s="1"/>
  <c r="S61" i="3"/>
  <c r="S62" i="3" s="1"/>
  <c r="W61" i="3"/>
  <c r="W62" i="3" s="1"/>
  <c r="W15" i="12"/>
  <c r="AQ14" i="6"/>
  <c r="AV14" i="6" s="1"/>
  <c r="BA14" i="6" s="1"/>
  <c r="X7" i="12"/>
  <c r="X8" i="7"/>
  <c r="AD7" i="12"/>
  <c r="AD8" i="7"/>
  <c r="W7" i="12"/>
  <c r="W10" i="12" s="1"/>
  <c r="W8" i="7"/>
  <c r="W9" i="7" s="1"/>
  <c r="AV28" i="6"/>
  <c r="I4" i="3"/>
  <c r="M7" i="12"/>
  <c r="M9" i="8"/>
  <c r="Q9" i="8"/>
  <c r="Q31" i="6"/>
  <c r="O11" i="3"/>
  <c r="S11" i="3"/>
  <c r="W11" i="3"/>
  <c r="AA11" i="3"/>
  <c r="AA8" i="12" s="1"/>
  <c r="U19" i="8"/>
  <c r="U23" i="8" s="1"/>
  <c r="U27" i="8" s="1"/>
  <c r="U28" i="8" s="1"/>
  <c r="P31" i="8"/>
  <c r="P13" i="8"/>
  <c r="L21" i="3"/>
  <c r="L27" i="3"/>
  <c r="AA33" i="3"/>
  <c r="M47" i="3"/>
  <c r="M48" i="3" s="1"/>
  <c r="Q47" i="3"/>
  <c r="Q61" i="3" s="1"/>
  <c r="Q62" i="3" s="1"/>
  <c r="Y47" i="3"/>
  <c r="Y48" i="3" s="1"/>
  <c r="AC47" i="3"/>
  <c r="AC48" i="3" s="1"/>
  <c r="AH48" i="3" s="1"/>
  <c r="M52" i="3"/>
  <c r="Q52" i="3"/>
  <c r="Q56" i="3" s="1"/>
  <c r="Q57" i="3" s="1"/>
  <c r="Y52" i="3"/>
  <c r="AC52" i="3"/>
  <c r="O53" i="3"/>
  <c r="S53" i="3"/>
  <c r="W53" i="3"/>
  <c r="M56" i="3"/>
  <c r="M57" i="3" s="1"/>
  <c r="Y56" i="3"/>
  <c r="Y57" i="3" s="1"/>
  <c r="AC56" i="3"/>
  <c r="AC57" i="3" s="1"/>
  <c r="T61" i="3"/>
  <c r="T62" i="3" s="1"/>
  <c r="X61" i="3"/>
  <c r="X62" i="3" s="1"/>
  <c r="AB61" i="3"/>
  <c r="AB62" i="3" s="1"/>
  <c r="U11" i="5"/>
  <c r="U12" i="5" s="1"/>
  <c r="W38" i="5"/>
  <c r="AA38" i="5"/>
  <c r="AI28" i="6"/>
  <c r="AJ29" i="6"/>
  <c r="AF10" i="6"/>
  <c r="AF11" i="6" s="1"/>
  <c r="W11" i="6"/>
  <c r="Y19" i="6"/>
  <c r="AC19" i="6"/>
  <c r="W24" i="6"/>
  <c r="T26" i="6"/>
  <c r="U26" i="6" s="1"/>
  <c r="W29" i="6"/>
  <c r="Y31" i="6"/>
  <c r="AC31" i="6"/>
  <c r="T9" i="7"/>
  <c r="U17" i="7"/>
  <c r="S27" i="8"/>
  <c r="S24" i="8"/>
  <c r="X27" i="8"/>
  <c r="X28" i="8" s="1"/>
  <c r="X24" i="8"/>
  <c r="AG10" i="6"/>
  <c r="X11" i="6"/>
  <c r="AF14" i="6"/>
  <c r="AF15" i="6" s="1"/>
  <c r="U18" i="6"/>
  <c r="U31" i="6" s="1"/>
  <c r="Z18" i="6"/>
  <c r="AI18" i="6"/>
  <c r="AN18" i="6" s="1"/>
  <c r="AS18" i="6" s="1"/>
  <c r="AX18" i="6" s="1"/>
  <c r="BC18" i="6" s="1"/>
  <c r="AD19" i="6"/>
  <c r="X24" i="6"/>
  <c r="AB24" i="6"/>
  <c r="Z26" i="6"/>
  <c r="AD26" i="6"/>
  <c r="Z28" i="6"/>
  <c r="X29" i="6"/>
  <c r="AB29" i="6"/>
  <c r="R31" i="6"/>
  <c r="AA14" i="12"/>
  <c r="AA17" i="7"/>
  <c r="V17" i="7"/>
  <c r="BC27" i="8"/>
  <c r="BC26" i="8" s="1"/>
  <c r="BC30" i="2" s="1"/>
  <c r="BC35" i="2" s="1"/>
  <c r="BC22" i="8"/>
  <c r="BC33" i="2" s="1"/>
  <c r="T24" i="8"/>
  <c r="AA36" i="8"/>
  <c r="AH28" i="6"/>
  <c r="Y29" i="6"/>
  <c r="S14" i="12"/>
  <c r="S17" i="7"/>
  <c r="Q17" i="7"/>
  <c r="P8" i="8"/>
  <c r="Q10" i="8"/>
  <c r="Q16" i="8"/>
  <c r="Q40" i="8" s="1"/>
  <c r="U10" i="8"/>
  <c r="U16" i="8"/>
  <c r="Y16" i="8"/>
  <c r="Y40" i="8" s="1"/>
  <c r="Y10" i="8"/>
  <c r="AC16" i="8"/>
  <c r="AC10" i="8"/>
  <c r="AY27" i="8"/>
  <c r="AY26" i="8" s="1"/>
  <c r="AY30" i="2" s="1"/>
  <c r="AY35" i="2" s="1"/>
  <c r="AY22" i="8"/>
  <c r="AY33" i="2" s="1"/>
  <c r="BD27" i="8"/>
  <c r="BD26" i="8" s="1"/>
  <c r="BD30" i="2" s="1"/>
  <c r="BD35" i="2" s="1"/>
  <c r="BD22" i="8"/>
  <c r="BD33" i="2" s="1"/>
  <c r="Z24" i="8"/>
  <c r="S28" i="8"/>
  <c r="U32" i="8"/>
  <c r="Z32" i="8"/>
  <c r="W36" i="8"/>
  <c r="AI10" i="6"/>
  <c r="AN10" i="6" s="1"/>
  <c r="AS10" i="6" s="1"/>
  <c r="AX10" i="6" s="1"/>
  <c r="BC10" i="6" s="1"/>
  <c r="AH14" i="6"/>
  <c r="AM14" i="6" s="1"/>
  <c r="AR14" i="6" s="1"/>
  <c r="AW14" i="6" s="1"/>
  <c r="BB14" i="6" s="1"/>
  <c r="AG18" i="6"/>
  <c r="X19" i="6"/>
  <c r="AB19" i="6"/>
  <c r="AE23" i="6"/>
  <c r="X26" i="6"/>
  <c r="AB26" i="6"/>
  <c r="S9" i="7"/>
  <c r="T14" i="12"/>
  <c r="T17" i="7"/>
  <c r="R17" i="7"/>
  <c r="M16" i="8"/>
  <c r="M40" i="8" s="1"/>
  <c r="M10" i="8"/>
  <c r="R40" i="8"/>
  <c r="R42" i="8" s="1"/>
  <c r="V42" i="8"/>
  <c r="AT42" i="8"/>
  <c r="W27" i="8"/>
  <c r="W28" i="8" s="1"/>
  <c r="W24" i="8"/>
  <c r="AB24" i="8"/>
  <c r="AB27" i="8"/>
  <c r="AB28" i="8" s="1"/>
  <c r="S36" i="8"/>
  <c r="Z14" i="8"/>
  <c r="P20" i="8"/>
  <c r="AX23" i="8"/>
  <c r="AX18" i="8"/>
  <c r="BB23" i="8"/>
  <c r="BB18" i="8"/>
  <c r="S20" i="8"/>
  <c r="AD20" i="8"/>
  <c r="N24" i="8"/>
  <c r="AD24" i="8"/>
  <c r="N28" i="8"/>
  <c r="R38" i="8"/>
  <c r="X38" i="8"/>
  <c r="X40" i="8" s="1"/>
  <c r="X42" i="8" s="1"/>
  <c r="AC38" i="8"/>
  <c r="F235" i="9"/>
  <c r="F203" i="9"/>
  <c r="J235" i="9"/>
  <c r="J203" i="9"/>
  <c r="N235" i="9"/>
  <c r="N203" i="9"/>
  <c r="N204" i="9" s="1"/>
  <c r="E154" i="9"/>
  <c r="E161" i="9"/>
  <c r="I154" i="9"/>
  <c r="I161" i="9"/>
  <c r="M154" i="9"/>
  <c r="M161" i="9"/>
  <c r="D156" i="9"/>
  <c r="D215" i="9" s="1"/>
  <c r="D163" i="9"/>
  <c r="H156" i="9"/>
  <c r="H215" i="9" s="1"/>
  <c r="H163" i="9"/>
  <c r="L156" i="9"/>
  <c r="L215" i="9" s="1"/>
  <c r="L163" i="9"/>
  <c r="T10" i="8"/>
  <c r="X10" i="8"/>
  <c r="AB10" i="8"/>
  <c r="P14" i="8"/>
  <c r="AA14" i="8"/>
  <c r="BC38" i="8"/>
  <c r="BC40" i="8" s="1"/>
  <c r="O20" i="8"/>
  <c r="U20" i="8"/>
  <c r="O24" i="8"/>
  <c r="S32" i="8"/>
  <c r="V32" i="8"/>
  <c r="T36" i="8"/>
  <c r="X36" i="8"/>
  <c r="T38" i="8"/>
  <c r="T40" i="8" s="1"/>
  <c r="T42" i="8" s="1"/>
  <c r="G235" i="9"/>
  <c r="G203" i="9"/>
  <c r="G204" i="9" s="1"/>
  <c r="K235" i="9"/>
  <c r="K203" i="9"/>
  <c r="K204" i="9" s="1"/>
  <c r="E163" i="9"/>
  <c r="E156" i="9"/>
  <c r="E215" i="9" s="1"/>
  <c r="I163" i="9"/>
  <c r="I156" i="9"/>
  <c r="I215" i="9" s="1"/>
  <c r="M163" i="9"/>
  <c r="M156" i="9"/>
  <c r="M215" i="9" s="1"/>
  <c r="O16" i="8"/>
  <c r="O40" i="8" s="1"/>
  <c r="S16" i="8"/>
  <c r="S40" i="8" s="1"/>
  <c r="S42" i="8" s="1"/>
  <c r="W16" i="8"/>
  <c r="W40" i="8" s="1"/>
  <c r="W42" i="8" s="1"/>
  <c r="AA16" i="8"/>
  <c r="AA38" i="8"/>
  <c r="Z18" i="8"/>
  <c r="AY38" i="8"/>
  <c r="AY40" i="8" s="1"/>
  <c r="Q20" i="8"/>
  <c r="V20" i="8"/>
  <c r="AA20" i="8"/>
  <c r="P22" i="8"/>
  <c r="P24" i="8" s="1"/>
  <c r="AV22" i="8"/>
  <c r="AV33" i="2" s="1"/>
  <c r="AV35" i="2" s="1"/>
  <c r="BA22" i="8"/>
  <c r="BA33" i="2" s="1"/>
  <c r="BA35" i="2" s="1"/>
  <c r="V24" i="8"/>
  <c r="AA24" i="8"/>
  <c r="M32" i="8"/>
  <c r="AC32" i="8"/>
  <c r="P38" i="8"/>
  <c r="D203" i="9"/>
  <c r="D204" i="9" s="1"/>
  <c r="D235" i="9"/>
  <c r="H235" i="9"/>
  <c r="H203" i="9"/>
  <c r="H204" i="9" s="1"/>
  <c r="L235" i="9"/>
  <c r="L203" i="9"/>
  <c r="L204" i="9" s="1"/>
  <c r="F156" i="9"/>
  <c r="F215" i="9" s="1"/>
  <c r="F163" i="9"/>
  <c r="J156" i="9"/>
  <c r="J215" i="9" s="1"/>
  <c r="J163" i="9"/>
  <c r="N156" i="9"/>
  <c r="N215" i="9" s="1"/>
  <c r="N163" i="9"/>
  <c r="G156" i="9"/>
  <c r="G215" i="9" s="1"/>
  <c r="G163" i="9"/>
  <c r="N40" i="8"/>
  <c r="N42" i="8" s="1"/>
  <c r="AD40" i="8"/>
  <c r="W20" i="8"/>
  <c r="U22" i="8"/>
  <c r="U24" i="8" s="1"/>
  <c r="R28" i="8"/>
  <c r="V28" i="8"/>
  <c r="AD28" i="8"/>
  <c r="AB38" i="8"/>
  <c r="AB40" i="8" s="1"/>
  <c r="E203" i="9"/>
  <c r="E204" i="9" s="1"/>
  <c r="E235" i="9"/>
  <c r="I203" i="9"/>
  <c r="I235" i="9"/>
  <c r="M235" i="9"/>
  <c r="M203" i="9"/>
  <c r="G155" i="9"/>
  <c r="G162" i="9"/>
  <c r="K155" i="9"/>
  <c r="K162" i="9"/>
  <c r="D154" i="9"/>
  <c r="D161" i="9"/>
  <c r="H154" i="9"/>
  <c r="H161" i="9"/>
  <c r="L154" i="9"/>
  <c r="L161" i="9"/>
  <c r="K156" i="9"/>
  <c r="K215" i="9" s="1"/>
  <c r="K163" i="9"/>
  <c r="F204" i="9"/>
  <c r="J204" i="9"/>
  <c r="D162" i="9"/>
  <c r="D155" i="9"/>
  <c r="H162" i="9"/>
  <c r="H155" i="9"/>
  <c r="L162" i="9"/>
  <c r="L155" i="9"/>
  <c r="E155" i="9"/>
  <c r="E162" i="9"/>
  <c r="I155" i="9"/>
  <c r="I162" i="9"/>
  <c r="M155" i="9"/>
  <c r="M162" i="9"/>
  <c r="F154" i="9"/>
  <c r="F161" i="9"/>
  <c r="J154" i="9"/>
  <c r="J161" i="9"/>
  <c r="N154" i="9"/>
  <c r="N161" i="9"/>
  <c r="F155" i="9"/>
  <c r="F162" i="9"/>
  <c r="J155" i="9"/>
  <c r="J162" i="9"/>
  <c r="N155" i="9"/>
  <c r="N162" i="9"/>
  <c r="G78" i="9"/>
  <c r="K78" i="9"/>
  <c r="I204" i="9"/>
  <c r="M204" i="9"/>
  <c r="E172" i="9"/>
  <c r="E206" i="9" s="1"/>
  <c r="I172" i="9"/>
  <c r="I206" i="9" s="1"/>
  <c r="M172" i="9"/>
  <c r="M206" i="9" s="1"/>
  <c r="D238" i="9"/>
  <c r="F172" i="9"/>
  <c r="F206" i="9" s="1"/>
  <c r="J172" i="9"/>
  <c r="J206" i="9" s="1"/>
  <c r="N172" i="9"/>
  <c r="N206" i="9" s="1"/>
  <c r="K238" i="9"/>
  <c r="G172" i="9"/>
  <c r="G206" i="9" s="1"/>
  <c r="L238" i="9"/>
  <c r="H172" i="9"/>
  <c r="H206" i="9" s="1"/>
  <c r="G13" i="10"/>
  <c r="L13" i="10"/>
  <c r="Q13" i="10"/>
  <c r="F16" i="10"/>
  <c r="K16" i="10"/>
  <c r="P16" i="10"/>
  <c r="G17" i="10"/>
  <c r="L17" i="10"/>
  <c r="Q17" i="10"/>
  <c r="L34" i="10"/>
  <c r="L43" i="10" s="1"/>
  <c r="Q34" i="10"/>
  <c r="Q43" i="10" s="1"/>
  <c r="L35" i="10"/>
  <c r="L44" i="10" s="1"/>
  <c r="L53" i="10" s="1"/>
  <c r="Q35" i="10"/>
  <c r="Q44" i="10" s="1"/>
  <c r="Q53" i="10" s="1"/>
  <c r="L36" i="10"/>
  <c r="L45" i="10" s="1"/>
  <c r="Q36" i="10"/>
  <c r="Q45" i="10" s="1"/>
  <c r="L37" i="10"/>
  <c r="L46" i="10" s="1"/>
  <c r="L55" i="10" s="1"/>
  <c r="Q37" i="10"/>
  <c r="Q46" i="10" s="1"/>
  <c r="Q55" i="10" s="1"/>
  <c r="L38" i="10"/>
  <c r="L47" i="10" s="1"/>
  <c r="Q38" i="10"/>
  <c r="Q47" i="10" s="1"/>
  <c r="V54" i="10"/>
  <c r="T10" i="12"/>
  <c r="G16" i="10"/>
  <c r="L16" i="10"/>
  <c r="Q16" i="10"/>
  <c r="D17" i="10"/>
  <c r="H17" i="10"/>
  <c r="N17" i="10"/>
  <c r="S17" i="10"/>
  <c r="C30" i="10"/>
  <c r="C32" i="10"/>
  <c r="M34" i="10"/>
  <c r="M43" i="10" s="1"/>
  <c r="R34" i="10"/>
  <c r="R43" i="10" s="1"/>
  <c r="M35" i="10"/>
  <c r="M44" i="10" s="1"/>
  <c r="M53" i="10" s="1"/>
  <c r="R35" i="10"/>
  <c r="R44" i="10" s="1"/>
  <c r="R53" i="10" s="1"/>
  <c r="M36" i="10"/>
  <c r="M45" i="10" s="1"/>
  <c r="R36" i="10"/>
  <c r="R45" i="10" s="1"/>
  <c r="M37" i="10"/>
  <c r="M46" i="10" s="1"/>
  <c r="M55" i="10" s="1"/>
  <c r="R37" i="10"/>
  <c r="R46" i="10" s="1"/>
  <c r="R55" i="10" s="1"/>
  <c r="M38" i="10"/>
  <c r="M47" i="10" s="1"/>
  <c r="R38" i="10"/>
  <c r="R47" i="10" s="1"/>
  <c r="M39" i="10"/>
  <c r="E13" i="10"/>
  <c r="J13" i="10"/>
  <c r="O13" i="10"/>
  <c r="T13" i="10"/>
  <c r="F14" i="10"/>
  <c r="K14" i="10"/>
  <c r="P14" i="10"/>
  <c r="G15" i="10"/>
  <c r="L15" i="10"/>
  <c r="Q15" i="10"/>
  <c r="D16" i="10"/>
  <c r="H16" i="10"/>
  <c r="N16" i="10"/>
  <c r="S16" i="10"/>
  <c r="E17" i="10"/>
  <c r="J17" i="10"/>
  <c r="O17" i="10"/>
  <c r="T17" i="10"/>
  <c r="J34" i="10"/>
  <c r="J43" i="10" s="1"/>
  <c r="O34" i="10"/>
  <c r="O43" i="10" s="1"/>
  <c r="J35" i="10"/>
  <c r="J44" i="10" s="1"/>
  <c r="J53" i="10" s="1"/>
  <c r="O35" i="10"/>
  <c r="O44" i="10" s="1"/>
  <c r="O53" i="10" s="1"/>
  <c r="J36" i="10"/>
  <c r="J45" i="10" s="1"/>
  <c r="O36" i="10"/>
  <c r="O45" i="10" s="1"/>
  <c r="J37" i="10"/>
  <c r="J46" i="10" s="1"/>
  <c r="J55" i="10" s="1"/>
  <c r="O37" i="10"/>
  <c r="O46" i="10" s="1"/>
  <c r="O55" i="10" s="1"/>
  <c r="J38" i="10"/>
  <c r="J47" i="10" s="1"/>
  <c r="O38" i="10"/>
  <c r="O47" i="10" s="1"/>
  <c r="T54" i="10"/>
  <c r="S56" i="10"/>
  <c r="W56" i="10"/>
  <c r="P14" i="11"/>
  <c r="F13" i="10"/>
  <c r="K13" i="10"/>
  <c r="G14" i="10"/>
  <c r="L14" i="10"/>
  <c r="D15" i="10"/>
  <c r="H15" i="10"/>
  <c r="N15" i="10"/>
  <c r="E16" i="10"/>
  <c r="J16" i="10"/>
  <c r="O16" i="10"/>
  <c r="T16" i="10"/>
  <c r="F17" i="10"/>
  <c r="K17" i="10"/>
  <c r="C31" i="10"/>
  <c r="K34" i="10"/>
  <c r="K43" i="10" s="1"/>
  <c r="P34" i="10"/>
  <c r="P43" i="10" s="1"/>
  <c r="K35" i="10"/>
  <c r="K44" i="10" s="1"/>
  <c r="K53" i="10" s="1"/>
  <c r="P35" i="10"/>
  <c r="P44" i="10" s="1"/>
  <c r="P53" i="10" s="1"/>
  <c r="K36" i="10"/>
  <c r="K45" i="10" s="1"/>
  <c r="P36" i="10"/>
  <c r="P45" i="10" s="1"/>
  <c r="K37" i="10"/>
  <c r="K46" i="10" s="1"/>
  <c r="K55" i="10" s="1"/>
  <c r="P37" i="10"/>
  <c r="P46" i="10" s="1"/>
  <c r="P55" i="10" s="1"/>
  <c r="K38" i="10"/>
  <c r="K47" i="10" s="1"/>
  <c r="P38" i="10"/>
  <c r="P47" i="10" s="1"/>
  <c r="T56" i="10"/>
  <c r="U75" i="10" s="1"/>
  <c r="K9" i="11"/>
  <c r="K13" i="11" s="1"/>
  <c r="K17" i="11" s="1"/>
  <c r="M20" i="11" s="1"/>
  <c r="X10" i="12"/>
  <c r="K22" i="11"/>
  <c r="R18" i="12"/>
  <c r="S18" i="12"/>
  <c r="T18" i="12"/>
  <c r="U18" i="12"/>
  <c r="R31" i="13"/>
  <c r="S31" i="13" s="1"/>
  <c r="R33" i="13"/>
  <c r="S33" i="13" s="1"/>
  <c r="R35" i="13"/>
  <c r="S35" i="13" s="1"/>
  <c r="R37" i="13"/>
  <c r="S37" i="13" s="1"/>
  <c r="R39" i="13"/>
  <c r="S39" i="13" s="1"/>
  <c r="R41" i="13"/>
  <c r="S41" i="13" s="1"/>
  <c r="E236" i="9" l="1"/>
  <c r="E240" i="9" s="1"/>
  <c r="E207" i="9"/>
  <c r="U7" i="12"/>
  <c r="U10" i="12" s="1"/>
  <c r="U8" i="7"/>
  <c r="U9" i="7" s="1"/>
  <c r="AM48" i="3"/>
  <c r="AN48" i="3"/>
  <c r="Z28" i="3"/>
  <c r="Z21" i="3"/>
  <c r="AG57" i="3"/>
  <c r="AJ57" i="3"/>
  <c r="AI57" i="3"/>
  <c r="AH57" i="3"/>
  <c r="N207" i="9"/>
  <c r="N236" i="9"/>
  <c r="N240" i="9" s="1"/>
  <c r="P9" i="12"/>
  <c r="P10" i="12" s="1"/>
  <c r="P21" i="3"/>
  <c r="P28" i="3"/>
  <c r="K56" i="10"/>
  <c r="K54" i="10"/>
  <c r="O56" i="10"/>
  <c r="O54" i="10"/>
  <c r="L54" i="10"/>
  <c r="L56" i="10"/>
  <c r="G161" i="9"/>
  <c r="G154" i="9"/>
  <c r="J236" i="9"/>
  <c r="J240" i="9" s="1"/>
  <c r="J207" i="9"/>
  <c r="D236" i="9"/>
  <c r="D207" i="9"/>
  <c r="AX28" i="2"/>
  <c r="AJ23" i="6"/>
  <c r="AF23" i="6"/>
  <c r="AH26" i="6"/>
  <c r="AH8" i="3" s="1"/>
  <c r="BA38" i="8"/>
  <c r="BA40" i="8" s="1"/>
  <c r="Y7" i="12"/>
  <c r="Y10" i="12" s="1"/>
  <c r="Y8" i="7"/>
  <c r="BA28" i="6"/>
  <c r="AL48" i="3"/>
  <c r="AC9" i="12"/>
  <c r="AC28" i="3"/>
  <c r="AC21" i="3"/>
  <c r="T21" i="3"/>
  <c r="T28" i="3"/>
  <c r="Q53" i="3"/>
  <c r="O10" i="12"/>
  <c r="AD54" i="2"/>
  <c r="W5" i="12"/>
  <c r="W5" i="8"/>
  <c r="W5" i="6"/>
  <c r="W5" i="7"/>
  <c r="X5" i="2"/>
  <c r="AA48" i="3"/>
  <c r="U44" i="5"/>
  <c r="Y54" i="2"/>
  <c r="AK10" i="2"/>
  <c r="J56" i="10"/>
  <c r="U73" i="10" s="1"/>
  <c r="J54" i="10"/>
  <c r="M21" i="11"/>
  <c r="K240" i="9"/>
  <c r="D240" i="9"/>
  <c r="M236" i="9"/>
  <c r="M240" i="9" s="1"/>
  <c r="M207" i="9"/>
  <c r="F236" i="9"/>
  <c r="F240" i="9" s="1"/>
  <c r="F207" i="9"/>
  <c r="H236" i="9"/>
  <c r="H240" i="9" s="1"/>
  <c r="H207" i="9"/>
  <c r="Z38" i="8"/>
  <c r="Z40" i="8" s="1"/>
  <c r="Z42" i="8" s="1"/>
  <c r="Z20" i="8"/>
  <c r="K236" i="9"/>
  <c r="K207" i="9"/>
  <c r="AX27" i="8"/>
  <c r="AX26" i="8" s="1"/>
  <c r="AX30" i="2" s="1"/>
  <c r="AX22" i="8"/>
  <c r="AX33" i="2" s="1"/>
  <c r="Y42" i="8"/>
  <c r="AK14" i="6"/>
  <c r="AK15" i="6" s="1"/>
  <c r="U38" i="8"/>
  <c r="Z38" i="5"/>
  <c r="AA44" i="5"/>
  <c r="Z44" i="5" s="1"/>
  <c r="P35" i="8"/>
  <c r="P36" i="8" s="1"/>
  <c r="P32" i="8"/>
  <c r="Y28" i="3"/>
  <c r="Y21" i="3"/>
  <c r="AI26" i="6"/>
  <c r="AI8" i="3" s="1"/>
  <c r="AN23" i="6"/>
  <c r="L4" i="6"/>
  <c r="J4" i="5"/>
  <c r="Q4" i="5"/>
  <c r="V4" i="5" s="1"/>
  <c r="AA4" i="5" s="1"/>
  <c r="AF4" i="5" s="1"/>
  <c r="I4" i="5"/>
  <c r="H4" i="5"/>
  <c r="K4" i="5"/>
  <c r="AM53" i="3"/>
  <c r="AA7" i="12"/>
  <c r="AA8" i="7"/>
  <c r="AA9" i="7" s="1"/>
  <c r="W32" i="3"/>
  <c r="W33" i="3" s="1"/>
  <c r="W30" i="3"/>
  <c r="S5" i="12"/>
  <c r="S5" i="8"/>
  <c r="S5" i="6"/>
  <c r="S5" i="7"/>
  <c r="T5" i="2"/>
  <c r="Q48" i="3"/>
  <c r="AA18" i="12"/>
  <c r="AN53" i="3"/>
  <c r="V9" i="12"/>
  <c r="V30" i="3"/>
  <c r="V13" i="12" s="1"/>
  <c r="V28" i="3"/>
  <c r="V21" i="3"/>
  <c r="AK4" i="3"/>
  <c r="AP4" i="3" s="1"/>
  <c r="AQ4" i="3" s="1"/>
  <c r="AR4" i="3" s="1"/>
  <c r="AS4" i="3" s="1"/>
  <c r="AB4" i="3"/>
  <c r="AE4" i="3"/>
  <c r="AC4" i="3"/>
  <c r="AV15" i="2"/>
  <c r="AV76" i="2" s="1"/>
  <c r="BA10" i="2"/>
  <c r="BA15" i="2" s="1"/>
  <c r="BA76" i="2" s="1"/>
  <c r="Z76" i="2"/>
  <c r="Z23" i="2"/>
  <c r="Z54" i="2" s="1"/>
  <c r="U72" i="10"/>
  <c r="R56" i="10"/>
  <c r="R54" i="10"/>
  <c r="I236" i="9"/>
  <c r="I240" i="9" s="1"/>
  <c r="I207" i="9"/>
  <c r="O42" i="8"/>
  <c r="BB28" i="2"/>
  <c r="U40" i="8"/>
  <c r="U42" i="8" s="1"/>
  <c r="P10" i="8"/>
  <c r="P16" i="8"/>
  <c r="P40" i="8" s="1"/>
  <c r="P42" i="8" s="1"/>
  <c r="AM28" i="6"/>
  <c r="AH31" i="6"/>
  <c r="Z29" i="6"/>
  <c r="AE28" i="6"/>
  <c r="Z31" i="6"/>
  <c r="L30" i="3"/>
  <c r="L32" i="3"/>
  <c r="AP14" i="6"/>
  <c r="Q9" i="12"/>
  <c r="Q10" i="12" s="1"/>
  <c r="Q28" i="3"/>
  <c r="Q21" i="3"/>
  <c r="BA23" i="6"/>
  <c r="AB9" i="12"/>
  <c r="AB10" i="12" s="1"/>
  <c r="AB21" i="3"/>
  <c r="AB28" i="3"/>
  <c r="AJ38" i="5"/>
  <c r="AA53" i="3"/>
  <c r="O5" i="12"/>
  <c r="O5" i="8"/>
  <c r="O5" i="6"/>
  <c r="O5" i="7"/>
  <c r="P5" i="2"/>
  <c r="S32" i="3"/>
  <c r="S30" i="3"/>
  <c r="AR26" i="6"/>
  <c r="AW23" i="6"/>
  <c r="AA10" i="12"/>
  <c r="V7" i="12"/>
  <c r="V8" i="7"/>
  <c r="V9" i="7" s="1"/>
  <c r="V48" i="3"/>
  <c r="N9" i="12"/>
  <c r="N10" i="12" s="1"/>
  <c r="N28" i="3"/>
  <c r="N21" i="3"/>
  <c r="U76" i="2"/>
  <c r="U23" i="2"/>
  <c r="U54" i="2" s="1"/>
  <c r="AR15" i="2"/>
  <c r="AR76" i="2" s="1"/>
  <c r="AW10" i="2"/>
  <c r="S42" i="13"/>
  <c r="S43" i="13" s="1"/>
  <c r="C10" i="13" s="1"/>
  <c r="C12" i="13" s="1"/>
  <c r="C27" i="13" s="1"/>
  <c r="M22" i="11"/>
  <c r="K23" i="11"/>
  <c r="P56" i="10"/>
  <c r="P54" i="10"/>
  <c r="Q58" i="12"/>
  <c r="M48" i="10"/>
  <c r="M56" i="10"/>
  <c r="U74" i="10" s="1"/>
  <c r="M54" i="10"/>
  <c r="Q56" i="10"/>
  <c r="Q54" i="10"/>
  <c r="K11" i="11"/>
  <c r="O19" i="11" s="1"/>
  <c r="K161" i="9"/>
  <c r="K154" i="9"/>
  <c r="L236" i="9"/>
  <c r="L240" i="9" s="1"/>
  <c r="L207" i="9"/>
  <c r="AA40" i="8"/>
  <c r="AA42" i="8" s="1"/>
  <c r="G236" i="9"/>
  <c r="G240" i="9" s="1"/>
  <c r="G207" i="9"/>
  <c r="BB22" i="8"/>
  <c r="BB33" i="2" s="1"/>
  <c r="BB27" i="8"/>
  <c r="BB26" i="8" s="1"/>
  <c r="BB30" i="2" s="1"/>
  <c r="AL18" i="6"/>
  <c r="BD38" i="8"/>
  <c r="BD40" i="8" s="1"/>
  <c r="BD42" i="8" s="1"/>
  <c r="AC40" i="8"/>
  <c r="AC42" i="8" s="1"/>
  <c r="AV38" i="8"/>
  <c r="AV40" i="8" s="1"/>
  <c r="R7" i="12"/>
  <c r="R10" i="12" s="1"/>
  <c r="R8" i="7"/>
  <c r="R9" i="7" s="1"/>
  <c r="Z19" i="6"/>
  <c r="AE18" i="6"/>
  <c r="AL10" i="6"/>
  <c r="AK10" i="6"/>
  <c r="AK11" i="6" s="1"/>
  <c r="AC7" i="12"/>
  <c r="AC8" i="7"/>
  <c r="AG26" i="6"/>
  <c r="AI31" i="6"/>
  <c r="AN28" i="6"/>
  <c r="Q7" i="12"/>
  <c r="Q8" i="7"/>
  <c r="Q9" i="7" s="1"/>
  <c r="M9" i="12"/>
  <c r="M10" i="12" s="1"/>
  <c r="M28" i="3"/>
  <c r="M21" i="3"/>
  <c r="X21" i="3"/>
  <c r="X28" i="3"/>
  <c r="V53" i="3"/>
  <c r="O32" i="3"/>
  <c r="O33" i="3" s="1"/>
  <c r="O30" i="3"/>
  <c r="R28" i="3"/>
  <c r="R21" i="3"/>
  <c r="U28" i="3"/>
  <c r="U21" i="3"/>
  <c r="AA5" i="12"/>
  <c r="AA5" i="8"/>
  <c r="AA5" i="6"/>
  <c r="AA5" i="7"/>
  <c r="AA5" i="5"/>
  <c r="AA5" i="3"/>
  <c r="AF5" i="2"/>
  <c r="AB5" i="2"/>
  <c r="J5" i="12"/>
  <c r="J5" i="7"/>
  <c r="J5" i="8"/>
  <c r="J5" i="6"/>
  <c r="J5" i="3"/>
  <c r="J5" i="5"/>
  <c r="K5" i="2"/>
  <c r="AJ62" i="3"/>
  <c r="AO62" i="3" s="1"/>
  <c r="AI62" i="3"/>
  <c r="AN62" i="3" s="1"/>
  <c r="AH62" i="3"/>
  <c r="AM62" i="3" s="1"/>
  <c r="AG62" i="3"/>
  <c r="AL62" i="3" s="1"/>
  <c r="AM26" i="6"/>
  <c r="AM8" i="3" s="1"/>
  <c r="AM9" i="5" s="1"/>
  <c r="AD9" i="12"/>
  <c r="AD10" i="12" s="1"/>
  <c r="AD28" i="3"/>
  <c r="AD21" i="3"/>
  <c r="BD10" i="2"/>
  <c r="BD15" i="2" s="1"/>
  <c r="BD76" i="2" s="1"/>
  <c r="AY15" i="2"/>
  <c r="AY76" i="2" s="1"/>
  <c r="W4" i="2"/>
  <c r="Y4" i="2"/>
  <c r="AF4" i="2"/>
  <c r="AK4" i="2" s="1"/>
  <c r="AP4" i="2" s="1"/>
  <c r="AU4" i="2" s="1"/>
  <c r="AZ4" i="2" s="1"/>
  <c r="BE4" i="2" s="1"/>
  <c r="X4" i="2"/>
  <c r="Z4" i="2"/>
  <c r="AS28" i="6" l="1"/>
  <c r="L226" i="9"/>
  <c r="L225" i="9"/>
  <c r="L224" i="9"/>
  <c r="L218" i="9"/>
  <c r="L212" i="9"/>
  <c r="L219" i="9"/>
  <c r="L213" i="9"/>
  <c r="L220" i="9"/>
  <c r="L214" i="9"/>
  <c r="S33" i="3"/>
  <c r="S35" i="3"/>
  <c r="AM31" i="6"/>
  <c r="AR28" i="6"/>
  <c r="AD4" i="5"/>
  <c r="AC4" i="5"/>
  <c r="AK4" i="5"/>
  <c r="AB4" i="5"/>
  <c r="K225" i="9"/>
  <c r="K220" i="9"/>
  <c r="K214" i="9"/>
  <c r="K226" i="9"/>
  <c r="K224" i="9"/>
  <c r="K218" i="9"/>
  <c r="K212" i="9"/>
  <c r="K219" i="9"/>
  <c r="K213" i="9"/>
  <c r="H226" i="9"/>
  <c r="H225" i="9"/>
  <c r="H224" i="9"/>
  <c r="H218" i="9"/>
  <c r="H212" i="9"/>
  <c r="H219" i="9"/>
  <c r="H213" i="9"/>
  <c r="H220" i="9"/>
  <c r="H214" i="9"/>
  <c r="AF24" i="6"/>
  <c r="AX38" i="8"/>
  <c r="AX40" i="8" s="1"/>
  <c r="AM57" i="3"/>
  <c r="X32" i="3"/>
  <c r="X33" i="3" s="1"/>
  <c r="X30" i="3"/>
  <c r="AB5" i="12"/>
  <c r="AB5" i="8"/>
  <c r="AB5" i="6"/>
  <c r="AB5" i="7"/>
  <c r="AB5" i="5"/>
  <c r="AB5" i="3"/>
  <c r="AC5" i="2"/>
  <c r="AK38" i="5"/>
  <c r="Z7" i="12"/>
  <c r="Z10" i="12" s="1"/>
  <c r="Z8" i="7"/>
  <c r="BB35" i="2"/>
  <c r="U76" i="10"/>
  <c r="U79" i="10" s="1"/>
  <c r="V10" i="12"/>
  <c r="AD30" i="3"/>
  <c r="AD32" i="3"/>
  <c r="AD33" i="3" s="1"/>
  <c r="K5" i="12"/>
  <c r="K5" i="8"/>
  <c r="K5" i="6"/>
  <c r="K5" i="7"/>
  <c r="K5" i="5"/>
  <c r="K5" i="3"/>
  <c r="AF5" i="12"/>
  <c r="AF5" i="8"/>
  <c r="AF5" i="6"/>
  <c r="AF5" i="7"/>
  <c r="AF5" i="5"/>
  <c r="AF5" i="3"/>
  <c r="AK5" i="2"/>
  <c r="AG5" i="2"/>
  <c r="U32" i="3"/>
  <c r="U30" i="3"/>
  <c r="AG8" i="3"/>
  <c r="AG31" i="6"/>
  <c r="AQ10" i="6"/>
  <c r="AV10" i="6" s="1"/>
  <c r="BA10" i="6" s="1"/>
  <c r="AP10" i="6"/>
  <c r="AQ18" i="6"/>
  <c r="AL26" i="6"/>
  <c r="G225" i="9"/>
  <c r="G226" i="9"/>
  <c r="G220" i="9"/>
  <c r="G214" i="9"/>
  <c r="G224" i="9"/>
  <c r="G218" i="9"/>
  <c r="G212" i="9"/>
  <c r="G219" i="9"/>
  <c r="G213" i="9"/>
  <c r="BB10" i="2"/>
  <c r="BB15" i="2" s="1"/>
  <c r="BB76" i="2" s="1"/>
  <c r="AW15" i="2"/>
  <c r="AW76" i="2" s="1"/>
  <c r="BB23" i="6"/>
  <c r="BB26" i="6" s="1"/>
  <c r="AW26" i="6"/>
  <c r="P5" i="12"/>
  <c r="P5" i="8"/>
  <c r="P5" i="6"/>
  <c r="P5" i="7"/>
  <c r="AB32" i="3"/>
  <c r="AB30" i="3"/>
  <c r="AP15" i="6"/>
  <c r="AU14" i="6"/>
  <c r="AZ14" i="6" s="1"/>
  <c r="BE14" i="6" s="1"/>
  <c r="AE31" i="6"/>
  <c r="AJ28" i="6"/>
  <c r="AF28" i="6"/>
  <c r="BB38" i="8"/>
  <c r="BB40" i="8" s="1"/>
  <c r="V12" i="12"/>
  <c r="V18" i="12" s="1"/>
  <c r="M226" i="9"/>
  <c r="M225" i="9"/>
  <c r="M224" i="9"/>
  <c r="M218" i="9"/>
  <c r="M212" i="9"/>
  <c r="M219" i="9"/>
  <c r="M213" i="9"/>
  <c r="M220" i="9"/>
  <c r="M214" i="9"/>
  <c r="AP10" i="2"/>
  <c r="AC32" i="3"/>
  <c r="AC33" i="3" s="1"/>
  <c r="AC30" i="3"/>
  <c r="AO23" i="6"/>
  <c r="AP23" i="6" s="1"/>
  <c r="AK23" i="6"/>
  <c r="D226" i="9"/>
  <c r="D224" i="9"/>
  <c r="D218" i="9"/>
  <c r="D212" i="9"/>
  <c r="D219" i="9"/>
  <c r="D213" i="9"/>
  <c r="D225" i="9"/>
  <c r="D220" i="9"/>
  <c r="D214" i="9"/>
  <c r="P32" i="3"/>
  <c r="P33" i="3" s="1"/>
  <c r="P30" i="3"/>
  <c r="AN57" i="3"/>
  <c r="Z32" i="3"/>
  <c r="Z33" i="3" s="1"/>
  <c r="Z30" i="3"/>
  <c r="O13" i="12"/>
  <c r="O12" i="12"/>
  <c r="AI7" i="12"/>
  <c r="AI10" i="12" s="1"/>
  <c r="AI8" i="7"/>
  <c r="AI7" i="7" s="1"/>
  <c r="AI61" i="2"/>
  <c r="AI60" i="2" s="1"/>
  <c r="AI10" i="3"/>
  <c r="Q59" i="12"/>
  <c r="L59" i="12"/>
  <c r="M30" i="3"/>
  <c r="M32" i="3"/>
  <c r="AJ18" i="6"/>
  <c r="AF18" i="6"/>
  <c r="AF19" i="6" s="1"/>
  <c r="AW42" i="8"/>
  <c r="M23" i="11"/>
  <c r="K24" i="11"/>
  <c r="N30" i="3"/>
  <c r="N32" i="3"/>
  <c r="N33" i="3" s="1"/>
  <c r="Q30" i="3"/>
  <c r="Q32" i="3"/>
  <c r="L9" i="5"/>
  <c r="L34" i="5" s="1"/>
  <c r="L33" i="3"/>
  <c r="T5" i="12"/>
  <c r="T5" i="8"/>
  <c r="T5" i="6"/>
  <c r="T5" i="7"/>
  <c r="U5" i="2"/>
  <c r="L4" i="12"/>
  <c r="L4" i="7"/>
  <c r="J4" i="6"/>
  <c r="K4" i="6"/>
  <c r="Q4" i="6"/>
  <c r="I4" i="6"/>
  <c r="H4" i="6"/>
  <c r="Y30" i="3"/>
  <c r="Y32" i="3"/>
  <c r="Y33" i="3" s="1"/>
  <c r="AD42" i="8"/>
  <c r="X5" i="12"/>
  <c r="X5" i="8"/>
  <c r="X5" i="6"/>
  <c r="X5" i="7"/>
  <c r="Y5" i="2"/>
  <c r="T30" i="3"/>
  <c r="T32" i="3"/>
  <c r="AE26" i="6"/>
  <c r="AO57" i="3"/>
  <c r="E224" i="9"/>
  <c r="E218" i="9"/>
  <c r="E212" i="9"/>
  <c r="E219" i="9"/>
  <c r="E213" i="9"/>
  <c r="E226" i="9"/>
  <c r="E225" i="9"/>
  <c r="E220" i="9"/>
  <c r="E214" i="9"/>
  <c r="R30" i="3"/>
  <c r="R32" i="3"/>
  <c r="L13" i="12"/>
  <c r="L12" i="12"/>
  <c r="AH7" i="12"/>
  <c r="AH10" i="12" s="1"/>
  <c r="AH8" i="7"/>
  <c r="AH7" i="7" s="1"/>
  <c r="AH61" i="2"/>
  <c r="AH60" i="2" s="1"/>
  <c r="AH10" i="3"/>
  <c r="AH18" i="3" s="1"/>
  <c r="I224" i="9"/>
  <c r="I218" i="9"/>
  <c r="I212" i="9"/>
  <c r="I219" i="9"/>
  <c r="I213" i="9"/>
  <c r="I220" i="9"/>
  <c r="I214" i="9"/>
  <c r="I226" i="9"/>
  <c r="I225" i="9"/>
  <c r="AN26" i="6"/>
  <c r="AN8" i="3" s="1"/>
  <c r="AN9" i="5" s="1"/>
  <c r="AS23" i="6"/>
  <c r="F219" i="9"/>
  <c r="F213" i="9"/>
  <c r="F226" i="9"/>
  <c r="F225" i="9"/>
  <c r="F220" i="9"/>
  <c r="F214" i="9"/>
  <c r="F224" i="9"/>
  <c r="F218" i="9"/>
  <c r="F212" i="9"/>
  <c r="R240" i="9"/>
  <c r="R241" i="9" s="1"/>
  <c r="AC10" i="12"/>
  <c r="AX35" i="2"/>
  <c r="J219" i="9"/>
  <c r="J213" i="9"/>
  <c r="J220" i="9"/>
  <c r="J214" i="9"/>
  <c r="J226" i="9"/>
  <c r="J225" i="9"/>
  <c r="J224" i="9"/>
  <c r="J218" i="9"/>
  <c r="J212" i="9"/>
  <c r="N224" i="9"/>
  <c r="N219" i="9"/>
  <c r="N213" i="9"/>
  <c r="N220" i="9"/>
  <c r="N214" i="9"/>
  <c r="N226" i="9"/>
  <c r="N225" i="9"/>
  <c r="N218" i="9"/>
  <c r="N212" i="9"/>
  <c r="AL57" i="3"/>
  <c r="AB42" i="8"/>
  <c r="AU23" i="6" l="1"/>
  <c r="AP24" i="6"/>
  <c r="AI15" i="12"/>
  <c r="AI16" i="7"/>
  <c r="AI44" i="5"/>
  <c r="P13" i="12"/>
  <c r="P12" i="12"/>
  <c r="AK5" i="12"/>
  <c r="AK5" i="6"/>
  <c r="AK5" i="7"/>
  <c r="AK5" i="8"/>
  <c r="AK5" i="3"/>
  <c r="AK5" i="5"/>
  <c r="AP5" i="2"/>
  <c r="AL5" i="2"/>
  <c r="AH15" i="12"/>
  <c r="AH16" i="7"/>
  <c r="AH44" i="5"/>
  <c r="R33" i="3"/>
  <c r="R35" i="3"/>
  <c r="Q4" i="7"/>
  <c r="I4" i="7"/>
  <c r="L4" i="8"/>
  <c r="H4" i="7"/>
  <c r="K4" i="7"/>
  <c r="J4" i="7"/>
  <c r="AO18" i="6"/>
  <c r="AK18" i="6"/>
  <c r="AK19" i="6" s="1"/>
  <c r="AJ26" i="6"/>
  <c r="AJ8" i="3" s="1"/>
  <c r="AU10" i="2"/>
  <c r="AF29" i="6"/>
  <c r="AF9" i="3"/>
  <c r="AU10" i="6"/>
  <c r="AZ10" i="6" s="1"/>
  <c r="BE10" i="6" s="1"/>
  <c r="AP11" i="6"/>
  <c r="AL38" i="5"/>
  <c r="AI4" i="5"/>
  <c r="AP4" i="5"/>
  <c r="AH4" i="5"/>
  <c r="AG4" i="5"/>
  <c r="AJ4" i="5"/>
  <c r="AR31" i="6"/>
  <c r="AW28" i="6"/>
  <c r="Y5" i="12"/>
  <c r="Y5" i="6"/>
  <c r="Y5" i="8"/>
  <c r="Y5" i="7"/>
  <c r="Z5" i="2"/>
  <c r="AV18" i="6"/>
  <c r="AQ26" i="6"/>
  <c r="AQ31" i="6" s="1"/>
  <c r="AF26" i="6"/>
  <c r="AF8" i="3" s="1"/>
  <c r="T35" i="3"/>
  <c r="T33" i="3"/>
  <c r="P4" i="6"/>
  <c r="V4" i="6"/>
  <c r="N4" i="6"/>
  <c r="M4" i="6"/>
  <c r="O4" i="6"/>
  <c r="Q4" i="12"/>
  <c r="I4" i="12"/>
  <c r="H4" i="12"/>
  <c r="K4" i="12"/>
  <c r="J4" i="12"/>
  <c r="Q9" i="5"/>
  <c r="Q33" i="3"/>
  <c r="N13" i="12"/>
  <c r="N12" i="12"/>
  <c r="M35" i="3"/>
  <c r="M33" i="3"/>
  <c r="AI9" i="8"/>
  <c r="AI8" i="8" s="1"/>
  <c r="AI11" i="3"/>
  <c r="AI24" i="3"/>
  <c r="AI27" i="3" s="1"/>
  <c r="AI14" i="3"/>
  <c r="AI17" i="3"/>
  <c r="AI37" i="5"/>
  <c r="AI18" i="3"/>
  <c r="AC13" i="12"/>
  <c r="AC12" i="12"/>
  <c r="AC18" i="12" s="1"/>
  <c r="AO28" i="6"/>
  <c r="AK28" i="6"/>
  <c r="AB13" i="12"/>
  <c r="AB12" i="12"/>
  <c r="AB18" i="12" s="1"/>
  <c r="AL8" i="3"/>
  <c r="AL9" i="5" s="1"/>
  <c r="AL31" i="6"/>
  <c r="U33" i="3"/>
  <c r="U35" i="3"/>
  <c r="AD13" i="12"/>
  <c r="AD12" i="12"/>
  <c r="AD18" i="12" s="1"/>
  <c r="AX42" i="8"/>
  <c r="AY42" i="8"/>
  <c r="AM7" i="12"/>
  <c r="AM10" i="12" s="1"/>
  <c r="AM8" i="7"/>
  <c r="AM7" i="7" s="1"/>
  <c r="AM61" i="2"/>
  <c r="AM60" i="2" s="1"/>
  <c r="AM10" i="3"/>
  <c r="AX28" i="6"/>
  <c r="AT23" i="6"/>
  <c r="AO26" i="6"/>
  <c r="AO8" i="3" s="1"/>
  <c r="AO9" i="5" s="1"/>
  <c r="BB42" i="8"/>
  <c r="BC42" i="8"/>
  <c r="AB33" i="3"/>
  <c r="AX23" i="6"/>
  <c r="AS26" i="6"/>
  <c r="AS31" i="6" s="1"/>
  <c r="AH9" i="8"/>
  <c r="AH8" i="8" s="1"/>
  <c r="AH11" i="3"/>
  <c r="AH24" i="3"/>
  <c r="AH27" i="3" s="1"/>
  <c r="AH37" i="5"/>
  <c r="Z7" i="7" s="1"/>
  <c r="AH17" i="3"/>
  <c r="AH14" i="3"/>
  <c r="U5" i="12"/>
  <c r="U5" i="6"/>
  <c r="U5" i="7"/>
  <c r="U5" i="8"/>
  <c r="Q13" i="12"/>
  <c r="Q12" i="12"/>
  <c r="Q18" i="12" s="1"/>
  <c r="M24" i="11"/>
  <c r="K25" i="11"/>
  <c r="M13" i="12"/>
  <c r="M12" i="12"/>
  <c r="AK24" i="6"/>
  <c r="AK26" i="6"/>
  <c r="AK8" i="3" s="1"/>
  <c r="AE7" i="12"/>
  <c r="AE8" i="7"/>
  <c r="AE10" i="3"/>
  <c r="AG7" i="12"/>
  <c r="AG10" i="12" s="1"/>
  <c r="AG8" i="7"/>
  <c r="AG7" i="7" s="1"/>
  <c r="AG10" i="3"/>
  <c r="AG61" i="2"/>
  <c r="AG60" i="2" s="1"/>
  <c r="AG5" i="12"/>
  <c r="AG5" i="6"/>
  <c r="AG5" i="8"/>
  <c r="AG5" i="7"/>
  <c r="AG5" i="3"/>
  <c r="AG5" i="5"/>
  <c r="AH5" i="2"/>
  <c r="AC5" i="12"/>
  <c r="AC5" i="6"/>
  <c r="AC5" i="7"/>
  <c r="AC5" i="8"/>
  <c r="AC5" i="3"/>
  <c r="AC5" i="5"/>
  <c r="AD5" i="2"/>
  <c r="AN31" i="6"/>
  <c r="AS7" i="12" l="1"/>
  <c r="AS10" i="12" s="1"/>
  <c r="AS8" i="7"/>
  <c r="AS7" i="7" s="1"/>
  <c r="AS61" i="2"/>
  <c r="AS60" i="2" s="1"/>
  <c r="AM15" i="12"/>
  <c r="AM16" i="7"/>
  <c r="AM44" i="5"/>
  <c r="AL7" i="12"/>
  <c r="AL10" i="12" s="1"/>
  <c r="AL8" i="7"/>
  <c r="AL7" i="7" s="1"/>
  <c r="AL61" i="2"/>
  <c r="AL60" i="2" s="1"/>
  <c r="AL10" i="3"/>
  <c r="AK29" i="6"/>
  <c r="AK31" i="6"/>
  <c r="AK9" i="3"/>
  <c r="AI19" i="8"/>
  <c r="AI19" i="3"/>
  <c r="AI20" i="3" s="1"/>
  <c r="AI13" i="2"/>
  <c r="Z5" i="12"/>
  <c r="Z5" i="8"/>
  <c r="Z5" i="7"/>
  <c r="Z5" i="6"/>
  <c r="AL5" i="12"/>
  <c r="AL5" i="7"/>
  <c r="AL5" i="8"/>
  <c r="AL5" i="6"/>
  <c r="AL5" i="3"/>
  <c r="AL5" i="5"/>
  <c r="AM5" i="2"/>
  <c r="AH19" i="8"/>
  <c r="AH19" i="3"/>
  <c r="AH20" i="3" s="1"/>
  <c r="BB28" i="6"/>
  <c r="BB31" i="6" s="1"/>
  <c r="AW31" i="6"/>
  <c r="AM38" i="5"/>
  <c r="AL37" i="5"/>
  <c r="M4" i="7"/>
  <c r="P4" i="7"/>
  <c r="O4" i="7"/>
  <c r="V4" i="7"/>
  <c r="N4" i="7"/>
  <c r="AH14" i="12"/>
  <c r="AH18" i="12" s="1"/>
  <c r="AH11" i="5"/>
  <c r="AP5" i="12"/>
  <c r="AP5" i="8"/>
  <c r="AP5" i="7"/>
  <c r="AP5" i="6"/>
  <c r="AP5" i="3"/>
  <c r="AP5" i="5"/>
  <c r="AU5" i="2"/>
  <c r="AQ5" i="2"/>
  <c r="AE9" i="8"/>
  <c r="AE8" i="8" s="1"/>
  <c r="AE55" i="3"/>
  <c r="AE51" i="3"/>
  <c r="AE46" i="3"/>
  <c r="AE11" i="3"/>
  <c r="AE8" i="12" s="1"/>
  <c r="W61" i="2"/>
  <c r="W62" i="2" s="1"/>
  <c r="AE24" i="3"/>
  <c r="AE17" i="3"/>
  <c r="AE52" i="3"/>
  <c r="AE56" i="3" s="1"/>
  <c r="AE47" i="3"/>
  <c r="AE61" i="3" s="1"/>
  <c r="AE14" i="3"/>
  <c r="AE18" i="3"/>
  <c r="AF18" i="3" s="1"/>
  <c r="M25" i="11"/>
  <c r="M26" i="11"/>
  <c r="BC23" i="6"/>
  <c r="BC26" i="6" s="1"/>
  <c r="AX26" i="6"/>
  <c r="BC28" i="6"/>
  <c r="AX31" i="6"/>
  <c r="AN7" i="12"/>
  <c r="AN10" i="12" s="1"/>
  <c r="AN8" i="7"/>
  <c r="AN7" i="7" s="1"/>
  <c r="AN10" i="3"/>
  <c r="AN61" i="2"/>
  <c r="AN60" i="2" s="1"/>
  <c r="AH5" i="12"/>
  <c r="AH5" i="8"/>
  <c r="AH5" i="7"/>
  <c r="AH5" i="6"/>
  <c r="AH5" i="3"/>
  <c r="AH5" i="5"/>
  <c r="AI5" i="2"/>
  <c r="AG9" i="8"/>
  <c r="AG8" i="8" s="1"/>
  <c r="AG11" i="3"/>
  <c r="AG37" i="5"/>
  <c r="Y7" i="7" s="1"/>
  <c r="AG17" i="3"/>
  <c r="AG24" i="3"/>
  <c r="AG14" i="3"/>
  <c r="AG18" i="3"/>
  <c r="K16" i="11"/>
  <c r="AH31" i="8"/>
  <c r="AH13" i="8"/>
  <c r="AH12" i="8" s="1"/>
  <c r="AH14" i="2" s="1"/>
  <c r="AH73" i="2" s="1"/>
  <c r="AM9" i="8"/>
  <c r="AM8" i="8" s="1"/>
  <c r="AM11" i="3"/>
  <c r="AM24" i="3"/>
  <c r="AM27" i="3" s="1"/>
  <c r="AM17" i="3"/>
  <c r="AM14" i="3"/>
  <c r="AJ31" i="6"/>
  <c r="M37" i="3"/>
  <c r="P35" i="3"/>
  <c r="P37" i="3" s="1"/>
  <c r="Q34" i="5"/>
  <c r="P34" i="5" s="1"/>
  <c r="P9" i="5"/>
  <c r="AQ7" i="12"/>
  <c r="AQ10" i="12" s="1"/>
  <c r="AQ8" i="7"/>
  <c r="AQ7" i="7" s="1"/>
  <c r="AQ61" i="2"/>
  <c r="AQ60" i="2" s="1"/>
  <c r="AR7" i="12"/>
  <c r="AR10" i="12" s="1"/>
  <c r="AR8" i="7"/>
  <c r="AR7" i="7" s="1"/>
  <c r="AR61" i="2"/>
  <c r="AR60" i="2" s="1"/>
  <c r="AU4" i="5"/>
  <c r="AM4" i="5"/>
  <c r="AL4" i="5"/>
  <c r="AO4" i="5"/>
  <c r="AN4" i="5"/>
  <c r="AF31" i="6"/>
  <c r="AT28" i="6"/>
  <c r="AO31" i="6"/>
  <c r="AP28" i="6"/>
  <c r="AD5" i="12"/>
  <c r="AD5" i="7"/>
  <c r="AD5" i="8"/>
  <c r="AD5" i="6"/>
  <c r="AD5" i="3"/>
  <c r="AD5" i="5"/>
  <c r="AE5" i="2"/>
  <c r="AG15" i="12"/>
  <c r="AG16" i="7"/>
  <c r="AG44" i="5"/>
  <c r="Z15" i="12"/>
  <c r="Z9" i="7"/>
  <c r="AH16" i="8"/>
  <c r="AH13" i="2"/>
  <c r="AH15" i="2" s="1"/>
  <c r="AH76" i="2" s="1"/>
  <c r="AY23" i="6"/>
  <c r="AT26" i="6"/>
  <c r="AI31" i="8"/>
  <c r="AI13" i="8"/>
  <c r="AI12" i="8" s="1"/>
  <c r="AI14" i="2" s="1"/>
  <c r="AI73" i="2" s="1"/>
  <c r="M4" i="12"/>
  <c r="P4" i="12"/>
  <c r="O4" i="12"/>
  <c r="V4" i="12"/>
  <c r="N4" i="12"/>
  <c r="T4" i="6"/>
  <c r="R4" i="6"/>
  <c r="U4" i="6"/>
  <c r="AA4" i="6"/>
  <c r="S4" i="6"/>
  <c r="BA18" i="6"/>
  <c r="BA26" i="6" s="1"/>
  <c r="BA31" i="6" s="1"/>
  <c r="AV26" i="6"/>
  <c r="AV31" i="6" s="1"/>
  <c r="AZ10" i="2"/>
  <c r="AT18" i="6"/>
  <c r="AY18" i="6" s="1"/>
  <c r="BD18" i="6" s="1"/>
  <c r="AP18" i="6"/>
  <c r="K4" i="8"/>
  <c r="J4" i="8"/>
  <c r="Q4" i="8"/>
  <c r="I4" i="8"/>
  <c r="H4" i="8"/>
  <c r="AM18" i="3"/>
  <c r="AI14" i="12"/>
  <c r="AI18" i="12" s="1"/>
  <c r="AI11" i="5"/>
  <c r="AI12" i="5" s="1"/>
  <c r="AZ23" i="6"/>
  <c r="AP29" i="6" l="1"/>
  <c r="AU28" i="6"/>
  <c r="AP9" i="3"/>
  <c r="AQ4" i="5"/>
  <c r="AT4" i="5"/>
  <c r="AS4" i="5"/>
  <c r="AZ4" i="5"/>
  <c r="AR4" i="5"/>
  <c r="AM19" i="8"/>
  <c r="AM19" i="3"/>
  <c r="AM20" i="3" s="1"/>
  <c r="O27" i="11"/>
  <c r="O36" i="11"/>
  <c r="AG13" i="8"/>
  <c r="AG12" i="8" s="1"/>
  <c r="AG14" i="2" s="1"/>
  <c r="AG73" i="2" s="1"/>
  <c r="AG31" i="8"/>
  <c r="AG16" i="8"/>
  <c r="AG13" i="2"/>
  <c r="AG15" i="2" s="1"/>
  <c r="AG76" i="2" s="1"/>
  <c r="AX7" i="12"/>
  <c r="AX10" i="12" s="1"/>
  <c r="AX8" i="7"/>
  <c r="AX7" i="7" s="1"/>
  <c r="AX61" i="2"/>
  <c r="AX60" i="2" s="1"/>
  <c r="AE19" i="8"/>
  <c r="AE19" i="3"/>
  <c r="AF14" i="3"/>
  <c r="W83" i="2"/>
  <c r="W86" i="2"/>
  <c r="W80" i="2"/>
  <c r="AF24" i="3"/>
  <c r="AE27" i="3"/>
  <c r="AF27" i="3" s="1"/>
  <c r="AU5" i="12"/>
  <c r="AU5" i="8"/>
  <c r="AU5" i="6"/>
  <c r="AU5" i="7"/>
  <c r="AU5" i="5"/>
  <c r="AV5" i="2"/>
  <c r="AZ5" i="2"/>
  <c r="AH24" i="12"/>
  <c r="AH28" i="12" s="1"/>
  <c r="AH23" i="12"/>
  <c r="AH26" i="12" s="1"/>
  <c r="AW7" i="12"/>
  <c r="AW10" i="12" s="1"/>
  <c r="AW8" i="7"/>
  <c r="AW7" i="7" s="1"/>
  <c r="AW61" i="2"/>
  <c r="AW60" i="2" s="1"/>
  <c r="AM5" i="12"/>
  <c r="AM5" i="8"/>
  <c r="AM5" i="6"/>
  <c r="AM5" i="7"/>
  <c r="AM5" i="5"/>
  <c r="AM5" i="3"/>
  <c r="AN5" i="2"/>
  <c r="AI16" i="8"/>
  <c r="AK7" i="12"/>
  <c r="AK8" i="7"/>
  <c r="AK7" i="7" s="1"/>
  <c r="AK10" i="3"/>
  <c r="AK61" i="2"/>
  <c r="AK60" i="2" s="1"/>
  <c r="AL15" i="12"/>
  <c r="AL16" i="7"/>
  <c r="AL44" i="5"/>
  <c r="BE23" i="6"/>
  <c r="BE10" i="2"/>
  <c r="AF4" i="6"/>
  <c r="X4" i="6"/>
  <c r="Z4" i="6"/>
  <c r="Y4" i="6"/>
  <c r="W4" i="6"/>
  <c r="AY26" i="6"/>
  <c r="BD23" i="6"/>
  <c r="BD26" i="6" s="1"/>
  <c r="AE5" i="12"/>
  <c r="AE5" i="8"/>
  <c r="AE5" i="6"/>
  <c r="AE5" i="7"/>
  <c r="AE5" i="5"/>
  <c r="AE5" i="3"/>
  <c r="AO7" i="12"/>
  <c r="AO10" i="12" s="1"/>
  <c r="AO8" i="7"/>
  <c r="AO7" i="7" s="1"/>
  <c r="AO10" i="3"/>
  <c r="AO61" i="2"/>
  <c r="AO60" i="2" s="1"/>
  <c r="AQ15" i="12"/>
  <c r="AQ16" i="7"/>
  <c r="AQ44" i="5"/>
  <c r="AM31" i="8"/>
  <c r="AM13" i="8"/>
  <c r="AM12" i="8" s="1"/>
  <c r="AM14" i="2" s="1"/>
  <c r="AM73" i="2" s="1"/>
  <c r="AM16" i="8"/>
  <c r="AM13" i="2"/>
  <c r="AM15" i="2" s="1"/>
  <c r="AM76" i="2" s="1"/>
  <c r="Y15" i="12"/>
  <c r="Y9" i="7"/>
  <c r="AI5" i="12"/>
  <c r="AI5" i="8"/>
  <c r="AI5" i="6"/>
  <c r="AI5" i="7"/>
  <c r="AI5" i="5"/>
  <c r="AI5" i="3"/>
  <c r="AJ5" i="2"/>
  <c r="AN9" i="8"/>
  <c r="AN8" i="8" s="1"/>
  <c r="AN24" i="3"/>
  <c r="AN27" i="3" s="1"/>
  <c r="AN11" i="3"/>
  <c r="AN14" i="3"/>
  <c r="AN17" i="3"/>
  <c r="AN18" i="3"/>
  <c r="BC31" i="6"/>
  <c r="BB7" i="12"/>
  <c r="BB10" i="12" s="1"/>
  <c r="BB8" i="7"/>
  <c r="BB7" i="7" s="1"/>
  <c r="BB61" i="2"/>
  <c r="BB60" i="2" s="1"/>
  <c r="AI28" i="3"/>
  <c r="AI32" i="3" s="1"/>
  <c r="AI21" i="3"/>
  <c r="AV7" i="12"/>
  <c r="AV10" i="12" s="1"/>
  <c r="AV8" i="7"/>
  <c r="AV7" i="7" s="1"/>
  <c r="AV61" i="2"/>
  <c r="AV60" i="2" s="1"/>
  <c r="U4" i="12"/>
  <c r="T4" i="12"/>
  <c r="AA4" i="12"/>
  <c r="S4" i="12"/>
  <c r="R4" i="12"/>
  <c r="AY28" i="6"/>
  <c r="AT31" i="6"/>
  <c r="AR15" i="12"/>
  <c r="AR16" i="7"/>
  <c r="AR44" i="5"/>
  <c r="AG19" i="8"/>
  <c r="AG19" i="3"/>
  <c r="AN15" i="12"/>
  <c r="AN16" i="7"/>
  <c r="AN44" i="5"/>
  <c r="AF8" i="8"/>
  <c r="AE13" i="2"/>
  <c r="U4" i="7"/>
  <c r="T4" i="7"/>
  <c r="AA4" i="7"/>
  <c r="S4" i="7"/>
  <c r="R4" i="7"/>
  <c r="AH28" i="3"/>
  <c r="AH32" i="3" s="1"/>
  <c r="AH21" i="3"/>
  <c r="AI23" i="8"/>
  <c r="AI18" i="8"/>
  <c r="AL9" i="8"/>
  <c r="AL8" i="8" s="1"/>
  <c r="AL11" i="3"/>
  <c r="AL24" i="3"/>
  <c r="AL17" i="3"/>
  <c r="AL14" i="3"/>
  <c r="AL18" i="3"/>
  <c r="AS15" i="12"/>
  <c r="AS16" i="7"/>
  <c r="AS44" i="5"/>
  <c r="AP19" i="6"/>
  <c r="AU18" i="6"/>
  <c r="AP26" i="6"/>
  <c r="AP8" i="3" s="1"/>
  <c r="AI24" i="12"/>
  <c r="AI28" i="12" s="1"/>
  <c r="AI23" i="12"/>
  <c r="AI26" i="12" s="1"/>
  <c r="O4" i="8"/>
  <c r="V4" i="8"/>
  <c r="N4" i="8"/>
  <c r="M4" i="8"/>
  <c r="P4" i="8"/>
  <c r="BA7" i="12"/>
  <c r="BA10" i="12" s="1"/>
  <c r="BA8" i="7"/>
  <c r="BA7" i="7" s="1"/>
  <c r="BA61" i="2"/>
  <c r="BA60" i="2" s="1"/>
  <c r="AI35" i="8"/>
  <c r="AI34" i="8" s="1"/>
  <c r="AI31" i="2" s="1"/>
  <c r="AI30" i="8"/>
  <c r="AI29" i="2" s="1"/>
  <c r="AG14" i="12"/>
  <c r="AG18" i="12" s="1"/>
  <c r="AG11" i="5"/>
  <c r="AF7" i="12"/>
  <c r="AF8" i="7"/>
  <c r="AF7" i="7" s="1"/>
  <c r="AF10" i="3"/>
  <c r="AF61" i="2"/>
  <c r="AF60" i="2" s="1"/>
  <c r="AJ7" i="12"/>
  <c r="AJ10" i="12" s="1"/>
  <c r="AJ8" i="7"/>
  <c r="AJ7" i="7" s="1"/>
  <c r="AJ10" i="3"/>
  <c r="AJ61" i="2"/>
  <c r="AJ60" i="2" s="1"/>
  <c r="AH35" i="8"/>
  <c r="AH34" i="8" s="1"/>
  <c r="AH31" i="2" s="1"/>
  <c r="AH30" i="8"/>
  <c r="AH29" i="2" s="1"/>
  <c r="AG27" i="3"/>
  <c r="AE31" i="8"/>
  <c r="AE13" i="8"/>
  <c r="AE12" i="8" s="1"/>
  <c r="AF17" i="3"/>
  <c r="AQ5" i="12"/>
  <c r="AQ5" i="8"/>
  <c r="AQ5" i="6"/>
  <c r="AQ5" i="7"/>
  <c r="AQ5" i="5"/>
  <c r="AR5" i="2"/>
  <c r="Z16" i="7"/>
  <c r="AH12" i="5"/>
  <c r="AN38" i="5"/>
  <c r="AM37" i="5"/>
  <c r="AH23" i="8"/>
  <c r="AH18" i="8"/>
  <c r="AI15" i="2"/>
  <c r="AI76" i="2" s="1"/>
  <c r="AM14" i="12"/>
  <c r="AM18" i="12" s="1"/>
  <c r="AM11" i="5"/>
  <c r="AM12" i="5" s="1"/>
  <c r="AH22" i="8" l="1"/>
  <c r="AH33" i="2" s="1"/>
  <c r="AH27" i="8"/>
  <c r="AH26" i="8" s="1"/>
  <c r="AH30" i="2" s="1"/>
  <c r="AF12" i="8"/>
  <c r="AE14" i="2"/>
  <c r="AJ15" i="12"/>
  <c r="AJ16" i="7"/>
  <c r="AJ44" i="5"/>
  <c r="AF15" i="12"/>
  <c r="AF16" i="7"/>
  <c r="AF44" i="5"/>
  <c r="BA15" i="12"/>
  <c r="BA16" i="7"/>
  <c r="BA44" i="5"/>
  <c r="AL19" i="8"/>
  <c r="AL19" i="3"/>
  <c r="Y4" i="7"/>
  <c r="AF4" i="7"/>
  <c r="X4" i="7"/>
  <c r="W4" i="7"/>
  <c r="Z4" i="7"/>
  <c r="AF16" i="8"/>
  <c r="AF13" i="2"/>
  <c r="AY31" i="6"/>
  <c r="BD28" i="6"/>
  <c r="BD31" i="6" s="1"/>
  <c r="BB15" i="12"/>
  <c r="BB16" i="7"/>
  <c r="BB44" i="5"/>
  <c r="AN31" i="8"/>
  <c r="AN13" i="8"/>
  <c r="AN12" i="8" s="1"/>
  <c r="AN14" i="2" s="1"/>
  <c r="AN73" i="2" s="1"/>
  <c r="AO9" i="8"/>
  <c r="AO8" i="8" s="1"/>
  <c r="AO11" i="3"/>
  <c r="AO17" i="3"/>
  <c r="AO24" i="3"/>
  <c r="AO27" i="3" s="1"/>
  <c r="AO14" i="3"/>
  <c r="AP14" i="3" s="1"/>
  <c r="AO18" i="3"/>
  <c r="AK9" i="8"/>
  <c r="AK56" i="3"/>
  <c r="AK52" i="3"/>
  <c r="AK47" i="3"/>
  <c r="AK11" i="3"/>
  <c r="AK8" i="12" s="1"/>
  <c r="AK61" i="3"/>
  <c r="AK37" i="5"/>
  <c r="AN5" i="12"/>
  <c r="AN5" i="8"/>
  <c r="AN5" i="6"/>
  <c r="AN5" i="7"/>
  <c r="AN5" i="5"/>
  <c r="AN5" i="3"/>
  <c r="AO5" i="2"/>
  <c r="AW15" i="12"/>
  <c r="AW16" i="7"/>
  <c r="AW44" i="5"/>
  <c r="AZ5" i="12"/>
  <c r="AZ5" i="8"/>
  <c r="AZ5" i="6"/>
  <c r="AZ5" i="7"/>
  <c r="AZ5" i="5"/>
  <c r="BE5" i="2"/>
  <c r="BA5" i="2"/>
  <c r="AF19" i="8"/>
  <c r="AF23" i="8" s="1"/>
  <c r="AF27" i="8" s="1"/>
  <c r="AF82" i="2"/>
  <c r="AF79" i="2"/>
  <c r="AF85" i="2"/>
  <c r="X80" i="2"/>
  <c r="X86" i="2"/>
  <c r="X83" i="2"/>
  <c r="AX15" i="12"/>
  <c r="AX16" i="7"/>
  <c r="AX44" i="5"/>
  <c r="AY4" i="5"/>
  <c r="AX4" i="5"/>
  <c r="BE4" i="5"/>
  <c r="AW4" i="5"/>
  <c r="AV4" i="5"/>
  <c r="AA4" i="8"/>
  <c r="S4" i="8"/>
  <c r="R4" i="8"/>
  <c r="U4" i="8"/>
  <c r="T4" i="8"/>
  <c r="AS14" i="12"/>
  <c r="AS18" i="12" s="1"/>
  <c r="AS11" i="5"/>
  <c r="AL31" i="8"/>
  <c r="AL13" i="8"/>
  <c r="AL12" i="8" s="1"/>
  <c r="AL14" i="2" s="1"/>
  <c r="AL73" i="2" s="1"/>
  <c r="AP17" i="3"/>
  <c r="AL16" i="8"/>
  <c r="AL13" i="2"/>
  <c r="AL15" i="2" s="1"/>
  <c r="AL76" i="2" s="1"/>
  <c r="AH33" i="3"/>
  <c r="AH9" i="5"/>
  <c r="AH43" i="3"/>
  <c r="AH39" i="3"/>
  <c r="AE16" i="8"/>
  <c r="AG20" i="3"/>
  <c r="AR14" i="12"/>
  <c r="AR18" i="12" s="1"/>
  <c r="AR11" i="5"/>
  <c r="AN19" i="8"/>
  <c r="AN19" i="3"/>
  <c r="AN20" i="3" s="1"/>
  <c r="AN16" i="8"/>
  <c r="AN13" i="2"/>
  <c r="AN15" i="2" s="1"/>
  <c r="AN76" i="2" s="1"/>
  <c r="AQ14" i="12"/>
  <c r="AQ18" i="12" s="1"/>
  <c r="AQ11" i="5"/>
  <c r="AO15" i="12"/>
  <c r="AO16" i="7"/>
  <c r="AO44" i="5"/>
  <c r="AL14" i="12"/>
  <c r="AL18" i="12" s="1"/>
  <c r="AL11" i="5"/>
  <c r="AL12" i="5" s="1"/>
  <c r="AK15" i="12"/>
  <c r="AK16" i="7"/>
  <c r="AK44" i="5"/>
  <c r="AV5" i="12"/>
  <c r="AV5" i="8"/>
  <c r="AV5" i="6"/>
  <c r="AV5" i="7"/>
  <c r="AV5" i="5"/>
  <c r="AW5" i="2"/>
  <c r="AF19" i="3"/>
  <c r="AE20" i="3"/>
  <c r="AG35" i="8"/>
  <c r="AG34" i="8" s="1"/>
  <c r="AG31" i="2" s="1"/>
  <c r="AG30" i="8"/>
  <c r="AG29" i="2" s="1"/>
  <c r="AM28" i="3"/>
  <c r="AM32" i="3" s="1"/>
  <c r="AM21" i="3"/>
  <c r="AP31" i="6"/>
  <c r="Z14" i="12"/>
  <c r="Z18" i="12" s="1"/>
  <c r="Z17" i="7"/>
  <c r="AM24" i="12"/>
  <c r="AM28" i="12" s="1"/>
  <c r="AM23" i="12"/>
  <c r="AM26" i="12" s="1"/>
  <c r="AE35" i="8"/>
  <c r="AE34" i="8" s="1"/>
  <c r="AE30" i="8"/>
  <c r="AN37" i="5"/>
  <c r="AO38" i="5"/>
  <c r="AO37" i="5" s="1"/>
  <c r="Y16" i="7"/>
  <c r="AG12" i="5"/>
  <c r="AZ18" i="6"/>
  <c r="AU26" i="6"/>
  <c r="AQ8" i="3" s="1"/>
  <c r="AL27" i="3"/>
  <c r="AP27" i="3" s="1"/>
  <c r="AP60" i="3" s="1"/>
  <c r="AP24" i="3"/>
  <c r="AI28" i="2"/>
  <c r="AI33" i="3"/>
  <c r="AI9" i="5"/>
  <c r="AI43" i="3"/>
  <c r="AI39" i="3"/>
  <c r="BC7" i="12"/>
  <c r="BC10" i="12" s="1"/>
  <c r="BC8" i="7"/>
  <c r="BC7" i="7" s="1"/>
  <c r="BC61" i="2"/>
  <c r="BC60" i="2" s="1"/>
  <c r="AJ5" i="12"/>
  <c r="AJ5" i="8"/>
  <c r="AJ5" i="6"/>
  <c r="AJ5" i="7"/>
  <c r="AJ5" i="5"/>
  <c r="AJ5" i="3"/>
  <c r="AE23" i="8"/>
  <c r="AE18" i="8"/>
  <c r="AM23" i="8"/>
  <c r="AM18" i="8"/>
  <c r="AZ28" i="6"/>
  <c r="AQ9" i="3"/>
  <c r="AR5" i="12"/>
  <c r="AR5" i="8"/>
  <c r="AR5" i="6"/>
  <c r="AR5" i="7"/>
  <c r="AR5" i="5"/>
  <c r="AS5" i="2"/>
  <c r="AH38" i="8"/>
  <c r="AH40" i="8" s="1"/>
  <c r="AH28" i="2"/>
  <c r="AH35" i="2" s="1"/>
  <c r="AF31" i="8"/>
  <c r="AF35" i="8" s="1"/>
  <c r="AF13" i="8"/>
  <c r="AJ9" i="8"/>
  <c r="AJ8" i="8" s="1"/>
  <c r="AJ24" i="3"/>
  <c r="AJ17" i="3"/>
  <c r="AJ14" i="3"/>
  <c r="AJ11" i="3"/>
  <c r="AJ37" i="5"/>
  <c r="AJ18" i="3"/>
  <c r="AK18" i="3" s="1"/>
  <c r="AK55" i="3" s="1"/>
  <c r="AK57" i="3" s="1"/>
  <c r="AF9" i="8"/>
  <c r="AF10" i="8" s="1"/>
  <c r="AF37" i="5"/>
  <c r="X7" i="7" s="1"/>
  <c r="AF52" i="3"/>
  <c r="AF47" i="3"/>
  <c r="AF11" i="3"/>
  <c r="AF8" i="12" s="1"/>
  <c r="X61" i="2"/>
  <c r="X62" i="2" s="1"/>
  <c r="AG24" i="12"/>
  <c r="AG28" i="12" s="1"/>
  <c r="AG23" i="12"/>
  <c r="AG26" i="12" s="1"/>
  <c r="AP18" i="3"/>
  <c r="AP55" i="3" s="1"/>
  <c r="AI27" i="8"/>
  <c r="AI26" i="8" s="1"/>
  <c r="AI30" i="2" s="1"/>
  <c r="AI22" i="8"/>
  <c r="AI33" i="2" s="1"/>
  <c r="AE15" i="2"/>
  <c r="AN14" i="12"/>
  <c r="AN18" i="12" s="1"/>
  <c r="AN11" i="5"/>
  <c r="AN12" i="5" s="1"/>
  <c r="AG23" i="8"/>
  <c r="AG18" i="8"/>
  <c r="AT7" i="12"/>
  <c r="AT10" i="12" s="1"/>
  <c r="AT8" i="7"/>
  <c r="AT7" i="7" s="1"/>
  <c r="AT61" i="2"/>
  <c r="AT60" i="2" s="1"/>
  <c r="Y4" i="12"/>
  <c r="AF4" i="12"/>
  <c r="X4" i="12"/>
  <c r="W4" i="12"/>
  <c r="Z4" i="12"/>
  <c r="AV15" i="12"/>
  <c r="AV16" i="7"/>
  <c r="AV44" i="5"/>
  <c r="AM35" i="8"/>
  <c r="AM34" i="8" s="1"/>
  <c r="AM31" i="2" s="1"/>
  <c r="AM30" i="8"/>
  <c r="AM29" i="2" s="1"/>
  <c r="AB4" i="6"/>
  <c r="AD4" i="6"/>
  <c r="AK4" i="6"/>
  <c r="AC4" i="6"/>
  <c r="AE4" i="6"/>
  <c r="AP19" i="8" l="1"/>
  <c r="AP23" i="8" s="1"/>
  <c r="AP27" i="8" s="1"/>
  <c r="AP46" i="3"/>
  <c r="AP85" i="2"/>
  <c r="AP82" i="2"/>
  <c r="AP79" i="2"/>
  <c r="AK4" i="12"/>
  <c r="AC4" i="12"/>
  <c r="AB4" i="12"/>
  <c r="AE4" i="12"/>
  <c r="AD4" i="12"/>
  <c r="BE28" i="6"/>
  <c r="AR9" i="3"/>
  <c r="AJ4" i="6"/>
  <c r="AP4" i="6"/>
  <c r="AH4" i="6"/>
  <c r="AI4" i="6"/>
  <c r="AG4" i="6"/>
  <c r="AG28" i="2"/>
  <c r="AE76" i="2"/>
  <c r="AE23" i="2"/>
  <c r="AF61" i="3"/>
  <c r="AF60" i="3" s="1"/>
  <c r="AF46" i="3"/>
  <c r="AJ19" i="8"/>
  <c r="AJ19" i="3"/>
  <c r="AK14" i="3"/>
  <c r="AS5" i="12"/>
  <c r="AS5" i="6"/>
  <c r="AS5" i="7"/>
  <c r="AS5" i="8"/>
  <c r="AS5" i="5"/>
  <c r="AT5" i="2"/>
  <c r="AU31" i="6"/>
  <c r="AE27" i="8"/>
  <c r="AE26" i="8" s="1"/>
  <c r="AE22" i="8"/>
  <c r="AI38" i="8"/>
  <c r="AI40" i="8" s="1"/>
  <c r="AI42" i="8" s="1"/>
  <c r="BE18" i="6"/>
  <c r="BE26" i="6" s="1"/>
  <c r="AS8" i="3" s="1"/>
  <c r="AZ26" i="6"/>
  <c r="AR8" i="3" s="1"/>
  <c r="AP7" i="12"/>
  <c r="AP8" i="7"/>
  <c r="AP7" i="7" s="1"/>
  <c r="AP61" i="2"/>
  <c r="AP60" i="2" s="1"/>
  <c r="AP10" i="3"/>
  <c r="W4" i="8"/>
  <c r="Z4" i="8"/>
  <c r="Y4" i="8"/>
  <c r="AF4" i="8"/>
  <c r="X4" i="8"/>
  <c r="BA5" i="12"/>
  <c r="BA5" i="6"/>
  <c r="BA5" i="7"/>
  <c r="BA5" i="8"/>
  <c r="BA5" i="5"/>
  <c r="BB5" i="2"/>
  <c r="AW14" i="12"/>
  <c r="AW18" i="12" s="1"/>
  <c r="AW11" i="5"/>
  <c r="AP8" i="8"/>
  <c r="AO13" i="2"/>
  <c r="BB14" i="12"/>
  <c r="BB18" i="12" s="1"/>
  <c r="BB11" i="5"/>
  <c r="BA14" i="12"/>
  <c r="BA18" i="12" s="1"/>
  <c r="BA11" i="5"/>
  <c r="AE68" i="2"/>
  <c r="AE73" i="2"/>
  <c r="AF56" i="3"/>
  <c r="AF55" i="3" s="1"/>
  <c r="AF51" i="3"/>
  <c r="AJ31" i="8"/>
  <c r="AJ13" i="8"/>
  <c r="AJ12" i="8" s="1"/>
  <c r="AK17" i="3"/>
  <c r="BC15" i="12"/>
  <c r="BC16" i="7"/>
  <c r="BC44" i="5"/>
  <c r="AE12" i="12"/>
  <c r="AE18" i="12" s="1"/>
  <c r="AE9" i="12"/>
  <c r="AE10" i="12" s="1"/>
  <c r="AE28" i="3"/>
  <c r="AF28" i="3" s="1"/>
  <c r="AE21" i="3"/>
  <c r="AE32" i="3"/>
  <c r="AF20" i="3"/>
  <c r="AL24" i="12"/>
  <c r="AL28" i="12" s="1"/>
  <c r="AL23" i="12"/>
  <c r="AL26" i="12" s="1"/>
  <c r="AR24" i="12"/>
  <c r="AR28" i="12" s="1"/>
  <c r="AR23" i="12"/>
  <c r="AR26" i="12" s="1"/>
  <c r="AL35" i="8"/>
  <c r="AL34" i="8" s="1"/>
  <c r="AL31" i="2" s="1"/>
  <c r="AL30" i="8"/>
  <c r="AL29" i="2" s="1"/>
  <c r="BE5" i="12"/>
  <c r="BE5" i="6"/>
  <c r="BE5" i="8"/>
  <c r="BE5" i="7"/>
  <c r="BE5" i="5"/>
  <c r="AO13" i="8"/>
  <c r="AO12" i="8" s="1"/>
  <c r="AO31" i="8"/>
  <c r="AL20" i="3"/>
  <c r="AF14" i="8"/>
  <c r="AF14" i="2"/>
  <c r="AF73" i="2" s="1"/>
  <c r="AN24" i="12"/>
  <c r="AN28" i="12" s="1"/>
  <c r="AN23" i="12"/>
  <c r="AN26" i="12" s="1"/>
  <c r="AG22" i="8"/>
  <c r="AG33" i="2" s="1"/>
  <c r="AG27" i="8"/>
  <c r="AG26" i="8" s="1"/>
  <c r="AG30" i="2" s="1"/>
  <c r="AM28" i="2"/>
  <c r="AV14" i="12"/>
  <c r="AV18" i="12" s="1"/>
  <c r="AV11" i="5"/>
  <c r="AT15" i="12"/>
  <c r="AT16" i="7"/>
  <c r="AT44" i="5"/>
  <c r="X15" i="12"/>
  <c r="X9" i="7"/>
  <c r="AJ27" i="3"/>
  <c r="AK27" i="3" s="1"/>
  <c r="AK24" i="3"/>
  <c r="AK60" i="3" s="1"/>
  <c r="AK62" i="3" s="1"/>
  <c r="AM27" i="8"/>
  <c r="AM26" i="8" s="1"/>
  <c r="AM30" i="2" s="1"/>
  <c r="AM22" i="8"/>
  <c r="AM33" i="2" s="1"/>
  <c r="Y14" i="12"/>
  <c r="Y18" i="12" s="1"/>
  <c r="Y17" i="7"/>
  <c r="AF30" i="8"/>
  <c r="AE29" i="2"/>
  <c r="AM33" i="3"/>
  <c r="AM43" i="3"/>
  <c r="AM39" i="3"/>
  <c r="AK14" i="12"/>
  <c r="AK11" i="5"/>
  <c r="AK12" i="5" s="1"/>
  <c r="AQ24" i="12"/>
  <c r="AQ28" i="12" s="1"/>
  <c r="AQ23" i="12"/>
  <c r="AQ26" i="12" s="1"/>
  <c r="AN21" i="3"/>
  <c r="AN28" i="3"/>
  <c r="AN32" i="3" s="1"/>
  <c r="AG28" i="3"/>
  <c r="AG21" i="3"/>
  <c r="AO5" i="12"/>
  <c r="AO5" i="6"/>
  <c r="AO5" i="8"/>
  <c r="AO5" i="7"/>
  <c r="AO5" i="3"/>
  <c r="AO5" i="5"/>
  <c r="AN35" i="8"/>
  <c r="AN34" i="8" s="1"/>
  <c r="AN31" i="2" s="1"/>
  <c r="AN30" i="8"/>
  <c r="AN29" i="2" s="1"/>
  <c r="BD7" i="12"/>
  <c r="BD10" i="12" s="1"/>
  <c r="BD8" i="7"/>
  <c r="BD7" i="7" s="1"/>
  <c r="BD61" i="2"/>
  <c r="BD60" i="2" s="1"/>
  <c r="AK4" i="7"/>
  <c r="AC4" i="7"/>
  <c r="AB4" i="7"/>
  <c r="AE4" i="7"/>
  <c r="AD4" i="7"/>
  <c r="AL23" i="8"/>
  <c r="AL18" i="8"/>
  <c r="AJ14" i="12"/>
  <c r="AJ18" i="12" s="1"/>
  <c r="AJ11" i="5"/>
  <c r="AJ12" i="5" s="1"/>
  <c r="AJ16" i="8"/>
  <c r="AK8" i="8"/>
  <c r="AJ13" i="2"/>
  <c r="AE38" i="8"/>
  <c r="AE40" i="8" s="1"/>
  <c r="AE42" i="8" s="1"/>
  <c r="AF18" i="8"/>
  <c r="AE28" i="2"/>
  <c r="AI35" i="2"/>
  <c r="AF34" i="8"/>
  <c r="AE31" i="2"/>
  <c r="AW5" i="12"/>
  <c r="AW5" i="6"/>
  <c r="AW5" i="8"/>
  <c r="AW5" i="7"/>
  <c r="AW5" i="5"/>
  <c r="AX5" i="2"/>
  <c r="AO14" i="12"/>
  <c r="AO18" i="12" s="1"/>
  <c r="AO11" i="5"/>
  <c r="AO12" i="5" s="1"/>
  <c r="AN23" i="8"/>
  <c r="AN18" i="8"/>
  <c r="AP31" i="8"/>
  <c r="AP35" i="8" s="1"/>
  <c r="AP13" i="8"/>
  <c r="AP51" i="3"/>
  <c r="AS24" i="12"/>
  <c r="AS28" i="12" s="1"/>
  <c r="AS23" i="12"/>
  <c r="AS26" i="12" s="1"/>
  <c r="BC4" i="5"/>
  <c r="BB4" i="5"/>
  <c r="BA4" i="5"/>
  <c r="BD4" i="5"/>
  <c r="AX14" i="12"/>
  <c r="AX18" i="12" s="1"/>
  <c r="AX11" i="5"/>
  <c r="AO19" i="8"/>
  <c r="AO19" i="3"/>
  <c r="AO20" i="3" s="1"/>
  <c r="AY7" i="12"/>
  <c r="AY10" i="12" s="1"/>
  <c r="AY8" i="7"/>
  <c r="AY7" i="7" s="1"/>
  <c r="AY61" i="2"/>
  <c r="AY60" i="2" s="1"/>
  <c r="AF14" i="12"/>
  <c r="E4" i="4"/>
  <c r="AF11" i="5"/>
  <c r="AO28" i="3" l="1"/>
  <c r="AO32" i="3" s="1"/>
  <c r="AO21" i="3"/>
  <c r="AO24" i="12"/>
  <c r="AO28" i="12" s="1"/>
  <c r="AO23" i="12"/>
  <c r="AO26" i="12" s="1"/>
  <c r="AF36" i="8"/>
  <c r="AF31" i="2"/>
  <c r="AL22" i="8"/>
  <c r="AL33" i="2" s="1"/>
  <c r="AL27" i="8"/>
  <c r="AL26" i="8" s="1"/>
  <c r="AL30" i="2" s="1"/>
  <c r="AN43" i="3"/>
  <c r="AN39" i="3"/>
  <c r="AN33" i="3"/>
  <c r="AV24" i="12"/>
  <c r="AV28" i="12" s="1"/>
  <c r="AV23" i="12"/>
  <c r="AV26" i="12" s="1"/>
  <c r="AO35" i="8"/>
  <c r="AO34" i="8" s="1"/>
  <c r="AO30" i="8"/>
  <c r="AK12" i="8"/>
  <c r="AJ14" i="2"/>
  <c r="AJ73" i="2" s="1"/>
  <c r="AF15" i="2"/>
  <c r="AF76" i="2" s="1"/>
  <c r="AP10" i="8"/>
  <c r="AP13" i="2"/>
  <c r="BB5" i="12"/>
  <c r="BB5" i="7"/>
  <c r="BB5" i="8"/>
  <c r="BB5" i="6"/>
  <c r="BB5" i="5"/>
  <c r="BC5" i="2"/>
  <c r="AP9" i="8"/>
  <c r="AP11" i="3"/>
  <c r="AP8" i="12" s="1"/>
  <c r="AP37" i="5"/>
  <c r="AP52" i="3"/>
  <c r="AP56" i="3" s="1"/>
  <c r="AP57" i="3" s="1"/>
  <c r="AP47" i="3"/>
  <c r="AP61" i="3" s="1"/>
  <c r="AP62" i="3" s="1"/>
  <c r="AF26" i="8"/>
  <c r="AE30" i="2"/>
  <c r="AK19" i="8"/>
  <c r="AK23" i="8" s="1"/>
  <c r="AK27" i="8" s="1"/>
  <c r="AK46" i="3"/>
  <c r="AK48" i="3" s="1"/>
  <c r="AK85" i="2"/>
  <c r="AK82" i="2"/>
  <c r="AK79" i="2"/>
  <c r="AG38" i="8"/>
  <c r="AG40" i="8" s="1"/>
  <c r="AN4" i="6"/>
  <c r="AL4" i="6"/>
  <c r="AO4" i="6"/>
  <c r="AU4" i="6"/>
  <c r="AM4" i="6"/>
  <c r="AZ31" i="6"/>
  <c r="AX5" i="12"/>
  <c r="AX5" i="8"/>
  <c r="AX5" i="7"/>
  <c r="AX5" i="6"/>
  <c r="AX5" i="5"/>
  <c r="AY5" i="2"/>
  <c r="AG4" i="7"/>
  <c r="AJ4" i="7"/>
  <c r="AI4" i="7"/>
  <c r="AP4" i="7"/>
  <c r="AH4" i="7"/>
  <c r="AT14" i="12"/>
  <c r="AT18" i="12" s="1"/>
  <c r="AT11" i="5"/>
  <c r="AM35" i="2"/>
  <c r="AL28" i="3"/>
  <c r="AL21" i="3"/>
  <c r="AP12" i="8"/>
  <c r="AP16" i="8" s="1"/>
  <c r="AO14" i="2"/>
  <c r="AO73" i="2" s="1"/>
  <c r="BC14" i="12"/>
  <c r="BC18" i="12" s="1"/>
  <c r="BC11" i="5"/>
  <c r="AJ35" i="8"/>
  <c r="AJ34" i="8" s="1"/>
  <c r="AJ30" i="8"/>
  <c r="AO16" i="8"/>
  <c r="AU7" i="12"/>
  <c r="AU8" i="7"/>
  <c r="AU7" i="7" s="1"/>
  <c r="AU61" i="2"/>
  <c r="AU60" i="2" s="1"/>
  <c r="AQ10" i="3"/>
  <c r="AK19" i="3"/>
  <c r="AK20" i="3" s="1"/>
  <c r="AJ20" i="3"/>
  <c r="AO23" i="8"/>
  <c r="AO18" i="8"/>
  <c r="AN28" i="2"/>
  <c r="X16" i="7"/>
  <c r="AF12" i="5"/>
  <c r="AE11" i="5"/>
  <c r="AY15" i="12"/>
  <c r="AY16" i="7"/>
  <c r="AY44" i="5"/>
  <c r="AP53" i="3"/>
  <c r="AN22" i="8"/>
  <c r="AN33" i="2" s="1"/>
  <c r="AN27" i="8"/>
  <c r="AN26" i="8" s="1"/>
  <c r="AN30" i="2" s="1"/>
  <c r="AK16" i="8"/>
  <c r="AK10" i="8"/>
  <c r="AK13" i="2"/>
  <c r="AJ24" i="12"/>
  <c r="AJ28" i="12" s="1"/>
  <c r="AJ23" i="12"/>
  <c r="AJ26" i="12" s="1"/>
  <c r="AF32" i="8"/>
  <c r="AF29" i="2"/>
  <c r="AM38" i="8"/>
  <c r="AM40" i="8" s="1"/>
  <c r="AP19" i="3"/>
  <c r="AP20" i="3" s="1"/>
  <c r="AF9" i="12"/>
  <c r="AF10" i="12" s="1"/>
  <c r="AF12" i="12"/>
  <c r="AF21" i="3"/>
  <c r="BB24" i="12"/>
  <c r="BB28" i="12" s="1"/>
  <c r="BB23" i="12"/>
  <c r="BB26" i="12" s="1"/>
  <c r="AP15" i="12"/>
  <c r="AP16" i="7"/>
  <c r="AP44" i="5"/>
  <c r="AT5" i="12"/>
  <c r="AT5" i="7"/>
  <c r="AT5" i="8"/>
  <c r="AT5" i="6"/>
  <c r="AT5" i="5"/>
  <c r="AJ23" i="8"/>
  <c r="AJ18" i="8"/>
  <c r="AG4" i="12"/>
  <c r="AJ4" i="12"/>
  <c r="AI4" i="12"/>
  <c r="AP4" i="12"/>
  <c r="AH4" i="12"/>
  <c r="AP48" i="3"/>
  <c r="AX24" i="12"/>
  <c r="AX28" i="12" s="1"/>
  <c r="AX23" i="12"/>
  <c r="AX26" i="12" s="1"/>
  <c r="AF20" i="8"/>
  <c r="AF28" i="2"/>
  <c r="AL38" i="8"/>
  <c r="AL40" i="8" s="1"/>
  <c r="AL28" i="2"/>
  <c r="AL35" i="2" s="1"/>
  <c r="BD15" i="12"/>
  <c r="BD16" i="7"/>
  <c r="BD44" i="5"/>
  <c r="AG32" i="3"/>
  <c r="AE33" i="3"/>
  <c r="AE43" i="3"/>
  <c r="AF43" i="3" s="1"/>
  <c r="AE39" i="3"/>
  <c r="AF39" i="3" s="1"/>
  <c r="AF32" i="3"/>
  <c r="AK13" i="8"/>
  <c r="AK31" i="8"/>
  <c r="AK35" i="8" s="1"/>
  <c r="AK51" i="3"/>
  <c r="AK53" i="3" s="1"/>
  <c r="BA24" i="12"/>
  <c r="BA28" i="12" s="1"/>
  <c r="BA23" i="12"/>
  <c r="BA26" i="12" s="1"/>
  <c r="AO15" i="2"/>
  <c r="AO76" i="2" s="1"/>
  <c r="AW24" i="12"/>
  <c r="AW28" i="12" s="1"/>
  <c r="AW23" i="12"/>
  <c r="AW26" i="12" s="1"/>
  <c r="AE4" i="8"/>
  <c r="AD4" i="8"/>
  <c r="AK4" i="8"/>
  <c r="AC4" i="8"/>
  <c r="AB4" i="8"/>
  <c r="AF22" i="8"/>
  <c r="AE33" i="2"/>
  <c r="AE35" i="2" s="1"/>
  <c r="AE41" i="2" s="1"/>
  <c r="AE53" i="2" s="1"/>
  <c r="AE54" i="2" s="1"/>
  <c r="AG35" i="2"/>
  <c r="BE31" i="6"/>
  <c r="AS9" i="3"/>
  <c r="AP12" i="12" l="1"/>
  <c r="AP9" i="12"/>
  <c r="AP10" i="12" s="1"/>
  <c r="AP21" i="3"/>
  <c r="BE7" i="12"/>
  <c r="BE8" i="7"/>
  <c r="BE7" i="7" s="1"/>
  <c r="AS10" i="3"/>
  <c r="BE61" i="2"/>
  <c r="BE60" i="2" s="1"/>
  <c r="BD14" i="12"/>
  <c r="BD18" i="12" s="1"/>
  <c r="BD11" i="5"/>
  <c r="AO4" i="12"/>
  <c r="AN4" i="12"/>
  <c r="AU4" i="12"/>
  <c r="AM4" i="12"/>
  <c r="AL4" i="12"/>
  <c r="AK18" i="8"/>
  <c r="AJ28" i="2"/>
  <c r="AP14" i="12"/>
  <c r="AP11" i="5"/>
  <c r="AP12" i="5" s="1"/>
  <c r="G4" i="4"/>
  <c r="AM42" i="8"/>
  <c r="AP18" i="8"/>
  <c r="AO28" i="2"/>
  <c r="AK9" i="12"/>
  <c r="AK10" i="12" s="1"/>
  <c r="AK12" i="12"/>
  <c r="AK21" i="3"/>
  <c r="AT24" i="12"/>
  <c r="AT28" i="12" s="1"/>
  <c r="AT23" i="12"/>
  <c r="AT26" i="12" s="1"/>
  <c r="AK14" i="8"/>
  <c r="AK14" i="2"/>
  <c r="AK73" i="2" s="1"/>
  <c r="AF24" i="8"/>
  <c r="AF33" i="2"/>
  <c r="AF18" i="12"/>
  <c r="AY14" i="12"/>
  <c r="AY18" i="12" s="1"/>
  <c r="AY11" i="5"/>
  <c r="X14" i="12"/>
  <c r="X18" i="12" s="1"/>
  <c r="X17" i="7"/>
  <c r="AO27" i="8"/>
  <c r="AO26" i="8" s="1"/>
  <c r="AO38" i="8" s="1"/>
  <c r="AO40" i="8" s="1"/>
  <c r="AO42" i="8" s="1"/>
  <c r="AO22" i="8"/>
  <c r="AU9" i="8"/>
  <c r="AU8" i="8" s="1"/>
  <c r="AQ9" i="8"/>
  <c r="AQ11" i="3"/>
  <c r="AU8" i="12" s="1"/>
  <c r="AQ24" i="3"/>
  <c r="AQ27" i="3" s="1"/>
  <c r="AQ17" i="3"/>
  <c r="AQ14" i="3"/>
  <c r="AQ18" i="3"/>
  <c r="BC24" i="12"/>
  <c r="BC28" i="12" s="1"/>
  <c r="BC23" i="12"/>
  <c r="BC26" i="12" s="1"/>
  <c r="AP28" i="3"/>
  <c r="AL32" i="3"/>
  <c r="AZ7" i="12"/>
  <c r="AZ8" i="7"/>
  <c r="AZ7" i="7" s="1"/>
  <c r="AR10" i="3"/>
  <c r="AZ61" i="2"/>
  <c r="AZ60" i="2" s="1"/>
  <c r="BC5" i="12"/>
  <c r="BC5" i="8"/>
  <c r="BC5" i="6"/>
  <c r="BC5" i="7"/>
  <c r="BC5" i="5"/>
  <c r="BD5" i="2"/>
  <c r="AP30" i="8"/>
  <c r="AO29" i="2"/>
  <c r="AF9" i="5"/>
  <c r="AE9" i="5" s="1"/>
  <c r="E3" i="4"/>
  <c r="E8" i="4" s="1"/>
  <c r="E22" i="4" s="1"/>
  <c r="E24" i="4" s="1"/>
  <c r="AF33" i="3"/>
  <c r="AJ27" i="8"/>
  <c r="AJ26" i="8" s="1"/>
  <c r="AJ22" i="8"/>
  <c r="AI4" i="8"/>
  <c r="AP4" i="8"/>
  <c r="AH4" i="8"/>
  <c r="AJ4" i="8"/>
  <c r="AG4" i="8"/>
  <c r="AG39" i="3"/>
  <c r="AG33" i="3"/>
  <c r="AG9" i="5"/>
  <c r="AG43" i="3"/>
  <c r="AN35" i="2"/>
  <c r="AK30" i="8"/>
  <c r="AJ29" i="2"/>
  <c r="AO4" i="7"/>
  <c r="AN4" i="7"/>
  <c r="AU4" i="7"/>
  <c r="AM4" i="7"/>
  <c r="AL4" i="7"/>
  <c r="AJ15" i="2"/>
  <c r="AJ76" i="2" s="1"/>
  <c r="AF28" i="8"/>
  <c r="AF30" i="2"/>
  <c r="AF35" i="2" s="1"/>
  <c r="AP34" i="8"/>
  <c r="AO31" i="2"/>
  <c r="AF38" i="8"/>
  <c r="AF40" i="8" s="1"/>
  <c r="AF42" i="8" s="1"/>
  <c r="AF16" i="12" s="1"/>
  <c r="W16" i="7"/>
  <c r="AE12" i="5"/>
  <c r="AN38" i="8"/>
  <c r="AN40" i="8" s="1"/>
  <c r="AN42" i="8" s="1"/>
  <c r="AJ21" i="3"/>
  <c r="AJ28" i="3"/>
  <c r="AU15" i="12"/>
  <c r="AU16" i="7"/>
  <c r="AU44" i="5"/>
  <c r="AK34" i="8"/>
  <c r="AJ31" i="2"/>
  <c r="AP14" i="8"/>
  <c r="AP14" i="2"/>
  <c r="AP73" i="2" s="1"/>
  <c r="AY5" i="12"/>
  <c r="AY5" i="8"/>
  <c r="AY5" i="6"/>
  <c r="AY5" i="7"/>
  <c r="AY5" i="5"/>
  <c r="AZ4" i="6"/>
  <c r="AR4" i="6"/>
  <c r="AT4" i="6"/>
  <c r="AS4" i="6"/>
  <c r="AQ4" i="6"/>
  <c r="AG42" i="8"/>
  <c r="AH42" i="8"/>
  <c r="AP15" i="2"/>
  <c r="AP76" i="2" s="1"/>
  <c r="AO39" i="3"/>
  <c r="AO33" i="3"/>
  <c r="AO43" i="3"/>
  <c r="BD5" i="12" l="1"/>
  <c r="BD5" i="8"/>
  <c r="BD5" i="6"/>
  <c r="BD5" i="7"/>
  <c r="BD5" i="5"/>
  <c r="AV4" i="6"/>
  <c r="AX4" i="6"/>
  <c r="BE4" i="6"/>
  <c r="AY4" i="6"/>
  <c r="AW4" i="6"/>
  <c r="AK22" i="8"/>
  <c r="AJ33" i="2"/>
  <c r="AY24" i="12"/>
  <c r="AY28" i="12" s="1"/>
  <c r="AY23" i="12"/>
  <c r="AY26" i="12" s="1"/>
  <c r="AK20" i="8"/>
  <c r="AK28" i="2"/>
  <c r="AJ32" i="3"/>
  <c r="AK28" i="3"/>
  <c r="AP36" i="8"/>
  <c r="AP31" i="2"/>
  <c r="AU4" i="8"/>
  <c r="AM4" i="8"/>
  <c r="AL4" i="8"/>
  <c r="AO4" i="8"/>
  <c r="AN4" i="8"/>
  <c r="AK26" i="8"/>
  <c r="AJ30" i="2"/>
  <c r="AF24" i="12"/>
  <c r="AF28" i="12" s="1"/>
  <c r="AF23" i="12"/>
  <c r="AF26" i="12" s="1"/>
  <c r="AP20" i="8"/>
  <c r="AP28" i="2"/>
  <c r="BE9" i="8"/>
  <c r="BE8" i="8" s="1"/>
  <c r="AS9" i="8"/>
  <c r="AS14" i="3"/>
  <c r="AS11" i="3"/>
  <c r="BE8" i="12" s="1"/>
  <c r="AS24" i="3"/>
  <c r="AS27" i="3" s="1"/>
  <c r="AS17" i="3"/>
  <c r="AS18" i="3"/>
  <c r="AL33" i="3"/>
  <c r="AL43" i="3"/>
  <c r="AP43" i="3" s="1"/>
  <c r="AL39" i="3"/>
  <c r="AP39" i="3" s="1"/>
  <c r="AP32" i="3"/>
  <c r="AQ31" i="8"/>
  <c r="AQ35" i="8" s="1"/>
  <c r="AQ13" i="8"/>
  <c r="AU31" i="8"/>
  <c r="AU13" i="8"/>
  <c r="AU12" i="8" s="1"/>
  <c r="AU14" i="2" s="1"/>
  <c r="AU73" i="2" s="1"/>
  <c r="AU13" i="2"/>
  <c r="AJ35" i="2"/>
  <c r="BE15" i="12"/>
  <c r="BE16" i="7"/>
  <c r="BE44" i="5"/>
  <c r="AZ15" i="12"/>
  <c r="AZ16" i="7"/>
  <c r="AZ44" i="5"/>
  <c r="AK36" i="8"/>
  <c r="AK31" i="2"/>
  <c r="W14" i="12"/>
  <c r="W18" i="12" s="1"/>
  <c r="W17" i="7"/>
  <c r="AE34" i="5"/>
  <c r="AQ19" i="8"/>
  <c r="AQ23" i="8" s="1"/>
  <c r="AQ27" i="8" s="1"/>
  <c r="AU19" i="8"/>
  <c r="AU85" i="2"/>
  <c r="AU82" i="2"/>
  <c r="AU79" i="2"/>
  <c r="AQ19" i="3"/>
  <c r="AQ20" i="3" s="1"/>
  <c r="AU14" i="12"/>
  <c r="AU11" i="5"/>
  <c r="AS4" i="7"/>
  <c r="AZ4" i="7"/>
  <c r="AR4" i="7"/>
  <c r="AQ4" i="7"/>
  <c r="AT4" i="7"/>
  <c r="AK32" i="8"/>
  <c r="AK29" i="2"/>
  <c r="AK15" i="2"/>
  <c r="AK76" i="2" s="1"/>
  <c r="AP32" i="8"/>
  <c r="AP29" i="2"/>
  <c r="AZ9" i="8"/>
  <c r="AZ8" i="8" s="1"/>
  <c r="AR9" i="8"/>
  <c r="AR24" i="3"/>
  <c r="AR27" i="3" s="1"/>
  <c r="AR17" i="3"/>
  <c r="AR14" i="3"/>
  <c r="AR18" i="3"/>
  <c r="AR11" i="3"/>
  <c r="AZ8" i="12" s="1"/>
  <c r="AP22" i="8"/>
  <c r="AO33" i="2"/>
  <c r="AO35" i="2"/>
  <c r="AJ38" i="8"/>
  <c r="AJ40" i="8" s="1"/>
  <c r="AJ42" i="8" s="1"/>
  <c r="AS4" i="12"/>
  <c r="AZ4" i="12"/>
  <c r="AR4" i="12"/>
  <c r="AQ4" i="12"/>
  <c r="AT4" i="12"/>
  <c r="BD24" i="12"/>
  <c r="BD28" i="12" s="1"/>
  <c r="BD23" i="12"/>
  <c r="BD26" i="12" s="1"/>
  <c r="AP26" i="8"/>
  <c r="AO30" i="2"/>
  <c r="AP28" i="8" l="1"/>
  <c r="AP30" i="2"/>
  <c r="AZ31" i="8"/>
  <c r="AR31" i="8"/>
  <c r="AR35" i="8" s="1"/>
  <c r="AR13" i="8"/>
  <c r="AZ13" i="8"/>
  <c r="AZ12" i="8" s="1"/>
  <c r="AZ14" i="2" s="1"/>
  <c r="AZ73" i="2" s="1"/>
  <c r="BE4" i="7"/>
  <c r="AW4" i="7"/>
  <c r="AV4" i="7"/>
  <c r="AY4" i="7"/>
  <c r="AX4" i="7"/>
  <c r="AU12" i="12"/>
  <c r="AU9" i="12"/>
  <c r="AU10" i="12" s="1"/>
  <c r="AQ28" i="3"/>
  <c r="AQ32" i="3" s="1"/>
  <c r="AQ21" i="3"/>
  <c r="AU23" i="8"/>
  <c r="AU18" i="8"/>
  <c r="BE14" i="12"/>
  <c r="BE11" i="5"/>
  <c r="J4" i="4"/>
  <c r="AU16" i="8"/>
  <c r="BE13" i="2"/>
  <c r="AK28" i="8"/>
  <c r="AK30" i="2"/>
  <c r="AK24" i="8"/>
  <c r="AK33" i="2"/>
  <c r="AZ14" i="12"/>
  <c r="AZ11" i="5"/>
  <c r="I4" i="4"/>
  <c r="G3" i="4"/>
  <c r="G8" i="4" s="1"/>
  <c r="G22" i="4" s="1"/>
  <c r="G24" i="4" s="1"/>
  <c r="AP33" i="3"/>
  <c r="AP9" i="5"/>
  <c r="AQ4" i="8"/>
  <c r="AT4" i="8"/>
  <c r="AS4" i="8"/>
  <c r="AZ4" i="8"/>
  <c r="AR4" i="8"/>
  <c r="AJ9" i="5"/>
  <c r="AJ43" i="3"/>
  <c r="AK43" i="3" s="1"/>
  <c r="AJ39" i="3"/>
  <c r="AK39" i="3" s="1"/>
  <c r="AJ33" i="3"/>
  <c r="AK32" i="3"/>
  <c r="AU30" i="8"/>
  <c r="AU29" i="2" s="1"/>
  <c r="AU35" i="8"/>
  <c r="AU34" i="8" s="1"/>
  <c r="AU31" i="2" s="1"/>
  <c r="BE13" i="8"/>
  <c r="BE12" i="8" s="1"/>
  <c r="BE14" i="2" s="1"/>
  <c r="BE73" i="2" s="1"/>
  <c r="AS13" i="8"/>
  <c r="AS31" i="8"/>
  <c r="AS35" i="8" s="1"/>
  <c r="BE31" i="8"/>
  <c r="BE19" i="8"/>
  <c r="AS19" i="8"/>
  <c r="AS23" i="8" s="1"/>
  <c r="AS27" i="8" s="1"/>
  <c r="BE85" i="2"/>
  <c r="BE82" i="2"/>
  <c r="BE79" i="2"/>
  <c r="AS19" i="3"/>
  <c r="AS20" i="3" s="1"/>
  <c r="AK35" i="2"/>
  <c r="BE4" i="12"/>
  <c r="AW4" i="12"/>
  <c r="AV4" i="12"/>
  <c r="AY4" i="12"/>
  <c r="AX4" i="12"/>
  <c r="AP24" i="8"/>
  <c r="AP33" i="2"/>
  <c r="AP35" i="2" s="1"/>
  <c r="AR19" i="8"/>
  <c r="AR23" i="8" s="1"/>
  <c r="AR27" i="8" s="1"/>
  <c r="AZ19" i="8"/>
  <c r="AR19" i="3"/>
  <c r="AR20" i="3" s="1"/>
  <c r="AZ85" i="2"/>
  <c r="AZ79" i="2"/>
  <c r="AZ82" i="2"/>
  <c r="AZ16" i="8"/>
  <c r="AZ13" i="2"/>
  <c r="AZ15" i="2" s="1"/>
  <c r="AZ76" i="2" s="1"/>
  <c r="AU15" i="2"/>
  <c r="AU76" i="2" s="1"/>
  <c r="AP38" i="8"/>
  <c r="AP40" i="8" s="1"/>
  <c r="AK38" i="8"/>
  <c r="AK40" i="8" s="1"/>
  <c r="BD4" i="6"/>
  <c r="BC4" i="6"/>
  <c r="BB4" i="6"/>
  <c r="BA4" i="6"/>
  <c r="BE23" i="8" l="1"/>
  <c r="BE18" i="8"/>
  <c r="AU27" i="8"/>
  <c r="AU26" i="8" s="1"/>
  <c r="AU30" i="2" s="1"/>
  <c r="AU22" i="8"/>
  <c r="AU33" i="2" s="1"/>
  <c r="AP42" i="8"/>
  <c r="AP16" i="12" s="1"/>
  <c r="AP18" i="12" s="1"/>
  <c r="AQ42" i="8"/>
  <c r="BE35" i="8"/>
  <c r="BE34" i="8" s="1"/>
  <c r="BE31" i="2" s="1"/>
  <c r="BE30" i="8"/>
  <c r="BE29" i="2" s="1"/>
  <c r="AY4" i="8"/>
  <c r="AX4" i="8"/>
  <c r="BE4" i="8"/>
  <c r="AW4" i="8"/>
  <c r="AV4" i="8"/>
  <c r="AZ30" i="8"/>
  <c r="AZ29" i="2" s="1"/>
  <c r="AZ35" i="8"/>
  <c r="AZ34" i="8" s="1"/>
  <c r="AZ31" i="2" s="1"/>
  <c r="AZ23" i="8"/>
  <c r="AZ18" i="8"/>
  <c r="BE15" i="2"/>
  <c r="BE76" i="2" s="1"/>
  <c r="BA4" i="7"/>
  <c r="BD4" i="7"/>
  <c r="BC4" i="7"/>
  <c r="BB4" i="7"/>
  <c r="BE16" i="8"/>
  <c r="H3" i="4"/>
  <c r="H8" i="4" s="1"/>
  <c r="H22" i="4" s="1"/>
  <c r="H24" i="4" s="1"/>
  <c r="AQ33" i="3"/>
  <c r="AU9" i="5"/>
  <c r="AQ43" i="3"/>
  <c r="AQ39" i="3"/>
  <c r="BA4" i="12"/>
  <c r="BD4" i="12"/>
  <c r="BC4" i="12"/>
  <c r="BB4" i="12"/>
  <c r="AK42" i="8"/>
  <c r="AK16" i="12" s="1"/>
  <c r="AK18" i="12" s="1"/>
  <c r="AL42" i="8"/>
  <c r="AZ12" i="12"/>
  <c r="AZ9" i="12"/>
  <c r="AZ10" i="12" s="1"/>
  <c r="AR21" i="3"/>
  <c r="AR28" i="3"/>
  <c r="AR32" i="3" s="1"/>
  <c r="BE9" i="12"/>
  <c r="BE10" i="12" s="1"/>
  <c r="BE12" i="12"/>
  <c r="AS28" i="3"/>
  <c r="AS32" i="3" s="1"/>
  <c r="AS21" i="3"/>
  <c r="F3" i="4"/>
  <c r="F8" i="4" s="1"/>
  <c r="F22" i="4" s="1"/>
  <c r="F24" i="4" s="1"/>
  <c r="AK33" i="3"/>
  <c r="AK9" i="5"/>
  <c r="AU28" i="2"/>
  <c r="AZ9" i="5" l="1"/>
  <c r="AR43" i="3"/>
  <c r="AR39" i="3"/>
  <c r="AR33" i="3"/>
  <c r="I3" i="4"/>
  <c r="I8" i="4" s="1"/>
  <c r="I22" i="4" s="1"/>
  <c r="I24" i="4" s="1"/>
  <c r="BC4" i="8"/>
  <c r="BB4" i="8"/>
  <c r="BA4" i="8"/>
  <c r="BD4" i="8"/>
  <c r="AU35" i="2"/>
  <c r="AK24" i="12"/>
  <c r="AK28" i="12" s="1"/>
  <c r="AK23" i="12"/>
  <c r="AK26" i="12" s="1"/>
  <c r="AZ28" i="2"/>
  <c r="AP24" i="12"/>
  <c r="AP28" i="12" s="1"/>
  <c r="AP23" i="12"/>
  <c r="AP26" i="12" s="1"/>
  <c r="BE28" i="2"/>
  <c r="AS39" i="3"/>
  <c r="J3" i="4"/>
  <c r="J8" i="4" s="1"/>
  <c r="J22" i="4" s="1"/>
  <c r="J24" i="4" s="1"/>
  <c r="BF24" i="12" s="1"/>
  <c r="AS33" i="3"/>
  <c r="AS43" i="3"/>
  <c r="BE9" i="5"/>
  <c r="AU38" i="8"/>
  <c r="AU40" i="8" s="1"/>
  <c r="AZ27" i="8"/>
  <c r="AZ26" i="8" s="1"/>
  <c r="AZ30" i="2" s="1"/>
  <c r="AZ22" i="8"/>
  <c r="AZ33" i="2" s="1"/>
  <c r="BE27" i="8"/>
  <c r="BE26" i="8" s="1"/>
  <c r="BE30" i="2" s="1"/>
  <c r="BE22" i="8"/>
  <c r="BE33" i="2" s="1"/>
  <c r="BE35" i="2" l="1"/>
  <c r="BE38" i="8"/>
  <c r="BE40" i="8" s="1"/>
  <c r="AZ38" i="8"/>
  <c r="AZ40" i="8" s="1"/>
  <c r="AZ35" i="2"/>
  <c r="AU42" i="8"/>
  <c r="AU16" i="12" s="1"/>
  <c r="AU18" i="12" s="1"/>
  <c r="AV42" i="8"/>
  <c r="AU24" i="12" l="1"/>
  <c r="AU28" i="12" s="1"/>
  <c r="AU23" i="12"/>
  <c r="AU26" i="12" s="1"/>
  <c r="AZ42" i="8"/>
  <c r="AZ16" i="12" s="1"/>
  <c r="AZ18" i="12" s="1"/>
  <c r="BA42" i="8"/>
  <c r="BE42" i="8"/>
  <c r="BE16" i="12" s="1"/>
  <c r="BE18" i="12" s="1"/>
  <c r="AZ24" i="12" l="1"/>
  <c r="AZ28" i="12" s="1"/>
  <c r="AZ23" i="12"/>
  <c r="AZ26" i="12" s="1"/>
  <c r="AA34" i="12" s="1"/>
  <c r="AA37" i="12" s="1"/>
  <c r="AA40" i="12" s="1"/>
  <c r="BL9" i="12" s="1"/>
  <c r="BF23" i="12"/>
  <c r="BE24" i="12"/>
  <c r="BE28" i="12" s="1"/>
  <c r="AZ34" i="12" s="1"/>
  <c r="AZ37" i="12" s="1"/>
  <c r="AZ40" i="12" s="1"/>
  <c r="BL22" i="12" s="1"/>
  <c r="BE23" i="12"/>
  <c r="BE26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88" authorId="0" shapeId="0" xr:uid="{00000000-0006-0000-0800-000001000000}">
      <text>
        <r>
          <rPr>
            <sz val="11"/>
            <color theme="1"/>
            <rFont val="Arial"/>
          </rPr>
          <t>======
ID#AAAAN7txARs
Ryan Powderly-Gross    (2021-08-10 22:59:45)
Q1: 3 months ended
Q2: 6 months ended
Q3: 9 Months ended</t>
        </r>
      </text>
    </comment>
    <comment ref="B120" authorId="0" shapeId="0" xr:uid="{00000000-0006-0000-0800-000002000000}">
      <text>
        <r>
          <rPr>
            <sz val="11"/>
            <color theme="1"/>
            <rFont val="Arial"/>
          </rPr>
          <t>======
ID#AAAAN7txARg
Ryan Powderly-Gross    (2021-08-10 22:59:45)
(For the previous year)
Q1: 3 months ended
Q2: 6 months ended
Q3: 9 Months ended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Nzlc0imx1pVQd2D1UnqM6zZesN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" authorId="0" shapeId="0" xr:uid="{00000000-0006-0000-0900-000002000000}">
      <text>
        <r>
          <rPr>
            <sz val="11"/>
            <color theme="1"/>
            <rFont val="Arial"/>
          </rPr>
          <t>======
ID#AAAAN7txARk
Ryan Powderly-Gross    (2021-08-10 22:59:45)
(Don't delete)
Inputs in this row (used by formulas)</t>
        </r>
      </text>
    </comment>
    <comment ref="B19" authorId="0" shapeId="0" xr:uid="{00000000-0006-0000-0900-000001000000}">
      <text>
        <r>
          <rPr>
            <sz val="11"/>
            <color theme="1"/>
            <rFont val="Arial"/>
          </rPr>
          <t>======
ID#AAAAN7txARo
Ryan Powderly-Gross    (2021-08-10 22:59:45)
(Don't delete)
Inputs in this row (used by formulas)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VYyo7qskWwU3wHgM5uZcCBCT+xg=="/>
    </ext>
  </extLst>
</comments>
</file>

<file path=xl/sharedStrings.xml><?xml version="1.0" encoding="utf-8"?>
<sst xmlns="http://schemas.openxmlformats.org/spreadsheetml/2006/main" count="898" uniqueCount="563">
  <si>
    <t xml:space="preserve"> </t>
  </si>
  <si>
    <t>American Tower</t>
  </si>
  <si>
    <t>Sector Head:</t>
  </si>
  <si>
    <t>Brandon Wexler</t>
  </si>
  <si>
    <t>Bwexler1@binghamton.edu</t>
  </si>
  <si>
    <t xml:space="preserve">Contributing Senior Analyst: </t>
  </si>
  <si>
    <t>Chris Hui</t>
  </si>
  <si>
    <t xml:space="preserve">chui@binghamton.edu </t>
  </si>
  <si>
    <t xml:space="preserve">Contributing Junior Analysts: </t>
  </si>
  <si>
    <t>Willliam Hofving</t>
  </si>
  <si>
    <t>whofvin1@binghamton.edu</t>
  </si>
  <si>
    <t>Skylar Kabatsky</t>
  </si>
  <si>
    <t>skabats1@binghamton.edu</t>
  </si>
  <si>
    <t>Model Updated:</t>
  </si>
  <si>
    <t>Q1/2021</t>
  </si>
  <si>
    <t>Q2/2021</t>
  </si>
  <si>
    <t>Q3/2021</t>
  </si>
  <si>
    <t>Q4/2021E</t>
  </si>
  <si>
    <t>Q1/2022E</t>
  </si>
  <si>
    <t>Q2/2022E</t>
  </si>
  <si>
    <t>Q3/2022E</t>
  </si>
  <si>
    <t>Q4/2022E</t>
  </si>
  <si>
    <t>Q1/2023E</t>
  </si>
  <si>
    <t>Q2/2023E</t>
  </si>
  <si>
    <t>Q3/2023E</t>
  </si>
  <si>
    <t>Q4/2023E</t>
  </si>
  <si>
    <t>Assets</t>
  </si>
  <si>
    <t>Current Assets</t>
  </si>
  <si>
    <t>Cash and cash equivalents</t>
  </si>
  <si>
    <t>Restricted cash</t>
  </si>
  <si>
    <t>Short Term Investments</t>
  </si>
  <si>
    <t>Accounts receivable, net</t>
  </si>
  <si>
    <t>Prepaid and other current assets</t>
  </si>
  <si>
    <t>Total current assets</t>
  </si>
  <si>
    <t>PROPERTY AND EQUIPMENT, net</t>
  </si>
  <si>
    <t>GOODWILL</t>
  </si>
  <si>
    <t>OTHER INTANGIBLE ASSETS, net</t>
  </si>
  <si>
    <t>DEFERRED TAX ASSET</t>
  </si>
  <si>
    <t>DEFERRED RENT ASSET</t>
  </si>
  <si>
    <t>RIGHT-OF-USE ASSET</t>
  </si>
  <si>
    <t>NOTES RECEIVABLE AND OTHER NON-CURRENT ASSETS</t>
  </si>
  <si>
    <t>Total assets</t>
  </si>
  <si>
    <t>Liabilities and Equity</t>
  </si>
  <si>
    <t>Current Liabilities</t>
  </si>
  <si>
    <t>Accounts payable</t>
  </si>
  <si>
    <t>Accrued expenses</t>
  </si>
  <si>
    <t>Distributions payable</t>
  </si>
  <si>
    <t>Accrued interest</t>
  </si>
  <si>
    <t>Current portion of operating lease liability</t>
  </si>
  <si>
    <t>Current portion of long-term obligations</t>
  </si>
  <si>
    <t>Unearned revenue</t>
  </si>
  <si>
    <t>Total current liabilities</t>
  </si>
  <si>
    <t>LONG-TERM OBLIGATIONS</t>
  </si>
  <si>
    <t>OPERATING LEASE LIABILITY</t>
  </si>
  <si>
    <t>ASSET RETIREMENT OBLIGATIONS</t>
  </si>
  <si>
    <t>DEFERRED TAX LIABILITY</t>
  </si>
  <si>
    <t>OTHER NON-CURRENT LIABILITIES</t>
  </si>
  <si>
    <t>Total liabilities</t>
  </si>
  <si>
    <t>REDEEMABLE NONCONTROLLING INTERESTS</t>
  </si>
  <si>
    <t xml:space="preserve"> Equity (Shares In Thousands)</t>
  </si>
  <si>
    <t>Common stock: $0.01 par value; 1,000,000 shares authorized; 455,245 and 453,541 shares issued; and 444,330 and 442,890 shares outstanding, respectively</t>
  </si>
  <si>
    <t>Additional paid-in capital</t>
  </si>
  <si>
    <t>Distributions in excess of earnings</t>
  </si>
  <si>
    <t>Accumulated other comprehensive loss</t>
  </si>
  <si>
    <t>Treasury stock (10,915 and 10,651 shares at cost, respectively)</t>
  </si>
  <si>
    <t>Total American Tower Corporation equity</t>
  </si>
  <si>
    <t>Noncontrolling interests</t>
  </si>
  <si>
    <t>Total equity</t>
  </si>
  <si>
    <t>Total liabilities and equity</t>
  </si>
  <si>
    <t>Check</t>
  </si>
  <si>
    <t>Accounts Receivable</t>
  </si>
  <si>
    <t>Revenue</t>
  </si>
  <si>
    <t>Days Outstanding</t>
  </si>
  <si>
    <t>Merchandise</t>
  </si>
  <si>
    <t>N/A</t>
  </si>
  <si>
    <t>COGS</t>
  </si>
  <si>
    <t>%COGS * 365</t>
  </si>
  <si>
    <t>Prepaid Expenses</t>
  </si>
  <si>
    <t>% COGS</t>
  </si>
  <si>
    <t>Short-term Investments</t>
  </si>
  <si>
    <t>Other Current Assets</t>
  </si>
  <si>
    <r>
      <rPr>
        <b/>
        <sz val="8"/>
        <color theme="1"/>
        <rFont val="Arial"/>
      </rPr>
      <t xml:space="preserve">Total Current Assets </t>
    </r>
    <r>
      <rPr>
        <sz val="8"/>
        <color theme="1"/>
        <rFont val="Arial"/>
      </rPr>
      <t>(Not including cash)</t>
    </r>
  </si>
  <si>
    <t>Short term debt</t>
  </si>
  <si>
    <t>% Cost of Net Revenue *365</t>
  </si>
  <si>
    <t xml:space="preserve">Accounts Payable </t>
  </si>
  <si>
    <t>Acrued Expenses &amp; Other Liabillities</t>
  </si>
  <si>
    <t>% Cost of Net Revenue * 365</t>
  </si>
  <si>
    <t>Total Current Liabilities</t>
  </si>
  <si>
    <t>Q2/2019</t>
  </si>
  <si>
    <t>Q3/2019</t>
  </si>
  <si>
    <t>Q4/2019</t>
  </si>
  <si>
    <t>Q1/2020</t>
  </si>
  <si>
    <t>Q2/2020</t>
  </si>
  <si>
    <t>Q3/2020</t>
  </si>
  <si>
    <t>Q4/2020</t>
  </si>
  <si>
    <t>Q1/2022</t>
  </si>
  <si>
    <t>Q2/2022</t>
  </si>
  <si>
    <t>Q3/2022</t>
  </si>
  <si>
    <t>Q4/2022</t>
  </si>
  <si>
    <t>Q1/2023</t>
  </si>
  <si>
    <t>Q2/2023</t>
  </si>
  <si>
    <t>Q3/2023</t>
  </si>
  <si>
    <t>Q4/2023</t>
  </si>
  <si>
    <t>Revenues</t>
  </si>
  <si>
    <t>Property</t>
  </si>
  <si>
    <t>Services</t>
  </si>
  <si>
    <t>Total Revenues</t>
  </si>
  <si>
    <t>Revenue growth (yoy)</t>
  </si>
  <si>
    <t>Expenses</t>
  </si>
  <si>
    <t>Costs of operations (exclusive of items shown separately below):</t>
  </si>
  <si>
    <t xml:space="preserve">Property </t>
  </si>
  <si>
    <t>Depreciation, amortization and accretion</t>
  </si>
  <si>
    <t>Selling, general, administrative and development expense</t>
  </si>
  <si>
    <t>Other operating expenses</t>
  </si>
  <si>
    <t>Operating Expenses:</t>
  </si>
  <si>
    <t>EBIT</t>
  </si>
  <si>
    <t>EBIT Margin</t>
  </si>
  <si>
    <t>Interest expense, TV Azteca</t>
  </si>
  <si>
    <t>Interest income</t>
  </si>
  <si>
    <t>Interest expense</t>
  </si>
  <si>
    <t>Loss on retirement of long-term obligations</t>
  </si>
  <si>
    <t>Other (expense) income (including foreign currency (losses) gains of $(216.4), $6.1, and $(4.5), respectively)</t>
  </si>
  <si>
    <t>Total other expense</t>
  </si>
  <si>
    <t>Income From Continuing operations</t>
  </si>
  <si>
    <t>Income tax (provision) benefit</t>
  </si>
  <si>
    <t>Tax rate</t>
  </si>
  <si>
    <t>Net income/loss</t>
  </si>
  <si>
    <t>Profit margin</t>
  </si>
  <si>
    <t>Net income attributable to noncontrolling interests</t>
  </si>
  <si>
    <t>NET INCOME ATTRIBUTABLE TO AMERICAN TOWER CORPORATION STOCKHOLDERS</t>
  </si>
  <si>
    <t>Dividends on preferred stock</t>
  </si>
  <si>
    <t>—</t>
  </si>
  <si>
    <t>NET INCOME ATTRIBUTABLE TO AMERICAN TOWER CORPORATION COMMON STOCKHOLDERS</t>
  </si>
  <si>
    <t>Basic shares outstanding (weighted average)</t>
  </si>
  <si>
    <t>Basic EPS</t>
  </si>
  <si>
    <t>Diluted shares outstanding (weighted average)</t>
  </si>
  <si>
    <t>Diluted EPS</t>
  </si>
  <si>
    <t>Cost of operations (Property)</t>
  </si>
  <si>
    <t xml:space="preserve">As a % of revenue </t>
  </si>
  <si>
    <t>SG&amp;A</t>
  </si>
  <si>
    <t xml:space="preserve">Selling General and Administrative </t>
  </si>
  <si>
    <t>As a % of Revenue</t>
  </si>
  <si>
    <t>Other operating Expenses</t>
  </si>
  <si>
    <t>% of Revenue</t>
  </si>
  <si>
    <t>Interest Expense</t>
  </si>
  <si>
    <t>#REF!</t>
  </si>
  <si>
    <t>Depr, Amoritization</t>
  </si>
  <si>
    <t>Depr, Amor as a % of Total Assets</t>
  </si>
  <si>
    <t>2019</t>
  </si>
  <si>
    <t>2020</t>
  </si>
  <si>
    <t xml:space="preserve">Percent Change </t>
  </si>
  <si>
    <t>2021E</t>
  </si>
  <si>
    <t>2022E</t>
  </si>
  <si>
    <t>2023E</t>
  </si>
  <si>
    <t>2024E</t>
  </si>
  <si>
    <t>2025E</t>
  </si>
  <si>
    <t>2026E</t>
  </si>
  <si>
    <t>Net income</t>
  </si>
  <si>
    <t>Real estate related depreciation, amortization and accretion</t>
  </si>
  <si>
    <t>Losses from sale or disposal of real estate and real estate related impairment charges (1)</t>
  </si>
  <si>
    <t>Dividend to noncontrolling interest</t>
  </si>
  <si>
    <t>Adjustments for unconsolidated affiliates and noncontrolling interests</t>
  </si>
  <si>
    <t>Nareit FFO attributable to American Tower Corporation common stockholders</t>
  </si>
  <si>
    <t>Straight-line revenue</t>
  </si>
  <si>
    <t>Straight-line expense</t>
  </si>
  <si>
    <t>Stock-based compensation expense</t>
  </si>
  <si>
    <t>Deferred portion of income tax (2)</t>
  </si>
  <si>
    <t>Non-real estate related depreciation, amortization and accretion</t>
  </si>
  <si>
    <t>Amortization of deferred financing costs, capitalized interest, debt discounts and premiums and long-term deferred interest charges</t>
  </si>
  <si>
    <t>Payment of shareholder loan interest (3)</t>
  </si>
  <si>
    <t>Other expense (income) (4)</t>
  </si>
  <si>
    <t>Other operating expenses (5)</t>
  </si>
  <si>
    <t>Capital improvement capital expenditures</t>
  </si>
  <si>
    <t>Corporate capital expenditures</t>
  </si>
  <si>
    <t>Consolidated AFFO</t>
  </si>
  <si>
    <t>Adjustments for unconsolidated affiliates and noncontrolling interests (6)</t>
  </si>
  <si>
    <t>AFFO attributable to American Tower Corporation common stockholders</t>
  </si>
  <si>
    <t>Q1/2018</t>
  </si>
  <si>
    <t>Q2/2018</t>
  </si>
  <si>
    <t>Q3/2018</t>
  </si>
  <si>
    <t>Q4/2018</t>
  </si>
  <si>
    <t>Q1/2019</t>
  </si>
  <si>
    <t>Cash flows from operating activities</t>
  </si>
  <si>
    <t>Adjustments to reconcile net loss to cash used in operating activities:</t>
  </si>
  <si>
    <t>as a % of capex</t>
  </si>
  <si>
    <t>Amortization of operating leases</t>
  </si>
  <si>
    <t>Loss on investments, unrealized foreign currency loss and other non-cash expense</t>
  </si>
  <si>
    <t>Impairments, net loss on sale of long-lived assets, non-cash restructuring and merger related expenses</t>
  </si>
  <si>
    <t>Loss on early retirement of long-term obligations</t>
  </si>
  <si>
    <t>Other non cash items reflected in statement of operations</t>
  </si>
  <si>
    <t>Increase in net deferred rent balances</t>
  </si>
  <si>
    <t>Amortization of deferred financing costs, debt discounts and premiums and other non-cash interest</t>
  </si>
  <si>
    <t>Deferred income taxes</t>
  </si>
  <si>
    <t>Changes in assets and liabilities, net of acquisitions:</t>
  </si>
  <si>
    <t>Accounts receivable</t>
  </si>
  <si>
    <t>Prepaid and other assets</t>
  </si>
  <si>
    <t>Deferred rent asset</t>
  </si>
  <si>
    <t>Right-of-use asset and Operating lease liability, net</t>
  </si>
  <si>
    <t>Accounts payable and accrued expenses</t>
  </si>
  <si>
    <t>Deferred rent liability</t>
  </si>
  <si>
    <t>Other non-current liabilities</t>
  </si>
  <si>
    <t>Increase in assets</t>
  </si>
  <si>
    <t>Increase (decrease) in liabilities</t>
  </si>
  <si>
    <t>Net cash flows from operations</t>
  </si>
  <si>
    <t>Cash flows from investing activities</t>
  </si>
  <si>
    <t>Payments for purchase of property and equipment and construction activities</t>
  </si>
  <si>
    <t>as a % of revenue</t>
  </si>
  <si>
    <t>Payments for acquisitions, net of cash acquired</t>
  </si>
  <si>
    <t>Proceeds from sales of short-term investments and other non-current assets</t>
  </si>
  <si>
    <t>Payments for short-term investments</t>
  </si>
  <si>
    <t>Deposits and other</t>
  </si>
  <si>
    <t>Net cash flows from investing activities</t>
  </si>
  <si>
    <t>Cash flows from financing activities</t>
  </si>
  <si>
    <t>Borrowings under credit facilities</t>
  </si>
  <si>
    <t>Proceeds from issuance of senior notes, net</t>
  </si>
  <si>
    <t>Proceeds from term loans</t>
  </si>
  <si>
    <t>Proceeds from issuance of securities in securitization transaction</t>
  </si>
  <si>
    <t>Repayments of notes payable, credit facilities, term loans, senior notes, secured debt, finance leases and capital leases</t>
  </si>
  <si>
    <t>Distributions to noncontrolling interest holders, net</t>
  </si>
  <si>
    <t>Contributions from noncontrolling interest</t>
  </si>
  <si>
    <t>Purchases of common stock</t>
  </si>
  <si>
    <t>Proceeds from stock options and employee stock purchase plan</t>
  </si>
  <si>
    <t>Distributions paid on common stock</t>
  </si>
  <si>
    <t>Proceeds from issuance of common stock</t>
  </si>
  <si>
    <t>Distributions paid on preferred stock</t>
  </si>
  <si>
    <t>Payment for early retirement of long-term obligations</t>
  </si>
  <si>
    <t>Deferred financing costs and other financing activities</t>
  </si>
  <si>
    <t>Purchases of redeemable noncontrolling interests</t>
  </si>
  <si>
    <t>Purchase of noncontrolling interest</t>
  </si>
  <si>
    <t>Net cash flows from financing activities</t>
  </si>
  <si>
    <t>Beginning cash balance</t>
  </si>
  <si>
    <t>Foreign currency effects</t>
  </si>
  <si>
    <t>Net change in cash</t>
  </si>
  <si>
    <t>Ending cash balance</t>
  </si>
  <si>
    <t>US &amp; Canada</t>
  </si>
  <si>
    <t>% Growth</t>
  </si>
  <si>
    <t>Asia-Pacific</t>
  </si>
  <si>
    <t>EMEA</t>
  </si>
  <si>
    <t>Latin America</t>
  </si>
  <si>
    <t>Total Property</t>
  </si>
  <si>
    <t xml:space="preserve">Services </t>
  </si>
  <si>
    <t>Capital Expenditures</t>
  </si>
  <si>
    <t>% of Sales</t>
  </si>
  <si>
    <t>Depreciation + Amortization</t>
  </si>
  <si>
    <t>% of CapEX</t>
  </si>
  <si>
    <t>Accounts Recieveable</t>
  </si>
  <si>
    <t>Days Sales Outstanding (DSO)</t>
  </si>
  <si>
    <t>Prepaid Expenses and Liabilities</t>
  </si>
  <si>
    <t>% of SG&amp;A</t>
  </si>
  <si>
    <t>Total Current Assets</t>
  </si>
  <si>
    <t>Accounts Payable</t>
  </si>
  <si>
    <t>COGS (Property + Services Cost)</t>
  </si>
  <si>
    <t>Days Payable Outstanding</t>
  </si>
  <si>
    <t>Short Term Debt</t>
  </si>
  <si>
    <t>Days Out</t>
  </si>
  <si>
    <t>Distributions Payable</t>
  </si>
  <si>
    <t>Accrued Expenses</t>
  </si>
  <si>
    <t>Accrued Interest</t>
  </si>
  <si>
    <t>Net Working Capital</t>
  </si>
  <si>
    <t>Δ NWC</t>
  </si>
  <si>
    <t>Prices/data last updated</t>
  </si>
  <si>
    <t>Company 1</t>
  </si>
  <si>
    <t>Company 2</t>
  </si>
  <si>
    <t>Company 3</t>
  </si>
  <si>
    <t>Company 4</t>
  </si>
  <si>
    <t>Company 5</t>
  </si>
  <si>
    <t>Company 6</t>
  </si>
  <si>
    <t>Company 7</t>
  </si>
  <si>
    <t>Company 8</t>
  </si>
  <si>
    <t>Company 9</t>
  </si>
  <si>
    <t>Company 10</t>
  </si>
  <si>
    <t>Company 11</t>
  </si>
  <si>
    <t>Never</t>
  </si>
  <si>
    <t>Comps Inputs ($ in Thousands)</t>
  </si>
  <si>
    <t>Ticker</t>
  </si>
  <si>
    <t>Last fiscal year end date</t>
  </si>
  <si>
    <t>Last quarter end date</t>
  </si>
  <si>
    <t>Last quarter</t>
  </si>
  <si>
    <t>Current stock price</t>
  </si>
  <si>
    <t xml:space="preserve">Price as of: </t>
  </si>
  <si>
    <t>Basic shares outstanding</t>
  </si>
  <si>
    <t>Options exercisable</t>
  </si>
  <si>
    <t>Tranche 1</t>
  </si>
  <si>
    <t>Tranche 2</t>
  </si>
  <si>
    <t>Tranche 3</t>
  </si>
  <si>
    <t>Tranche 4</t>
  </si>
  <si>
    <t>Tranche 5</t>
  </si>
  <si>
    <t>Tranche 6</t>
  </si>
  <si>
    <t>Tranche 7</t>
  </si>
  <si>
    <t>Tranche 8</t>
  </si>
  <si>
    <t>Tranche 9</t>
  </si>
  <si>
    <t>Tranche 10</t>
  </si>
  <si>
    <t>Tranche 11</t>
  </si>
  <si>
    <t>Tranche 12</t>
  </si>
  <si>
    <t>Tranche 13</t>
  </si>
  <si>
    <t>Tranche 14</t>
  </si>
  <si>
    <t>Tranche 15</t>
  </si>
  <si>
    <t>Exercise price</t>
  </si>
  <si>
    <t>Gross proceeds from exercise of options</t>
  </si>
  <si>
    <t>Gross dilution</t>
  </si>
  <si>
    <t>Dilution from exercisable options</t>
  </si>
  <si>
    <t>Dilution from convertible debt</t>
  </si>
  <si>
    <t>Dilution from convertible preferred stock / other</t>
  </si>
  <si>
    <t>Diluted shares outstanding</t>
  </si>
  <si>
    <t>Financial Statements</t>
  </si>
  <si>
    <t>INCOME STATEMENT: LAST FISCAL YEAR</t>
  </si>
  <si>
    <t>Gross Profit</t>
  </si>
  <si>
    <t>SG&amp;A + Other operating expenses</t>
  </si>
  <si>
    <t>Operating income (EBIT)</t>
  </si>
  <si>
    <t>Nonoperating income (expense)</t>
  </si>
  <si>
    <t>Pretax income</t>
  </si>
  <si>
    <t>Tax benefit (expense)</t>
  </si>
  <si>
    <t>Diluted (weighted average) shares outstanding</t>
  </si>
  <si>
    <t>Non-GAAP exclusions</t>
  </si>
  <si>
    <t>Excluded operating expense / (income)</t>
  </si>
  <si>
    <t>Excluded nonoperating expense / (income)</t>
  </si>
  <si>
    <t>Tax effect of non-GAAP exclusions</t>
  </si>
  <si>
    <t>Normalized (Non-GAAP) financials</t>
  </si>
  <si>
    <t>Depreciation and amortization expense</t>
  </si>
  <si>
    <t>EBITDA</t>
  </si>
  <si>
    <t xml:space="preserve">Tax benefit / (expense) </t>
  </si>
  <si>
    <t xml:space="preserve">Net income </t>
  </si>
  <si>
    <t>Diluted EPS calculation</t>
  </si>
  <si>
    <t>Numerator adjustment</t>
  </si>
  <si>
    <t>Denominator adjustment</t>
  </si>
  <si>
    <t>INCOME STATEMENT: LAST X MONTHS ENDED</t>
  </si>
  <si>
    <t>Actuals through:</t>
  </si>
  <si>
    <t>INCOME STATEMENT: LAST X MONTHS ENDED T-1</t>
  </si>
  <si>
    <t>LAST TWELVE MONTHS (LTM)</t>
  </si>
  <si>
    <t>LTM as of:</t>
  </si>
  <si>
    <t>Revenues - LTM</t>
  </si>
  <si>
    <t>EBITDA - LTM</t>
  </si>
  <si>
    <t>EBIT - LTM</t>
  </si>
  <si>
    <t>EPS - LTM</t>
  </si>
  <si>
    <t>LAST FISCAL YEAR (FYE)</t>
  </si>
  <si>
    <t>FY ending:</t>
  </si>
  <si>
    <t>Revenues - latest FYE</t>
  </si>
  <si>
    <t>EBITDA - latest FYE</t>
  </si>
  <si>
    <t>EBIT - latest FYE</t>
  </si>
  <si>
    <t>EPS - latest FYE</t>
  </si>
  <si>
    <t>BALANCE SHEET DATA (LATEST QUARTER)</t>
  </si>
  <si>
    <t>Short-term debt (incl. current portion)</t>
  </si>
  <si>
    <t>Long-term debt</t>
  </si>
  <si>
    <t>Preferred stock</t>
  </si>
  <si>
    <t>Gross debt</t>
  </si>
  <si>
    <t>Less: Cash &amp; cash equivalents</t>
  </si>
  <si>
    <t>Net debt</t>
  </si>
  <si>
    <t>Analyst Forecasts</t>
  </si>
  <si>
    <t>FISCAL YEAR 1 FORECASTS</t>
  </si>
  <si>
    <t>Revenues - Fiscal year 1</t>
  </si>
  <si>
    <t>EBITDA - Fiscal year 1</t>
  </si>
  <si>
    <t>EBIT - Fiscal year 1</t>
  </si>
  <si>
    <t>EPS - Fiscal year 1</t>
  </si>
  <si>
    <t>Source for estimates:</t>
  </si>
  <si>
    <t>FISCAL YEAR 2 FORECASTS</t>
  </si>
  <si>
    <t>Revenues - Fiscal year 2</t>
  </si>
  <si>
    <t>EBITDA - Fiscal year 2</t>
  </si>
  <si>
    <t>EBIT - Fiscal year 2</t>
  </si>
  <si>
    <t>EPS - Fiscal year 2</t>
  </si>
  <si>
    <t>FISCAL YEAR 3 FORECASTS</t>
  </si>
  <si>
    <t>Revenues - Fiscal year 3</t>
  </si>
  <si>
    <t>EBITDA - Fiscal year 3</t>
  </si>
  <si>
    <t>EBIT - Fiscal year 3</t>
  </si>
  <si>
    <t>EPS - Fiscal year 3</t>
  </si>
  <si>
    <t>LONG TERM (5 YEAR) GROWTH RATE</t>
  </si>
  <si>
    <t>Long-term growth rate</t>
  </si>
  <si>
    <t>Market Value and Multiples</t>
  </si>
  <si>
    <t>MARKET VALUATION</t>
  </si>
  <si>
    <t>Share price</t>
  </si>
  <si>
    <t>Market capitalization</t>
  </si>
  <si>
    <t>Enterprise Value</t>
  </si>
  <si>
    <t>MULTIPLES</t>
  </si>
  <si>
    <t>Last twelve month (LTM)</t>
  </si>
  <si>
    <t>EV / Revenues - LTM</t>
  </si>
  <si>
    <t>EV / EBITDA - LTM</t>
  </si>
  <si>
    <t>EV / EBIT - LTM</t>
  </si>
  <si>
    <t>P/E - LTM</t>
  </si>
  <si>
    <t>Year 1</t>
  </si>
  <si>
    <t>EV / Revenues - Year 1</t>
  </si>
  <si>
    <t>EV / EBITDA - Year 1</t>
  </si>
  <si>
    <t>EV / EBIT - Year 1</t>
  </si>
  <si>
    <t>P/E - Year 1</t>
  </si>
  <si>
    <t>Year 2</t>
  </si>
  <si>
    <t>EV / Revenues - Year 2</t>
  </si>
  <si>
    <t>EV / EBITDA - Year 2</t>
  </si>
  <si>
    <t>EV / EBIT - Year 2</t>
  </si>
  <si>
    <t>P/E - Year 2</t>
  </si>
  <si>
    <t>PE/LTG (PEG ratio)</t>
  </si>
  <si>
    <t>BETA</t>
  </si>
  <si>
    <t>Observed Beta</t>
  </si>
  <si>
    <t>Market cap</t>
  </si>
  <si>
    <t>Cash</t>
  </si>
  <si>
    <t>Delevered beta</t>
  </si>
  <si>
    <t>Average delevered beta:</t>
  </si>
  <si>
    <t>Last Twelve Months (LTM)</t>
  </si>
  <si>
    <t>Next FY Forecast</t>
  </si>
  <si>
    <t>Share Price</t>
  </si>
  <si>
    <t xml:space="preserve">Diluted shares </t>
  </si>
  <si>
    <t>Market Cap</t>
  </si>
  <si>
    <t xml:space="preserve">Dividend </t>
  </si>
  <si>
    <t>Comparable Companies ($ in Millions)</t>
  </si>
  <si>
    <t>Yield</t>
  </si>
  <si>
    <t>FFO</t>
  </si>
  <si>
    <t>AFFO</t>
  </si>
  <si>
    <t>EPS</t>
  </si>
  <si>
    <t>AMT</t>
  </si>
  <si>
    <t>Crown Castle</t>
  </si>
  <si>
    <t>CCI</t>
  </si>
  <si>
    <t>Public Storage</t>
  </si>
  <si>
    <t>PSA</t>
  </si>
  <si>
    <t>SBA Communications</t>
  </si>
  <si>
    <t>SBAC</t>
  </si>
  <si>
    <t>Equinix</t>
  </si>
  <si>
    <t>EQIX</t>
  </si>
  <si>
    <t>Prologis</t>
  </si>
  <si>
    <t>PLD</t>
  </si>
  <si>
    <t>EV/Revenue</t>
  </si>
  <si>
    <t>Debt/EBITDA</t>
  </si>
  <si>
    <t>Price/FFO</t>
  </si>
  <si>
    <t>Price/AFFO</t>
  </si>
  <si>
    <t>Duke Realty Corp</t>
  </si>
  <si>
    <t>DRE</t>
  </si>
  <si>
    <t>Min</t>
  </si>
  <si>
    <t>Q1</t>
  </si>
  <si>
    <t>Med</t>
  </si>
  <si>
    <t>Q3</t>
  </si>
  <si>
    <t>Max</t>
  </si>
  <si>
    <t>Mean</t>
  </si>
  <si>
    <t>DCF GG</t>
  </si>
  <si>
    <t>DCF Multiples (Price/AFFO)</t>
  </si>
  <si>
    <t xml:space="preserve">Traditional DDM </t>
  </si>
  <si>
    <t xml:space="preserve">Terminal Supernormal DDM </t>
  </si>
  <si>
    <t>Supernormal DDM</t>
  </si>
  <si>
    <t>Spread</t>
  </si>
  <si>
    <t>Average</t>
  </si>
  <si>
    <t>Traditional DDM</t>
  </si>
  <si>
    <t>Supernormal Growth DDM</t>
  </si>
  <si>
    <t>DDM Traditional</t>
  </si>
  <si>
    <t>DDM Supernormal</t>
  </si>
  <si>
    <t>DCF Multiples</t>
  </si>
  <si>
    <t xml:space="preserve">Target </t>
  </si>
  <si>
    <t>Current Price</t>
  </si>
  <si>
    <t>Upside</t>
  </si>
  <si>
    <t>Date</t>
  </si>
  <si>
    <t>SPY Close</t>
  </si>
  <si>
    <t>AMT Close</t>
  </si>
  <si>
    <t>SPY % Change</t>
  </si>
  <si>
    <t>AMT % Change</t>
  </si>
  <si>
    <t>BETA:</t>
  </si>
  <si>
    <t>AMT - American Tower</t>
  </si>
  <si>
    <t>CAPM Calculation</t>
  </si>
  <si>
    <t>Dividend Growth</t>
  </si>
  <si>
    <t>5 Year Beta</t>
  </si>
  <si>
    <t>Year End</t>
  </si>
  <si>
    <t>Dividend per Share</t>
  </si>
  <si>
    <t>YoY Dividend Increase</t>
  </si>
  <si>
    <t>YoY Growth</t>
  </si>
  <si>
    <t>Market Return</t>
  </si>
  <si>
    <t>Risk-free Rate</t>
  </si>
  <si>
    <t>Market Risk Premium</t>
  </si>
  <si>
    <t>Cost of Equity</t>
  </si>
  <si>
    <t>Expected Dividend per Share</t>
  </si>
  <si>
    <t>Dividend Growth Rate</t>
  </si>
  <si>
    <t>Historical Average from 2011-2020</t>
  </si>
  <si>
    <t>Supernormal Dividend Growth</t>
  </si>
  <si>
    <t>Terminal Dividend Growth</t>
  </si>
  <si>
    <t>Traditional DDM Sensitivity Analysis</t>
  </si>
  <si>
    <t>D0</t>
  </si>
  <si>
    <t>D1</t>
  </si>
  <si>
    <t>D2</t>
  </si>
  <si>
    <t>D3</t>
  </si>
  <si>
    <t>D4</t>
  </si>
  <si>
    <t>D5</t>
  </si>
  <si>
    <t>Supernomal Growth DDM Sensitivity Analysis A</t>
  </si>
  <si>
    <t>Terminal Dividend Growth Rate</t>
  </si>
  <si>
    <t>Supernomal Growth DDM Sensitivity Analysis B</t>
  </si>
  <si>
    <t>Supernormal Dividend Growth Rate</t>
  </si>
  <si>
    <t>Revenue growth</t>
  </si>
  <si>
    <t>WACC</t>
  </si>
  <si>
    <t>EBIT margin</t>
  </si>
  <si>
    <t>NOPAT</t>
  </si>
  <si>
    <t>Growth Rate</t>
  </si>
  <si>
    <t>Tax Rate</t>
  </si>
  <si>
    <t>Plus: D&amp;A</t>
  </si>
  <si>
    <t>Less: CapEx</t>
  </si>
  <si>
    <t>Less: Δ NWC</t>
  </si>
  <si>
    <t>FCFF</t>
  </si>
  <si>
    <t>Terminal value (growth rate)</t>
  </si>
  <si>
    <t>Terminal value (multiple)</t>
  </si>
  <si>
    <t xml:space="preserve">Terminal Value </t>
  </si>
  <si>
    <t>Cash flows (growth rate)</t>
  </si>
  <si>
    <t>Cash flows (multiple)</t>
  </si>
  <si>
    <t>PV of cash flows (growth rate)</t>
  </si>
  <si>
    <t>PV of cash flows (multiple)</t>
  </si>
  <si>
    <t>Discount factor (years)</t>
  </si>
  <si>
    <t>Growth rate method</t>
  </si>
  <si>
    <t>Growth Rate Method</t>
  </si>
  <si>
    <t>Multiples method</t>
  </si>
  <si>
    <t>Enterprise value</t>
  </si>
  <si>
    <t>Less: Debt</t>
  </si>
  <si>
    <t>Plus: Cash</t>
  </si>
  <si>
    <t>Equity value</t>
  </si>
  <si>
    <t>Price per share</t>
  </si>
  <si>
    <t>Implied Price per share</t>
  </si>
  <si>
    <t>Support and Assumptions</t>
  </si>
  <si>
    <t>($mm)</t>
  </si>
  <si>
    <t>Capital expenditures (CapEx)</t>
  </si>
  <si>
    <t>CapEx (as % of revenue)</t>
  </si>
  <si>
    <t>Depreciation and amortization (D&amp;A)</t>
  </si>
  <si>
    <t>D&amp;A (as % of revenue)</t>
  </si>
  <si>
    <t>FCFF growth</t>
  </si>
  <si>
    <t>Debt</t>
  </si>
  <si>
    <t>Terminal growth rate</t>
  </si>
  <si>
    <t>Terminal multiple (Price / AFFO)</t>
  </si>
  <si>
    <t>Market value of debt</t>
  </si>
  <si>
    <t>Weight of debt</t>
  </si>
  <si>
    <t>Pre-Tax cost of debt</t>
  </si>
  <si>
    <t>Tax effected cost of debt</t>
  </si>
  <si>
    <t>Market value of equity</t>
  </si>
  <si>
    <t>Weight of equity</t>
  </si>
  <si>
    <t>Risk free rate</t>
  </si>
  <si>
    <t>Market risk premium</t>
  </si>
  <si>
    <t>Beta</t>
  </si>
  <si>
    <t>Cost of equity</t>
  </si>
  <si>
    <t xml:space="preserve">WEIGHTED YTM </t>
  </si>
  <si>
    <t>Weighted average cost of capital</t>
  </si>
  <si>
    <t>If interest coverage ratio is</t>
  </si>
  <si>
    <t>&gt;</t>
  </si>
  <si>
    <t>≤ to</t>
  </si>
  <si>
    <t>Rating is</t>
  </si>
  <si>
    <t>Spread is</t>
  </si>
  <si>
    <t>Senior Notes</t>
  </si>
  <si>
    <t>Aggregate Principal Amount (in millions)</t>
  </si>
  <si>
    <t>Weight</t>
  </si>
  <si>
    <t>Amount</t>
  </si>
  <si>
    <t>Aaa/AAA</t>
  </si>
  <si>
    <t>2.400% Notes</t>
  </si>
  <si>
    <t>Aa2/AA</t>
  </si>
  <si>
    <t>2.900% Notes</t>
  </si>
  <si>
    <t>A1/A+</t>
  </si>
  <si>
    <t>1.300% Notes</t>
  </si>
  <si>
    <t>A2/A</t>
  </si>
  <si>
    <t>2.100% Notes</t>
  </si>
  <si>
    <t>A3/A-</t>
  </si>
  <si>
    <t>3.100% Notes (3)</t>
  </si>
  <si>
    <t>Baa2/BBB</t>
  </si>
  <si>
    <t>0.500% Notes (4)</t>
  </si>
  <si>
    <t>Ba1/BB+</t>
  </si>
  <si>
    <t>1.000% Notes (4)</t>
  </si>
  <si>
    <t>Ba2/BB</t>
  </si>
  <si>
    <t>1.875% Notes</t>
  </si>
  <si>
    <t>B1/B+</t>
  </si>
  <si>
    <t>0.600% Notes</t>
  </si>
  <si>
    <t>B2/B</t>
  </si>
  <si>
    <t>1.500% Notes</t>
  </si>
  <si>
    <t>B3/B-</t>
  </si>
  <si>
    <t>2.950% Notes</t>
  </si>
  <si>
    <t>Caa/CCC</t>
  </si>
  <si>
    <t xml:space="preserve">TOTAL : </t>
  </si>
  <si>
    <t>Ca2/CC</t>
  </si>
  <si>
    <t>C2/C</t>
  </si>
  <si>
    <t>D2/D</t>
  </si>
  <si>
    <t xml:space="preserve">                                      Weights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</si>
</sst>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Q1/&quot;0000"/>
    <numFmt numFmtId="166" formatCode="&quot;Q2/&quot;0000"/>
    <numFmt numFmtId="167" formatCode="&quot;Q3/&quot;0000"/>
    <numFmt numFmtId="168" formatCode="&quot;Q4/&quot;0000"/>
    <numFmt numFmtId="169" formatCode="&quot;FY/&quot;0000"/>
    <numFmt numFmtId="170" formatCode="&quot;FY/&quot;0000&quot;&quot;"/>
    <numFmt numFmtId="171" formatCode="&quot;FY/&quot;0000&quot;E&quot;"/>
    <numFmt numFmtId="172" formatCode="_(&quot;$&quot;* #,##0_);_(&quot;$&quot;* \(#,##0\);_(&quot;$&quot;* &quot;-&quot;??_);_(@_)"/>
    <numFmt numFmtId="173" formatCode="_(* #,##0.0_);_(* \(#,##0.0\);_(* &quot;-&quot;??_);_(@_)"/>
    <numFmt numFmtId="174" formatCode="0.0"/>
    <numFmt numFmtId="175" formatCode="&quot;Q4/&quot;0000&quot;E&quot;"/>
    <numFmt numFmtId="176" formatCode="_(&quot;$&quot;* #,##0.0_);_(&quot;$&quot;* \(#,##0.0\);_(&quot;$&quot;* &quot;-&quot;??_);_(@_)"/>
    <numFmt numFmtId="177" formatCode="0.0%"/>
    <numFmt numFmtId="178" formatCode="&quot;$&quot;#,##0.00"/>
    <numFmt numFmtId="179" formatCode="0_);\(0\)"/>
    <numFmt numFmtId="180" formatCode="[$-F800]dddd\,\ mmmm\ dd\,\ yyyy"/>
    <numFmt numFmtId="181" formatCode="0.00&quot;x&quot;"/>
    <numFmt numFmtId="182" formatCode="0.000"/>
    <numFmt numFmtId="183" formatCode="#,##0.0_);\(#,##0.0\);\-_);@_)"/>
    <numFmt numFmtId="184" formatCode="0.0&quot;x&quot;"/>
    <numFmt numFmtId="185" formatCode="_([$$-409]* #,##0.00_);_([$$-409]* \(#,##0.00\);_([$$-409]* &quot;-&quot;??_);_(@_)"/>
    <numFmt numFmtId="186" formatCode="_(\$* #,##0.00_);_(\$* \(#,##0.00\);_(\$* \-??_);_(@_)"/>
  </numFmts>
  <fonts count="47" x14ac:knownFonts="1">
    <font>
      <sz val="11"/>
      <color theme="1"/>
      <name val="Arial"/>
    </font>
    <font>
      <sz val="14"/>
      <color theme="0"/>
      <name val="Garamond"/>
    </font>
    <font>
      <b/>
      <sz val="28"/>
      <color rgb="FFFFFFFF"/>
      <name val="Garamond"/>
    </font>
    <font>
      <b/>
      <sz val="14"/>
      <color theme="0"/>
      <name val="Garamond"/>
    </font>
    <font>
      <sz val="14"/>
      <color rgb="FFFFFFFF"/>
      <name val="Garamond"/>
    </font>
    <font>
      <b/>
      <sz val="14"/>
      <color rgb="FFFFFFFF"/>
      <name val="Garamond"/>
    </font>
    <font>
      <sz val="8"/>
      <color theme="1"/>
      <name val="Arial"/>
    </font>
    <font>
      <b/>
      <sz val="12"/>
      <color theme="7"/>
      <name val="Arial"/>
    </font>
    <font>
      <b/>
      <i/>
      <sz val="10"/>
      <color theme="0"/>
      <name val="Arial"/>
    </font>
    <font>
      <b/>
      <sz val="10"/>
      <color theme="0"/>
      <name val="Arial"/>
    </font>
    <font>
      <b/>
      <sz val="12"/>
      <color theme="0"/>
      <name val="Arial"/>
    </font>
    <font>
      <b/>
      <u/>
      <sz val="8"/>
      <color theme="1"/>
      <name val="Arial"/>
    </font>
    <font>
      <b/>
      <sz val="8"/>
      <color rgb="FF000000"/>
      <name val="Arial"/>
    </font>
    <font>
      <sz val="8"/>
      <color rgb="FF000000"/>
      <name val="Arial"/>
    </font>
    <font>
      <b/>
      <sz val="8"/>
      <color theme="1"/>
      <name val="Arial"/>
    </font>
    <font>
      <i/>
      <sz val="8"/>
      <color theme="1"/>
      <name val="Arial"/>
    </font>
    <font>
      <sz val="8"/>
      <color rgb="FF0070C0"/>
      <name val="Arial"/>
    </font>
    <font>
      <b/>
      <sz val="11"/>
      <color rgb="FF000000"/>
      <name val="Calibri"/>
    </font>
    <font>
      <sz val="10"/>
      <color theme="1"/>
      <name val="Arial"/>
    </font>
    <font>
      <b/>
      <sz val="10"/>
      <color theme="1"/>
      <name val="Arial"/>
    </font>
    <font>
      <b/>
      <sz val="10"/>
      <color rgb="FFFFFFFF"/>
      <name val="Arial"/>
    </font>
    <font>
      <sz val="11"/>
      <name val="Arial"/>
    </font>
    <font>
      <b/>
      <u/>
      <sz val="8"/>
      <color theme="1"/>
      <name val="Arial"/>
    </font>
    <font>
      <b/>
      <i/>
      <sz val="8"/>
      <color theme="1"/>
      <name val="Arial"/>
    </font>
    <font>
      <b/>
      <sz val="8"/>
      <color theme="0"/>
      <name val="Arial"/>
    </font>
    <font>
      <b/>
      <sz val="8"/>
      <color rgb="FF0000FF"/>
      <name val="Arial"/>
    </font>
    <font>
      <i/>
      <sz val="8"/>
      <color rgb="FF0000FF"/>
      <name val="Arial"/>
    </font>
    <font>
      <sz val="8"/>
      <color theme="0"/>
      <name val="Arial"/>
    </font>
    <font>
      <b/>
      <i/>
      <sz val="8"/>
      <color theme="0"/>
      <name val="Arial"/>
    </font>
    <font>
      <sz val="11"/>
      <color theme="1"/>
      <name val="Calibri"/>
    </font>
    <font>
      <u/>
      <sz val="8"/>
      <color theme="1"/>
      <name val="Arial"/>
    </font>
    <font>
      <b/>
      <sz val="11"/>
      <color theme="0"/>
      <name val="Garamond"/>
    </font>
    <font>
      <sz val="11"/>
      <color theme="1"/>
      <name val="Garamond"/>
    </font>
    <font>
      <b/>
      <sz val="11"/>
      <color theme="1"/>
      <name val="Garamond"/>
    </font>
    <font>
      <sz val="8"/>
      <color rgb="FF0000FF"/>
      <name val="Arial"/>
    </font>
    <font>
      <b/>
      <u/>
      <sz val="8"/>
      <color theme="0"/>
      <name val="Arial"/>
    </font>
    <font>
      <b/>
      <i/>
      <sz val="8"/>
      <color rgb="FF0000FF"/>
      <name val="Arial"/>
    </font>
    <font>
      <b/>
      <sz val="20"/>
      <color theme="1"/>
      <name val="Arial"/>
    </font>
    <font>
      <i/>
      <sz val="10"/>
      <color theme="1"/>
      <name val="Times"/>
    </font>
    <font>
      <b/>
      <i/>
      <sz val="10"/>
      <color theme="1"/>
      <name val="Times"/>
    </font>
    <font>
      <sz val="10"/>
      <color theme="1"/>
      <name val="Times"/>
    </font>
    <font>
      <sz val="10"/>
      <color theme="1"/>
      <name val="Calibri"/>
    </font>
    <font>
      <b/>
      <sz val="11"/>
      <color theme="1"/>
      <name val="Arial"/>
    </font>
    <font>
      <u/>
      <sz val="8"/>
      <color theme="1"/>
      <name val="Arial"/>
      <family val="2"/>
    </font>
    <font>
      <sz val="8"/>
      <color theme="1"/>
      <name val="Garamond"/>
      <family val="1"/>
    </font>
    <font>
      <b/>
      <sz val="8"/>
      <color theme="1"/>
      <name val="Garamond"/>
      <family val="1"/>
    </font>
    <font>
      <u/>
      <sz val="8"/>
      <color theme="1"/>
      <name val="Garamond"/>
      <family val="1"/>
    </font>
  </fonts>
  <fills count="12">
    <fill>
      <patternFill patternType="none"/>
    </fill>
    <fill>
      <patternFill patternType="gray125"/>
    </fill>
    <fill>
      <patternFill patternType="solid">
        <fgColor rgb="FF005A43"/>
        <bgColor rgb="FF005A43"/>
      </patternFill>
    </fill>
    <fill>
      <patternFill patternType="solid">
        <fgColor rgb="FF006A4D"/>
        <bgColor rgb="FF006A4D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2E75B5"/>
        <bgColor rgb="FF2E75B5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00B050"/>
        <bgColor rgb="FF00B050"/>
      </patternFill>
    </fill>
    <fill>
      <patternFill patternType="solid">
        <fgColor rgb="FF92D050"/>
        <bgColor rgb="FF92D050"/>
      </patternFill>
    </fill>
    <fill>
      <patternFill patternType="solid">
        <fgColor rgb="FFD9D9D9"/>
        <bgColor rgb="FFD9D9D9"/>
      </patternFill>
    </fill>
  </fills>
  <borders count="5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rgb="FF000000"/>
      </left>
      <right/>
      <top/>
      <bottom style="thin">
        <color theme="0"/>
      </bottom>
      <diagonal/>
    </border>
    <border>
      <left/>
      <right style="thin">
        <color rgb="FF000000"/>
      </right>
      <top/>
      <bottom style="thin">
        <color theme="0"/>
      </bottom>
      <diagonal/>
    </border>
    <border>
      <left style="thin">
        <color rgb="FF000000"/>
      </left>
      <right/>
      <top style="thin">
        <color theme="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476">
    <xf numFmtId="0" fontId="0" fillId="0" borderId="0" xfId="0" applyFont="1" applyAlignment="1"/>
    <xf numFmtId="0" fontId="1" fillId="0" borderId="0" xfId="0" applyFont="1"/>
    <xf numFmtId="0" fontId="0" fillId="0" borderId="0" xfId="0" applyFont="1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4" fillId="2" borderId="1" xfId="0" applyFont="1" applyFill="1" applyBorder="1"/>
    <xf numFmtId="0" fontId="5" fillId="2" borderId="1" xfId="0" applyFont="1" applyFill="1" applyBorder="1" applyAlignment="1">
      <alignment horizontal="right"/>
    </xf>
    <xf numFmtId="0" fontId="4" fillId="2" borderId="1" xfId="0" applyFont="1" applyFill="1" applyBorder="1"/>
    <xf numFmtId="22" fontId="1" fillId="2" borderId="1" xfId="0" applyNumberFormat="1" applyFont="1" applyFill="1" applyBorder="1" applyAlignment="1">
      <alignment horizontal="center"/>
    </xf>
    <xf numFmtId="0" fontId="6" fillId="0" borderId="0" xfId="0" applyFont="1"/>
    <xf numFmtId="164" fontId="7" fillId="3" borderId="2" xfId="0" applyNumberFormat="1" applyFont="1" applyFill="1" applyBorder="1"/>
    <xf numFmtId="164" fontId="8" fillId="3" borderId="3" xfId="0" applyNumberFormat="1" applyFont="1" applyFill="1" applyBorder="1" applyAlignment="1">
      <alignment horizontal="center" wrapText="1"/>
    </xf>
    <xf numFmtId="165" fontId="9" fillId="3" borderId="2" xfId="0" applyNumberFormat="1" applyFont="1" applyFill="1" applyBorder="1" applyAlignment="1">
      <alignment horizontal="center"/>
    </xf>
    <xf numFmtId="166" fontId="9" fillId="3" borderId="3" xfId="0" applyNumberFormat="1" applyFont="1" applyFill="1" applyBorder="1" applyAlignment="1">
      <alignment horizontal="center"/>
    </xf>
    <xf numFmtId="167" fontId="9" fillId="3" borderId="3" xfId="0" applyNumberFormat="1" applyFont="1" applyFill="1" applyBorder="1" applyAlignment="1">
      <alignment horizontal="center"/>
    </xf>
    <xf numFmtId="168" fontId="9" fillId="3" borderId="4" xfId="0" applyNumberFormat="1" applyFont="1" applyFill="1" applyBorder="1" applyAlignment="1">
      <alignment horizontal="center"/>
    </xf>
    <xf numFmtId="169" fontId="9" fillId="3" borderId="5" xfId="0" applyNumberFormat="1" applyFont="1" applyFill="1" applyBorder="1" applyAlignment="1">
      <alignment horizontal="center"/>
    </xf>
    <xf numFmtId="164" fontId="6" fillId="3" borderId="6" xfId="0" applyNumberFormat="1" applyFont="1" applyFill="1" applyBorder="1"/>
    <xf numFmtId="164" fontId="8" fillId="3" borderId="1" xfId="0" applyNumberFormat="1" applyFont="1" applyFill="1" applyBorder="1" applyAlignment="1">
      <alignment horizontal="center"/>
    </xf>
    <xf numFmtId="165" fontId="9" fillId="3" borderId="6" xfId="0" applyNumberFormat="1" applyFont="1" applyFill="1" applyBorder="1" applyAlignment="1">
      <alignment horizontal="center"/>
    </xf>
    <xf numFmtId="166" fontId="9" fillId="3" borderId="1" xfId="0" applyNumberFormat="1" applyFont="1" applyFill="1" applyBorder="1" applyAlignment="1">
      <alignment horizontal="center"/>
    </xf>
    <xf numFmtId="167" fontId="9" fillId="3" borderId="1" xfId="0" applyNumberFormat="1" applyFont="1" applyFill="1" applyBorder="1" applyAlignment="1">
      <alignment horizontal="center"/>
    </xf>
    <xf numFmtId="168" fontId="9" fillId="3" borderId="7" xfId="0" applyNumberFormat="1" applyFont="1" applyFill="1" applyBorder="1" applyAlignment="1">
      <alignment horizontal="center"/>
    </xf>
    <xf numFmtId="169" fontId="9" fillId="3" borderId="8" xfId="0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3" borderId="6" xfId="0" applyFont="1" applyFill="1" applyBorder="1"/>
    <xf numFmtId="165" fontId="9" fillId="3" borderId="10" xfId="0" applyNumberFormat="1" applyFont="1" applyFill="1" applyBorder="1" applyAlignment="1">
      <alignment horizontal="center"/>
    </xf>
    <xf numFmtId="166" fontId="9" fillId="3" borderId="11" xfId="0" applyNumberFormat="1" applyFont="1" applyFill="1" applyBorder="1" applyAlignment="1">
      <alignment horizontal="center"/>
    </xf>
    <xf numFmtId="167" fontId="9" fillId="3" borderId="11" xfId="0" applyNumberFormat="1" applyFont="1" applyFill="1" applyBorder="1" applyAlignment="1">
      <alignment horizontal="center"/>
    </xf>
    <xf numFmtId="168" fontId="9" fillId="3" borderId="12" xfId="0" applyNumberFormat="1" applyFont="1" applyFill="1" applyBorder="1" applyAlignment="1">
      <alignment horizontal="center"/>
    </xf>
    <xf numFmtId="169" fontId="9" fillId="3" borderId="13" xfId="0" applyNumberFormat="1" applyFont="1" applyFill="1" applyBorder="1" applyAlignment="1">
      <alignment horizontal="center"/>
    </xf>
    <xf numFmtId="170" fontId="9" fillId="3" borderId="13" xfId="0" applyNumberFormat="1" applyFont="1" applyFill="1" applyBorder="1" applyAlignment="1">
      <alignment horizontal="center"/>
    </xf>
    <xf numFmtId="171" fontId="9" fillId="3" borderId="13" xfId="0" applyNumberFormat="1" applyFont="1" applyFill="1" applyBorder="1" applyAlignment="1">
      <alignment horizontal="center"/>
    </xf>
    <xf numFmtId="14" fontId="10" fillId="0" borderId="9" xfId="0" applyNumberFormat="1" applyFont="1" applyBorder="1" applyAlignment="1">
      <alignment horizontal="center"/>
    </xf>
    <xf numFmtId="0" fontId="9" fillId="3" borderId="10" xfId="0" applyFont="1" applyFill="1" applyBorder="1" applyAlignment="1">
      <alignment horizontal="left"/>
    </xf>
    <xf numFmtId="164" fontId="8" fillId="3" borderId="11" xfId="0" applyNumberFormat="1" applyFont="1" applyFill="1" applyBorder="1" applyAlignment="1">
      <alignment horizontal="center"/>
    </xf>
    <xf numFmtId="14" fontId="9" fillId="3" borderId="10" xfId="0" applyNumberFormat="1" applyFont="1" applyFill="1" applyBorder="1" applyAlignment="1">
      <alignment horizontal="center"/>
    </xf>
    <xf numFmtId="14" fontId="9" fillId="3" borderId="11" xfId="0" applyNumberFormat="1" applyFont="1" applyFill="1" applyBorder="1" applyAlignment="1">
      <alignment horizontal="center"/>
    </xf>
    <xf numFmtId="14" fontId="9" fillId="3" borderId="12" xfId="0" applyNumberFormat="1" applyFont="1" applyFill="1" applyBorder="1" applyAlignment="1">
      <alignment horizontal="center"/>
    </xf>
    <xf numFmtId="14" fontId="9" fillId="3" borderId="13" xfId="0" applyNumberFormat="1" applyFont="1" applyFill="1" applyBorder="1" applyAlignment="1">
      <alignment horizontal="center"/>
    </xf>
    <xf numFmtId="14" fontId="9" fillId="3" borderId="6" xfId="0" applyNumberFormat="1" applyFont="1" applyFill="1" applyBorder="1" applyAlignment="1">
      <alignment horizontal="center"/>
    </xf>
    <xf numFmtId="14" fontId="9" fillId="3" borderId="1" xfId="0" applyNumberFormat="1" applyFont="1" applyFill="1" applyBorder="1" applyAlignment="1">
      <alignment horizontal="center"/>
    </xf>
    <xf numFmtId="0" fontId="6" fillId="0" borderId="14" xfId="0" applyFont="1" applyBorder="1"/>
    <xf numFmtId="0" fontId="6" fillId="0" borderId="9" xfId="0" applyFont="1" applyBorder="1"/>
    <xf numFmtId="0" fontId="6" fillId="0" borderId="15" xfId="0" applyFont="1" applyBorder="1"/>
    <xf numFmtId="0" fontId="6" fillId="0" borderId="16" xfId="0" applyFont="1" applyBorder="1"/>
    <xf numFmtId="0" fontId="11" fillId="0" borderId="0" xfId="0" applyFont="1"/>
    <xf numFmtId="172" fontId="6" fillId="0" borderId="0" xfId="0" applyNumberFormat="1" applyFont="1"/>
    <xf numFmtId="172" fontId="6" fillId="0" borderId="9" xfId="0" applyNumberFormat="1" applyFont="1" applyBorder="1"/>
    <xf numFmtId="172" fontId="6" fillId="0" borderId="16" xfId="0" applyNumberFormat="1" applyFont="1" applyBorder="1"/>
    <xf numFmtId="0" fontId="12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164" fontId="6" fillId="0" borderId="9" xfId="0" applyNumberFormat="1" applyFont="1" applyBorder="1"/>
    <xf numFmtId="164" fontId="6" fillId="0" borderId="0" xfId="0" applyNumberFormat="1" applyFont="1"/>
    <xf numFmtId="164" fontId="6" fillId="0" borderId="17" xfId="0" applyNumberFormat="1" applyFont="1" applyBorder="1"/>
    <xf numFmtId="164" fontId="6" fillId="0" borderId="16" xfId="0" applyNumberFormat="1" applyFont="1" applyBorder="1"/>
    <xf numFmtId="0" fontId="14" fillId="0" borderId="0" xfId="0" applyFont="1"/>
    <xf numFmtId="172" fontId="14" fillId="0" borderId="0" xfId="0" applyNumberFormat="1" applyFont="1"/>
    <xf numFmtId="164" fontId="14" fillId="0" borderId="0" xfId="0" applyNumberFormat="1" applyFont="1"/>
    <xf numFmtId="164" fontId="14" fillId="0" borderId="9" xfId="0" applyNumberFormat="1" applyFont="1" applyBorder="1"/>
    <xf numFmtId="164" fontId="14" fillId="0" borderId="17" xfId="0" applyNumberFormat="1" applyFont="1" applyBorder="1"/>
    <xf numFmtId="164" fontId="14" fillId="0" borderId="16" xfId="0" applyNumberFormat="1" applyFont="1" applyBorder="1"/>
    <xf numFmtId="0" fontId="14" fillId="0" borderId="9" xfId="0" applyFont="1" applyBorder="1"/>
    <xf numFmtId="164" fontId="6" fillId="0" borderId="18" xfId="0" applyNumberFormat="1" applyFont="1" applyBorder="1"/>
    <xf numFmtId="164" fontId="6" fillId="0" borderId="19" xfId="0" applyNumberFormat="1" applyFont="1" applyBorder="1"/>
    <xf numFmtId="164" fontId="6" fillId="0" borderId="20" xfId="0" applyNumberFormat="1" applyFont="1" applyBorder="1"/>
    <xf numFmtId="0" fontId="14" fillId="4" borderId="21" xfId="0" applyFont="1" applyFill="1" applyBorder="1"/>
    <xf numFmtId="0" fontId="14" fillId="4" borderId="22" xfId="0" applyFont="1" applyFill="1" applyBorder="1"/>
    <xf numFmtId="172" fontId="14" fillId="4" borderId="22" xfId="0" applyNumberFormat="1" applyFont="1" applyFill="1" applyBorder="1"/>
    <xf numFmtId="172" fontId="14" fillId="4" borderId="21" xfId="0" applyNumberFormat="1" applyFont="1" applyFill="1" applyBorder="1"/>
    <xf numFmtId="164" fontId="14" fillId="4" borderId="21" xfId="0" applyNumberFormat="1" applyFont="1" applyFill="1" applyBorder="1"/>
    <xf numFmtId="164" fontId="14" fillId="4" borderId="22" xfId="0" applyNumberFormat="1" applyFont="1" applyFill="1" applyBorder="1"/>
    <xf numFmtId="43" fontId="14" fillId="4" borderId="23" xfId="0" applyNumberFormat="1" applyFont="1" applyFill="1" applyBorder="1"/>
    <xf numFmtId="164" fontId="14" fillId="4" borderId="24" xfId="0" applyNumberFormat="1" applyFont="1" applyFill="1" applyBorder="1"/>
    <xf numFmtId="172" fontId="14" fillId="4" borderId="23" xfId="0" applyNumberFormat="1" applyFont="1" applyFill="1" applyBorder="1"/>
    <xf numFmtId="172" fontId="14" fillId="4" borderId="24" xfId="0" applyNumberFormat="1" applyFont="1" applyFill="1" applyBorder="1"/>
    <xf numFmtId="172" fontId="6" fillId="0" borderId="15" xfId="0" applyNumberFormat="1" applyFont="1" applyBorder="1"/>
    <xf numFmtId="164" fontId="0" fillId="0" borderId="9" xfId="0" applyNumberFormat="1" applyFont="1" applyBorder="1"/>
    <xf numFmtId="1" fontId="6" fillId="0" borderId="16" xfId="0" applyNumberFormat="1" applyFont="1" applyBorder="1"/>
    <xf numFmtId="1" fontId="6" fillId="0" borderId="0" xfId="0" applyNumberFormat="1" applyFont="1"/>
    <xf numFmtId="1" fontId="6" fillId="0" borderId="17" xfId="0" applyNumberFormat="1" applyFont="1" applyBorder="1"/>
    <xf numFmtId="0" fontId="0" fillId="0" borderId="9" xfId="0" applyFont="1" applyBorder="1"/>
    <xf numFmtId="164" fontId="6" fillId="0" borderId="25" xfId="0" applyNumberFormat="1" applyFont="1" applyBorder="1"/>
    <xf numFmtId="0" fontId="0" fillId="0" borderId="18" xfId="0" applyFont="1" applyBorder="1"/>
    <xf numFmtId="164" fontId="14" fillId="4" borderId="23" xfId="0" applyNumberFormat="1" applyFont="1" applyFill="1" applyBorder="1"/>
    <xf numFmtId="164" fontId="6" fillId="0" borderId="14" xfId="0" applyNumberFormat="1" applyFont="1" applyBorder="1"/>
    <xf numFmtId="173" fontId="6" fillId="0" borderId="9" xfId="0" applyNumberFormat="1" applyFont="1" applyBorder="1"/>
    <xf numFmtId="173" fontId="6" fillId="0" borderId="0" xfId="0" applyNumberFormat="1" applyFont="1"/>
    <xf numFmtId="44" fontId="14" fillId="4" borderId="22" xfId="0" applyNumberFormat="1" applyFont="1" applyFill="1" applyBorder="1"/>
    <xf numFmtId="172" fontId="14" fillId="4" borderId="5" xfId="0" applyNumberFormat="1" applyFont="1" applyFill="1" applyBorder="1"/>
    <xf numFmtId="0" fontId="15" fillId="0" borderId="0" xfId="0" applyFont="1" applyAlignment="1">
      <alignment horizontal="left"/>
    </xf>
    <xf numFmtId="0" fontId="15" fillId="0" borderId="0" xfId="0" applyFont="1"/>
    <xf numFmtId="0" fontId="15" fillId="0" borderId="9" xfId="0" applyFont="1" applyBorder="1"/>
    <xf numFmtId="0" fontId="15" fillId="0" borderId="26" xfId="0" applyFont="1" applyBorder="1"/>
    <xf numFmtId="174" fontId="6" fillId="0" borderId="0" xfId="0" applyNumberFormat="1" applyFont="1"/>
    <xf numFmtId="43" fontId="6" fillId="0" borderId="0" xfId="0" applyNumberFormat="1" applyFont="1"/>
    <xf numFmtId="0" fontId="16" fillId="0" borderId="0" xfId="0" applyFont="1"/>
    <xf numFmtId="169" fontId="9" fillId="3" borderId="2" xfId="0" applyNumberFormat="1" applyFont="1" applyFill="1" applyBorder="1" applyAlignment="1">
      <alignment horizontal="center"/>
    </xf>
    <xf numFmtId="168" fontId="9" fillId="3" borderId="3" xfId="0" applyNumberFormat="1" applyFont="1" applyFill="1" applyBorder="1" applyAlignment="1">
      <alignment horizontal="center"/>
    </xf>
    <xf numFmtId="169" fontId="9" fillId="3" borderId="3" xfId="0" applyNumberFormat="1" applyFont="1" applyFill="1" applyBorder="1" applyAlignment="1">
      <alignment horizontal="center"/>
    </xf>
    <xf numFmtId="165" fontId="9" fillId="3" borderId="3" xfId="0" applyNumberFormat="1" applyFont="1" applyFill="1" applyBorder="1" applyAlignment="1">
      <alignment horizontal="center"/>
    </xf>
    <xf numFmtId="169" fontId="9" fillId="3" borderId="4" xfId="0" applyNumberFormat="1" applyFont="1" applyFill="1" applyBorder="1" applyAlignment="1">
      <alignment horizontal="center"/>
    </xf>
    <xf numFmtId="169" fontId="9" fillId="3" borderId="6" xfId="0" applyNumberFormat="1" applyFont="1" applyFill="1" applyBorder="1" applyAlignment="1">
      <alignment horizontal="center"/>
    </xf>
    <xf numFmtId="168" fontId="9" fillId="3" borderId="1" xfId="0" applyNumberFormat="1" applyFont="1" applyFill="1" applyBorder="1" applyAlignment="1">
      <alignment horizontal="center"/>
    </xf>
    <xf numFmtId="169" fontId="9" fillId="3" borderId="1" xfId="0" applyNumberFormat="1" applyFont="1" applyFill="1" applyBorder="1" applyAlignment="1">
      <alignment horizontal="center"/>
    </xf>
    <xf numFmtId="165" fontId="9" fillId="3" borderId="1" xfId="0" applyNumberFormat="1" applyFont="1" applyFill="1" applyBorder="1" applyAlignment="1">
      <alignment horizontal="center"/>
    </xf>
    <xf numFmtId="169" fontId="9" fillId="3" borderId="7" xfId="0" applyNumberFormat="1" applyFont="1" applyFill="1" applyBorder="1" applyAlignment="1">
      <alignment horizontal="center"/>
    </xf>
    <xf numFmtId="169" fontId="9" fillId="3" borderId="10" xfId="0" applyNumberFormat="1" applyFont="1" applyFill="1" applyBorder="1" applyAlignment="1">
      <alignment horizontal="center"/>
    </xf>
    <xf numFmtId="175" fontId="9" fillId="3" borderId="1" xfId="0" applyNumberFormat="1" applyFont="1" applyFill="1" applyBorder="1" applyAlignment="1">
      <alignment horizontal="center"/>
    </xf>
    <xf numFmtId="171" fontId="9" fillId="3" borderId="1" xfId="0" applyNumberFormat="1" applyFont="1" applyFill="1" applyBorder="1" applyAlignment="1">
      <alignment horizontal="center"/>
    </xf>
    <xf numFmtId="171" fontId="9" fillId="3" borderId="7" xfId="0" applyNumberFormat="1" applyFont="1" applyFill="1" applyBorder="1" applyAlignment="1">
      <alignment horizontal="center"/>
    </xf>
    <xf numFmtId="14" fontId="10" fillId="0" borderId="0" xfId="0" applyNumberFormat="1" applyFont="1" applyAlignment="1">
      <alignment horizontal="center"/>
    </xf>
    <xf numFmtId="14" fontId="9" fillId="3" borderId="8" xfId="0" applyNumberFormat="1" applyFont="1" applyFill="1" applyBorder="1" applyAlignment="1">
      <alignment horizontal="center"/>
    </xf>
    <xf numFmtId="6" fontId="6" fillId="0" borderId="9" xfId="0" applyNumberFormat="1" applyFont="1" applyBorder="1" applyAlignment="1">
      <alignment wrapText="1"/>
    </xf>
    <xf numFmtId="3" fontId="6" fillId="0" borderId="16" xfId="0" applyNumberFormat="1" applyFont="1" applyBorder="1"/>
    <xf numFmtId="3" fontId="6" fillId="0" borderId="9" xfId="0" applyNumberFormat="1" applyFont="1" applyBorder="1"/>
    <xf numFmtId="3" fontId="6" fillId="0" borderId="0" xfId="0" applyNumberFormat="1" applyFont="1"/>
    <xf numFmtId="1" fontId="6" fillId="0" borderId="16" xfId="0" applyNumberFormat="1" applyFont="1" applyBorder="1" applyAlignment="1">
      <alignment horizontal="right" vertical="top"/>
    </xf>
    <xf numFmtId="1" fontId="6" fillId="0" borderId="9" xfId="0" applyNumberFormat="1" applyFont="1" applyBorder="1" applyAlignment="1">
      <alignment horizontal="right" vertical="top"/>
    </xf>
    <xf numFmtId="1" fontId="6" fillId="0" borderId="0" xfId="0" applyNumberFormat="1" applyFont="1" applyAlignment="1">
      <alignment horizontal="right" vertical="top"/>
    </xf>
    <xf numFmtId="172" fontId="6" fillId="4" borderId="22" xfId="0" applyNumberFormat="1" applyFont="1" applyFill="1" applyBorder="1"/>
    <xf numFmtId="172" fontId="6" fillId="4" borderId="21" xfId="0" applyNumberFormat="1" applyFont="1" applyFill="1" applyBorder="1"/>
    <xf numFmtId="172" fontId="15" fillId="0" borderId="0" xfId="0" applyNumberFormat="1" applyFont="1"/>
    <xf numFmtId="9" fontId="15" fillId="0" borderId="9" xfId="0" applyNumberFormat="1" applyFont="1" applyBorder="1"/>
    <xf numFmtId="9" fontId="15" fillId="0" borderId="0" xfId="0" applyNumberFormat="1" applyFont="1"/>
    <xf numFmtId="9" fontId="15" fillId="0" borderId="16" xfId="0" applyNumberFormat="1" applyFont="1" applyBorder="1"/>
    <xf numFmtId="176" fontId="6" fillId="0" borderId="9" xfId="0" applyNumberFormat="1" applyFont="1" applyBorder="1"/>
    <xf numFmtId="176" fontId="6" fillId="0" borderId="0" xfId="0" applyNumberFormat="1" applyFont="1"/>
    <xf numFmtId="2" fontId="6" fillId="0" borderId="9" xfId="0" applyNumberFormat="1" applyFont="1" applyBorder="1"/>
    <xf numFmtId="2" fontId="6" fillId="0" borderId="0" xfId="0" applyNumberFormat="1" applyFont="1"/>
    <xf numFmtId="2" fontId="6" fillId="0" borderId="16" xfId="0" applyNumberFormat="1" applyFont="1" applyBorder="1"/>
    <xf numFmtId="1" fontId="6" fillId="0" borderId="9" xfId="0" applyNumberFormat="1" applyFont="1" applyBorder="1"/>
    <xf numFmtId="2" fontId="16" fillId="0" borderId="0" xfId="0" applyNumberFormat="1" applyFont="1"/>
    <xf numFmtId="1" fontId="16" fillId="0" borderId="16" xfId="0" applyNumberFormat="1" applyFont="1" applyBorder="1"/>
    <xf numFmtId="1" fontId="16" fillId="0" borderId="9" xfId="0" applyNumberFormat="1" applyFont="1" applyBorder="1"/>
    <xf numFmtId="1" fontId="16" fillId="0" borderId="0" xfId="0" applyNumberFormat="1" applyFont="1"/>
    <xf numFmtId="3" fontId="6" fillId="0" borderId="9" xfId="0" applyNumberFormat="1" applyFont="1" applyBorder="1" applyAlignment="1">
      <alignment wrapText="1"/>
    </xf>
    <xf numFmtId="3" fontId="6" fillId="0" borderId="25" xfId="0" applyNumberFormat="1" applyFont="1" applyBorder="1"/>
    <xf numFmtId="44" fontId="14" fillId="4" borderId="21" xfId="0" applyNumberFormat="1" applyFont="1" applyFill="1" applyBorder="1"/>
    <xf numFmtId="44" fontId="14" fillId="4" borderId="24" xfId="0" applyNumberFormat="1" applyFont="1" applyFill="1" applyBorder="1"/>
    <xf numFmtId="9" fontId="6" fillId="0" borderId="9" xfId="0" applyNumberFormat="1" applyFont="1" applyBorder="1"/>
    <xf numFmtId="9" fontId="6" fillId="0" borderId="0" xfId="0" applyNumberFormat="1" applyFont="1"/>
    <xf numFmtId="172" fontId="14" fillId="0" borderId="9" xfId="0" applyNumberFormat="1" applyFont="1" applyBorder="1"/>
    <xf numFmtId="4" fontId="6" fillId="0" borderId="16" xfId="0" applyNumberFormat="1" applyFont="1" applyBorder="1"/>
    <xf numFmtId="4" fontId="6" fillId="0" borderId="9" xfId="0" applyNumberFormat="1" applyFont="1" applyBorder="1"/>
    <xf numFmtId="4" fontId="6" fillId="0" borderId="0" xfId="0" applyNumberFormat="1" applyFont="1"/>
    <xf numFmtId="43" fontId="14" fillId="0" borderId="0" xfId="0" applyNumberFormat="1" applyFont="1"/>
    <xf numFmtId="172" fontId="15" fillId="0" borderId="0" xfId="0" applyNumberFormat="1" applyFont="1" applyAlignment="1">
      <alignment horizontal="left"/>
    </xf>
    <xf numFmtId="10" fontId="15" fillId="0" borderId="9" xfId="0" applyNumberFormat="1" applyFont="1" applyBorder="1" applyAlignment="1">
      <alignment horizontal="left"/>
    </xf>
    <xf numFmtId="10" fontId="15" fillId="0" borderId="0" xfId="0" applyNumberFormat="1" applyFont="1" applyAlignment="1">
      <alignment horizontal="left"/>
    </xf>
    <xf numFmtId="10" fontId="15" fillId="0" borderId="17" xfId="0" applyNumberFormat="1" applyFont="1" applyBorder="1" applyAlignment="1">
      <alignment horizontal="left"/>
    </xf>
    <xf numFmtId="9" fontId="15" fillId="0" borderId="9" xfId="0" applyNumberFormat="1" applyFont="1" applyBorder="1" applyAlignment="1">
      <alignment horizontal="left"/>
    </xf>
    <xf numFmtId="9" fontId="15" fillId="0" borderId="0" xfId="0" applyNumberFormat="1" applyFont="1" applyAlignment="1">
      <alignment horizontal="left"/>
    </xf>
    <xf numFmtId="9" fontId="15" fillId="0" borderId="16" xfId="0" applyNumberFormat="1" applyFont="1" applyBorder="1" applyAlignment="1">
      <alignment horizontal="left"/>
    </xf>
    <xf numFmtId="10" fontId="16" fillId="0" borderId="0" xfId="0" applyNumberFormat="1" applyFont="1"/>
    <xf numFmtId="10" fontId="16" fillId="0" borderId="16" xfId="0" applyNumberFormat="1" applyFont="1" applyBorder="1" applyAlignment="1"/>
    <xf numFmtId="0" fontId="15" fillId="0" borderId="9" xfId="0" applyFont="1" applyBorder="1" applyAlignment="1">
      <alignment horizontal="left"/>
    </xf>
    <xf numFmtId="9" fontId="15" fillId="0" borderId="17" xfId="0" applyNumberFormat="1" applyFont="1" applyBorder="1"/>
    <xf numFmtId="177" fontId="15" fillId="0" borderId="16" xfId="0" applyNumberFormat="1" applyFont="1" applyBorder="1"/>
    <xf numFmtId="177" fontId="15" fillId="0" borderId="0" xfId="0" applyNumberFormat="1" applyFont="1"/>
    <xf numFmtId="177" fontId="15" fillId="0" borderId="9" xfId="0" applyNumberFormat="1" applyFont="1" applyBorder="1"/>
    <xf numFmtId="2" fontId="15" fillId="0" borderId="9" xfId="0" applyNumberFormat="1" applyFont="1" applyBorder="1"/>
    <xf numFmtId="2" fontId="15" fillId="0" borderId="0" xfId="0" applyNumberFormat="1" applyFont="1"/>
    <xf numFmtId="172" fontId="14" fillId="0" borderId="16" xfId="0" applyNumberFormat="1" applyFont="1" applyBorder="1"/>
    <xf numFmtId="43" fontId="6" fillId="0" borderId="9" xfId="0" applyNumberFormat="1" applyFont="1" applyBorder="1"/>
    <xf numFmtId="43" fontId="14" fillId="4" borderId="21" xfId="0" applyNumberFormat="1" applyFont="1" applyFill="1" applyBorder="1"/>
    <xf numFmtId="43" fontId="14" fillId="4" borderId="22" xfId="0" applyNumberFormat="1" applyFont="1" applyFill="1" applyBorder="1"/>
    <xf numFmtId="178" fontId="14" fillId="4" borderId="21" xfId="0" applyNumberFormat="1" applyFont="1" applyFill="1" applyBorder="1"/>
    <xf numFmtId="178" fontId="14" fillId="4" borderId="22" xfId="0" applyNumberFormat="1" applyFont="1" applyFill="1" applyBorder="1"/>
    <xf numFmtId="178" fontId="14" fillId="4" borderId="24" xfId="0" applyNumberFormat="1" applyFont="1" applyFill="1" applyBorder="1"/>
    <xf numFmtId="178" fontId="6" fillId="0" borderId="0" xfId="0" applyNumberFormat="1" applyFont="1"/>
    <xf numFmtId="44" fontId="6" fillId="0" borderId="0" xfId="0" applyNumberFormat="1" applyFont="1"/>
    <xf numFmtId="10" fontId="6" fillId="0" borderId="0" xfId="0" applyNumberFormat="1" applyFont="1"/>
    <xf numFmtId="0" fontId="0" fillId="5" borderId="27" xfId="0" applyFont="1" applyFill="1" applyBorder="1"/>
    <xf numFmtId="0" fontId="17" fillId="5" borderId="24" xfId="0" applyFont="1" applyFill="1" applyBorder="1"/>
    <xf numFmtId="0" fontId="0" fillId="0" borderId="16" xfId="0" applyFont="1" applyBorder="1"/>
    <xf numFmtId="172" fontId="18" fillId="0" borderId="0" xfId="0" applyNumberFormat="1" applyFont="1"/>
    <xf numFmtId="172" fontId="18" fillId="0" borderId="16" xfId="0" applyNumberFormat="1" applyFont="1" applyBorder="1"/>
    <xf numFmtId="9" fontId="18" fillId="0" borderId="17" xfId="0" applyNumberFormat="1" applyFont="1" applyBorder="1"/>
    <xf numFmtId="164" fontId="18" fillId="0" borderId="0" xfId="0" applyNumberFormat="1" applyFont="1"/>
    <xf numFmtId="164" fontId="18" fillId="0" borderId="16" xfId="0" applyNumberFormat="1" applyFont="1" applyBorder="1"/>
    <xf numFmtId="0" fontId="0" fillId="5" borderId="8" xfId="0" applyFont="1" applyFill="1" applyBorder="1"/>
    <xf numFmtId="164" fontId="18" fillId="5" borderId="1" xfId="0" applyNumberFormat="1" applyFont="1" applyFill="1" applyBorder="1"/>
    <xf numFmtId="164" fontId="18" fillId="5" borderId="8" xfId="0" applyNumberFormat="1" applyFont="1" applyFill="1" applyBorder="1"/>
    <xf numFmtId="9" fontId="18" fillId="5" borderId="7" xfId="0" applyNumberFormat="1" applyFont="1" applyFill="1" applyBorder="1"/>
    <xf numFmtId="0" fontId="0" fillId="5" borderId="28" xfId="0" applyFont="1" applyFill="1" applyBorder="1"/>
    <xf numFmtId="172" fontId="19" fillId="5" borderId="29" xfId="0" applyNumberFormat="1" applyFont="1" applyFill="1" applyBorder="1"/>
    <xf numFmtId="172" fontId="19" fillId="5" borderId="28" xfId="0" applyNumberFormat="1" applyFont="1" applyFill="1" applyBorder="1"/>
    <xf numFmtId="9" fontId="19" fillId="5" borderId="30" xfId="0" applyNumberFormat="1" applyFont="1" applyFill="1" applyBorder="1"/>
    <xf numFmtId="164" fontId="0" fillId="0" borderId="0" xfId="0" applyNumberFormat="1" applyFont="1"/>
    <xf numFmtId="164" fontId="8" fillId="3" borderId="4" xfId="0" applyNumberFormat="1" applyFont="1" applyFill="1" applyBorder="1" applyAlignment="1">
      <alignment horizontal="center" wrapText="1"/>
    </xf>
    <xf numFmtId="164" fontId="8" fillId="3" borderId="7" xfId="0" applyNumberFormat="1" applyFont="1" applyFill="1" applyBorder="1" applyAlignment="1">
      <alignment horizontal="center" wrapText="1"/>
    </xf>
    <xf numFmtId="165" fontId="20" fillId="3" borderId="10" xfId="0" applyNumberFormat="1" applyFont="1" applyFill="1" applyBorder="1" applyAlignment="1">
      <alignment horizontal="center"/>
    </xf>
    <xf numFmtId="164" fontId="8" fillId="3" borderId="12" xfId="0" applyNumberFormat="1" applyFont="1" applyFill="1" applyBorder="1" applyAlignment="1">
      <alignment horizontal="center" wrapText="1"/>
    </xf>
    <xf numFmtId="0" fontId="6" fillId="0" borderId="17" xfId="0" applyFont="1" applyBorder="1"/>
    <xf numFmtId="172" fontId="6" fillId="0" borderId="17" xfId="0" applyNumberFormat="1" applyFont="1" applyBorder="1"/>
    <xf numFmtId="172" fontId="14" fillId="4" borderId="6" xfId="0" applyNumberFormat="1" applyFont="1" applyFill="1" applyBorder="1"/>
    <xf numFmtId="172" fontId="14" fillId="4" borderId="1" xfId="0" applyNumberFormat="1" applyFont="1" applyFill="1" applyBorder="1"/>
    <xf numFmtId="164" fontId="14" fillId="4" borderId="6" xfId="0" applyNumberFormat="1" applyFont="1" applyFill="1" applyBorder="1"/>
    <xf numFmtId="164" fontId="14" fillId="4" borderId="1" xfId="0" applyNumberFormat="1" applyFont="1" applyFill="1" applyBorder="1"/>
    <xf numFmtId="10" fontId="15" fillId="0" borderId="0" xfId="0" applyNumberFormat="1" applyFont="1"/>
    <xf numFmtId="10" fontId="15" fillId="0" borderId="9" xfId="0" applyNumberFormat="1" applyFont="1" applyBorder="1"/>
    <xf numFmtId="10" fontId="15" fillId="0" borderId="16" xfId="0" applyNumberFormat="1" applyFont="1" applyBorder="1"/>
    <xf numFmtId="179" fontId="6" fillId="0" borderId="0" xfId="0" applyNumberFormat="1" applyFont="1"/>
    <xf numFmtId="0" fontId="14" fillId="0" borderId="14" xfId="0" applyFont="1" applyBorder="1"/>
    <xf numFmtId="0" fontId="14" fillId="0" borderId="26" xfId="0" applyFont="1" applyBorder="1"/>
    <xf numFmtId="172" fontId="14" fillId="0" borderId="26" xfId="0" applyNumberFormat="1" applyFont="1" applyBorder="1"/>
    <xf numFmtId="172" fontId="14" fillId="0" borderId="14" xfId="0" applyNumberFormat="1" applyFont="1" applyBorder="1"/>
    <xf numFmtId="172" fontId="14" fillId="0" borderId="15" xfId="0" applyNumberFormat="1" applyFont="1" applyBorder="1"/>
    <xf numFmtId="0" fontId="14" fillId="4" borderId="31" xfId="0" applyFont="1" applyFill="1" applyBorder="1"/>
    <xf numFmtId="0" fontId="14" fillId="4" borderId="32" xfId="0" applyFont="1" applyFill="1" applyBorder="1"/>
    <xf numFmtId="172" fontId="14" fillId="4" borderId="31" xfId="0" applyNumberFormat="1" applyFont="1" applyFill="1" applyBorder="1"/>
    <xf numFmtId="172" fontId="14" fillId="4" borderId="32" xfId="0" applyNumberFormat="1" applyFont="1" applyFill="1" applyBorder="1"/>
    <xf numFmtId="172" fontId="14" fillId="4" borderId="33" xfId="0" applyNumberFormat="1" applyFont="1" applyFill="1" applyBorder="1"/>
    <xf numFmtId="172" fontId="14" fillId="4" borderId="10" xfId="0" applyNumberFormat="1" applyFont="1" applyFill="1" applyBorder="1"/>
    <xf numFmtId="172" fontId="14" fillId="4" borderId="11" xfId="0" applyNumberFormat="1" applyFont="1" applyFill="1" applyBorder="1"/>
    <xf numFmtId="172" fontId="14" fillId="4" borderId="34" xfId="0" applyNumberFormat="1" applyFont="1" applyFill="1" applyBorder="1"/>
    <xf numFmtId="172" fontId="6" fillId="0" borderId="35" xfId="0" applyNumberFormat="1" applyFont="1" applyBorder="1"/>
    <xf numFmtId="172" fontId="6" fillId="0" borderId="36" xfId="0" applyNumberFormat="1" applyFont="1" applyBorder="1"/>
    <xf numFmtId="164" fontId="6" fillId="0" borderId="36" xfId="0" applyNumberFormat="1" applyFont="1" applyBorder="1"/>
    <xf numFmtId="177" fontId="6" fillId="0" borderId="0" xfId="0" applyNumberFormat="1" applyFont="1"/>
    <xf numFmtId="177" fontId="16" fillId="0" borderId="0" xfId="0" applyNumberFormat="1" applyFont="1"/>
    <xf numFmtId="9" fontId="16" fillId="0" borderId="0" xfId="0" applyNumberFormat="1" applyFont="1"/>
    <xf numFmtId="164" fontId="6" fillId="0" borderId="35" xfId="0" applyNumberFormat="1" applyFont="1" applyBorder="1"/>
    <xf numFmtId="0" fontId="6" fillId="0" borderId="36" xfId="0" applyFont="1" applyBorder="1"/>
    <xf numFmtId="172" fontId="14" fillId="0" borderId="36" xfId="0" applyNumberFormat="1" applyFont="1" applyBorder="1"/>
    <xf numFmtId="3" fontId="6" fillId="0" borderId="36" xfId="0" applyNumberFormat="1" applyFont="1" applyBorder="1"/>
    <xf numFmtId="0" fontId="6" fillId="0" borderId="35" xfId="0" applyFont="1" applyBorder="1"/>
    <xf numFmtId="9" fontId="16" fillId="0" borderId="0" xfId="0" applyNumberFormat="1" applyFont="1" applyAlignment="1"/>
    <xf numFmtId="0" fontId="22" fillId="5" borderId="21" xfId="0" applyFont="1" applyFill="1" applyBorder="1"/>
    <xf numFmtId="0" fontId="6" fillId="5" borderId="22" xfId="0" applyFont="1" applyFill="1" applyBorder="1"/>
    <xf numFmtId="172" fontId="14" fillId="5" borderId="22" xfId="0" applyNumberFormat="1" applyFont="1" applyFill="1" applyBorder="1"/>
    <xf numFmtId="172" fontId="14" fillId="5" borderId="21" xfId="0" applyNumberFormat="1" applyFont="1" applyFill="1" applyBorder="1"/>
    <xf numFmtId="1" fontId="14" fillId="4" borderId="22" xfId="0" applyNumberFormat="1" applyFont="1" applyFill="1" applyBorder="1"/>
    <xf numFmtId="0" fontId="6" fillId="4" borderId="22" xfId="0" applyFont="1" applyFill="1" applyBorder="1"/>
    <xf numFmtId="164" fontId="6" fillId="4" borderId="22" xfId="0" applyNumberFormat="1" applyFont="1" applyFill="1" applyBorder="1"/>
    <xf numFmtId="1" fontId="6" fillId="4" borderId="22" xfId="0" applyNumberFormat="1" applyFont="1" applyFill="1" applyBorder="1"/>
    <xf numFmtId="14" fontId="9" fillId="3" borderId="24" xfId="0" applyNumberFormat="1" applyFont="1" applyFill="1" applyBorder="1" applyAlignment="1">
      <alignment horizontal="center"/>
    </xf>
    <xf numFmtId="1" fontId="14" fillId="0" borderId="0" xfId="0" applyNumberFormat="1" applyFont="1"/>
    <xf numFmtId="1" fontId="14" fillId="0" borderId="16" xfId="0" applyNumberFormat="1" applyFont="1" applyBorder="1"/>
    <xf numFmtId="1" fontId="14" fillId="0" borderId="17" xfId="0" applyNumberFormat="1" applyFont="1" applyBorder="1"/>
    <xf numFmtId="0" fontId="14" fillId="0" borderId="17" xfId="0" applyFont="1" applyBorder="1"/>
    <xf numFmtId="43" fontId="6" fillId="0" borderId="17" xfId="0" applyNumberFormat="1" applyFont="1" applyBorder="1"/>
    <xf numFmtId="43" fontId="6" fillId="0" borderId="16" xfId="0" applyNumberFormat="1" applyFont="1" applyBorder="1"/>
    <xf numFmtId="0" fontId="23" fillId="0" borderId="0" xfId="0" applyFont="1"/>
    <xf numFmtId="2" fontId="6" fillId="0" borderId="17" xfId="0" applyNumberFormat="1" applyFont="1" applyBorder="1"/>
    <xf numFmtId="2" fontId="16" fillId="0" borderId="17" xfId="0" applyNumberFormat="1" applyFont="1" applyBorder="1"/>
    <xf numFmtId="2" fontId="16" fillId="0" borderId="9" xfId="0" applyNumberFormat="1" applyFont="1" applyBorder="1"/>
    <xf numFmtId="2" fontId="16" fillId="0" borderId="17" xfId="0" applyNumberFormat="1" applyFont="1" applyBorder="1" applyAlignment="1"/>
    <xf numFmtId="10" fontId="6" fillId="0" borderId="9" xfId="0" applyNumberFormat="1" applyFont="1" applyBorder="1"/>
    <xf numFmtId="10" fontId="6" fillId="0" borderId="17" xfId="0" applyNumberFormat="1" applyFont="1" applyBorder="1"/>
    <xf numFmtId="10" fontId="6" fillId="0" borderId="16" xfId="0" applyNumberFormat="1" applyFont="1" applyBorder="1"/>
    <xf numFmtId="10" fontId="16" fillId="0" borderId="17" xfId="0" applyNumberFormat="1" applyFont="1" applyBorder="1"/>
    <xf numFmtId="0" fontId="14" fillId="0" borderId="36" xfId="0" applyFont="1" applyBorder="1"/>
    <xf numFmtId="164" fontId="6" fillId="0" borderId="37" xfId="0" applyNumberFormat="1" applyFont="1" applyBorder="1"/>
    <xf numFmtId="164" fontId="6" fillId="0" borderId="15" xfId="0" applyNumberFormat="1" applyFont="1" applyBorder="1"/>
    <xf numFmtId="164" fontId="6" fillId="0" borderId="38" xfId="0" applyNumberFormat="1" applyFont="1" applyBorder="1"/>
    <xf numFmtId="1" fontId="14" fillId="0" borderId="9" xfId="0" applyNumberFormat="1" applyFont="1" applyBorder="1"/>
    <xf numFmtId="2" fontId="16" fillId="0" borderId="0" xfId="0" applyNumberFormat="1" applyFont="1" applyAlignment="1"/>
    <xf numFmtId="10" fontId="16" fillId="0" borderId="0" xfId="0" applyNumberFormat="1" applyFont="1" applyAlignment="1"/>
    <xf numFmtId="10" fontId="16" fillId="0" borderId="17" xfId="0" applyNumberFormat="1" applyFont="1" applyBorder="1" applyAlignment="1"/>
    <xf numFmtId="164" fontId="14" fillId="0" borderId="36" xfId="0" applyNumberFormat="1" applyFont="1" applyBorder="1"/>
    <xf numFmtId="164" fontId="14" fillId="0" borderId="35" xfId="0" applyNumberFormat="1" applyFont="1" applyBorder="1"/>
    <xf numFmtId="164" fontId="14" fillId="0" borderId="37" xfId="0" applyNumberFormat="1" applyFont="1" applyBorder="1"/>
    <xf numFmtId="164" fontId="14" fillId="0" borderId="24" xfId="0" applyNumberFormat="1" applyFont="1" applyBorder="1"/>
    <xf numFmtId="0" fontId="14" fillId="4" borderId="24" xfId="0" applyFont="1" applyFill="1" applyBorder="1"/>
    <xf numFmtId="164" fontId="7" fillId="3" borderId="1" xfId="0" applyNumberFormat="1" applyFont="1" applyFill="1" applyBorder="1"/>
    <xf numFmtId="0" fontId="9" fillId="3" borderId="8" xfId="0" applyFont="1" applyFill="1" applyBorder="1" applyAlignment="1">
      <alignment horizontal="center" wrapText="1"/>
    </xf>
    <xf numFmtId="164" fontId="9" fillId="3" borderId="5" xfId="0" applyNumberFormat="1" applyFont="1" applyFill="1" applyBorder="1" applyAlignment="1">
      <alignment horizontal="center" wrapText="1"/>
    </xf>
    <xf numFmtId="164" fontId="6" fillId="3" borderId="1" xfId="0" applyNumberFormat="1" applyFont="1" applyFill="1" applyBorder="1"/>
    <xf numFmtId="0" fontId="10" fillId="3" borderId="1" xfId="0" applyFont="1" applyFill="1" applyBorder="1"/>
    <xf numFmtId="164" fontId="9" fillId="3" borderId="1" xfId="0" applyNumberFormat="1" applyFont="1" applyFill="1" applyBorder="1"/>
    <xf numFmtId="164" fontId="9" fillId="3" borderId="8" xfId="0" applyNumberFormat="1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left"/>
    </xf>
    <xf numFmtId="164" fontId="9" fillId="3" borderId="1" xfId="0" applyNumberFormat="1" applyFont="1" applyFill="1" applyBorder="1" applyAlignment="1">
      <alignment horizontal="left"/>
    </xf>
    <xf numFmtId="0" fontId="6" fillId="0" borderId="26" xfId="0" applyFont="1" applyBorder="1"/>
    <xf numFmtId="49" fontId="6" fillId="0" borderId="0" xfId="0" applyNumberFormat="1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49" fontId="14" fillId="0" borderId="0" xfId="0" applyNumberFormat="1" applyFont="1"/>
    <xf numFmtId="178" fontId="25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/>
    </xf>
    <xf numFmtId="14" fontId="26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left"/>
    </xf>
    <xf numFmtId="10" fontId="14" fillId="0" borderId="0" xfId="0" applyNumberFormat="1" applyFont="1"/>
    <xf numFmtId="43" fontId="15" fillId="0" borderId="0" xfId="0" applyNumberFormat="1" applyFont="1"/>
    <xf numFmtId="178" fontId="14" fillId="0" borderId="0" xfId="0" applyNumberFormat="1" applyFont="1"/>
    <xf numFmtId="178" fontId="15" fillId="0" borderId="0" xfId="0" applyNumberFormat="1" applyFont="1"/>
    <xf numFmtId="49" fontId="19" fillId="0" borderId="41" xfId="0" applyNumberFormat="1" applyFont="1" applyBorder="1"/>
    <xf numFmtId="0" fontId="19" fillId="0" borderId="41" xfId="0" applyFont="1" applyBorder="1"/>
    <xf numFmtId="10" fontId="19" fillId="0" borderId="41" xfId="0" applyNumberFormat="1" applyFont="1" applyBorder="1"/>
    <xf numFmtId="49" fontId="24" fillId="3" borderId="1" xfId="0" applyNumberFormat="1" applyFont="1" applyFill="1" applyBorder="1" applyAlignment="1">
      <alignment horizontal="left"/>
    </xf>
    <xf numFmtId="0" fontId="27" fillId="3" borderId="1" xfId="0" applyFont="1" applyFill="1" applyBorder="1" applyAlignment="1">
      <alignment horizontal="left"/>
    </xf>
    <xf numFmtId="14" fontId="24" fillId="3" borderId="1" xfId="0" applyNumberFormat="1" applyFont="1" applyFill="1" applyBorder="1" applyAlignment="1">
      <alignment horizontal="center"/>
    </xf>
    <xf numFmtId="49" fontId="14" fillId="0" borderId="19" xfId="0" applyNumberFormat="1" applyFont="1" applyBorder="1"/>
    <xf numFmtId="0" fontId="14" fillId="0" borderId="19" xfId="0" applyFont="1" applyBorder="1"/>
    <xf numFmtId="10" fontId="14" fillId="0" borderId="19" xfId="0" applyNumberFormat="1" applyFont="1" applyBorder="1"/>
    <xf numFmtId="0" fontId="23" fillId="0" borderId="19" xfId="0" applyFont="1" applyBorder="1"/>
    <xf numFmtId="44" fontId="14" fillId="0" borderId="0" xfId="0" applyNumberFormat="1" applyFont="1"/>
    <xf numFmtId="49" fontId="24" fillId="3" borderId="1" xfId="0" applyNumberFormat="1" applyFont="1" applyFill="1" applyBorder="1"/>
    <xf numFmtId="0" fontId="24" fillId="3" borderId="1" xfId="0" applyFont="1" applyFill="1" applyBorder="1"/>
    <xf numFmtId="49" fontId="15" fillId="0" borderId="0" xfId="0" applyNumberFormat="1" applyFont="1"/>
    <xf numFmtId="0" fontId="15" fillId="0" borderId="0" xfId="0" applyFont="1" applyAlignment="1">
      <alignment horizontal="right"/>
    </xf>
    <xf numFmtId="164" fontId="15" fillId="0" borderId="0" xfId="0" applyNumberFormat="1" applyFont="1"/>
    <xf numFmtId="10" fontId="24" fillId="3" borderId="1" xfId="0" applyNumberFormat="1" applyFont="1" applyFill="1" applyBorder="1"/>
    <xf numFmtId="9" fontId="24" fillId="3" borderId="1" xfId="0" applyNumberFormat="1" applyFont="1" applyFill="1" applyBorder="1"/>
    <xf numFmtId="14" fontId="15" fillId="0" borderId="0" xfId="0" applyNumberFormat="1" applyFont="1"/>
    <xf numFmtId="177" fontId="28" fillId="3" borderId="1" xfId="0" applyNumberFormat="1" applyFont="1" applyFill="1" applyBorder="1"/>
    <xf numFmtId="0" fontId="29" fillId="0" borderId="0" xfId="0" applyFont="1"/>
    <xf numFmtId="181" fontId="6" fillId="0" borderId="0" xfId="0" applyNumberFormat="1" applyFont="1"/>
    <xf numFmtId="14" fontId="6" fillId="0" borderId="0" xfId="0" applyNumberFormat="1" applyFont="1"/>
    <xf numFmtId="14" fontId="14" fillId="0" borderId="0" xfId="0" applyNumberFormat="1" applyFont="1"/>
    <xf numFmtId="182" fontId="14" fillId="0" borderId="0" xfId="0" applyNumberFormat="1" applyFont="1"/>
    <xf numFmtId="182" fontId="24" fillId="3" borderId="1" xfId="0" applyNumberFormat="1" applyFont="1" applyFill="1" applyBorder="1"/>
    <xf numFmtId="0" fontId="27" fillId="0" borderId="0" xfId="0" applyFont="1"/>
    <xf numFmtId="0" fontId="9" fillId="3" borderId="6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14" fillId="0" borderId="35" xfId="0" applyFont="1" applyBorder="1"/>
    <xf numFmtId="0" fontId="14" fillId="0" borderId="36" xfId="0" applyFont="1" applyBorder="1" applyAlignment="1">
      <alignment horizontal="center"/>
    </xf>
    <xf numFmtId="44" fontId="14" fillId="0" borderId="36" xfId="0" applyNumberFormat="1" applyFont="1" applyBorder="1" applyAlignment="1"/>
    <xf numFmtId="10" fontId="14" fillId="0" borderId="36" xfId="0" applyNumberFormat="1" applyFont="1" applyBorder="1"/>
    <xf numFmtId="44" fontId="14" fillId="0" borderId="36" xfId="0" applyNumberFormat="1" applyFont="1" applyBorder="1"/>
    <xf numFmtId="0" fontId="6" fillId="0" borderId="18" xfId="0" applyFont="1" applyBorder="1"/>
    <xf numFmtId="49" fontId="27" fillId="0" borderId="26" xfId="0" applyNumberFormat="1" applyFont="1" applyBorder="1"/>
    <xf numFmtId="49" fontId="27" fillId="0" borderId="14" xfId="0" applyNumberFormat="1" applyFont="1" applyBorder="1"/>
    <xf numFmtId="0" fontId="24" fillId="3" borderId="1" xfId="0" applyFont="1" applyFill="1" applyBorder="1" applyAlignment="1">
      <alignment horizontal="center"/>
    </xf>
    <xf numFmtId="0" fontId="24" fillId="3" borderId="52" xfId="0" applyFont="1" applyFill="1" applyBorder="1" applyAlignment="1">
      <alignment horizontal="center"/>
    </xf>
    <xf numFmtId="181" fontId="14" fillId="0" borderId="36" xfId="0" applyNumberFormat="1" applyFont="1" applyBorder="1" applyAlignment="1">
      <alignment horizontal="right"/>
    </xf>
    <xf numFmtId="181" fontId="14" fillId="0" borderId="19" xfId="0" applyNumberFormat="1" applyFont="1" applyBorder="1" applyAlignment="1">
      <alignment horizontal="right"/>
    </xf>
    <xf numFmtId="181" fontId="14" fillId="0" borderId="35" xfId="0" applyNumberFormat="1" applyFont="1" applyBorder="1" applyAlignment="1">
      <alignment horizontal="right"/>
    </xf>
    <xf numFmtId="181" fontId="14" fillId="0" borderId="37" xfId="0" applyNumberFormat="1" applyFont="1" applyBorder="1" applyAlignment="1">
      <alignment horizontal="right"/>
    </xf>
    <xf numFmtId="181" fontId="14" fillId="0" borderId="0" xfId="0" applyNumberFormat="1" applyFont="1" applyAlignment="1">
      <alignment horizontal="right"/>
    </xf>
    <xf numFmtId="181" fontId="6" fillId="0" borderId="0" xfId="0" applyNumberFormat="1" applyFont="1" applyAlignment="1">
      <alignment horizontal="right"/>
    </xf>
    <xf numFmtId="181" fontId="14" fillId="0" borderId="9" xfId="0" applyNumberFormat="1" applyFont="1" applyBorder="1" applyAlignment="1">
      <alignment horizontal="right"/>
    </xf>
    <xf numFmtId="183" fontId="6" fillId="0" borderId="0" xfId="0" applyNumberFormat="1" applyFont="1"/>
    <xf numFmtId="2" fontId="14" fillId="0" borderId="0" xfId="0" applyNumberFormat="1" applyFont="1"/>
    <xf numFmtId="181" fontId="14" fillId="0" borderId="0" xfId="0" applyNumberFormat="1" applyFont="1"/>
    <xf numFmtId="0" fontId="30" fillId="0" borderId="0" xfId="0" applyFont="1"/>
    <xf numFmtId="0" fontId="6" fillId="0" borderId="0" xfId="0" applyFont="1" applyAlignment="1"/>
    <xf numFmtId="10" fontId="29" fillId="0" borderId="0" xfId="0" applyNumberFormat="1" applyFont="1"/>
    <xf numFmtId="14" fontId="29" fillId="0" borderId="0" xfId="0" applyNumberFormat="1" applyFont="1"/>
    <xf numFmtId="0" fontId="31" fillId="6" borderId="1" xfId="0" applyFont="1" applyFill="1" applyBorder="1"/>
    <xf numFmtId="0" fontId="31" fillId="6" borderId="3" xfId="0" applyFont="1" applyFill="1" applyBorder="1"/>
    <xf numFmtId="0" fontId="31" fillId="6" borderId="4" xfId="0" applyFont="1" applyFill="1" applyBorder="1"/>
    <xf numFmtId="0" fontId="31" fillId="6" borderId="6" xfId="0" applyFont="1" applyFill="1" applyBorder="1"/>
    <xf numFmtId="0" fontId="31" fillId="6" borderId="7" xfId="0" applyFont="1" applyFill="1" applyBorder="1"/>
    <xf numFmtId="0" fontId="32" fillId="0" borderId="0" xfId="0" applyFont="1"/>
    <xf numFmtId="4" fontId="32" fillId="0" borderId="0" xfId="0" applyNumberFormat="1" applyFont="1"/>
    <xf numFmtId="0" fontId="32" fillId="0" borderId="9" xfId="0" applyFont="1" applyBorder="1"/>
    <xf numFmtId="8" fontId="32" fillId="0" borderId="0" xfId="0" applyNumberFormat="1" applyFont="1"/>
    <xf numFmtId="0" fontId="32" fillId="0" borderId="17" xfId="0" applyFont="1" applyBorder="1"/>
    <xf numFmtId="10" fontId="32" fillId="0" borderId="0" xfId="0" applyNumberFormat="1" applyFont="1"/>
    <xf numFmtId="10" fontId="32" fillId="0" borderId="17" xfId="0" applyNumberFormat="1" applyFont="1" applyBorder="1"/>
    <xf numFmtId="0" fontId="32" fillId="7" borderId="1" xfId="0" applyFont="1" applyFill="1" applyBorder="1"/>
    <xf numFmtId="8" fontId="32" fillId="7" borderId="1" xfId="0" applyNumberFormat="1" applyFont="1" applyFill="1" applyBorder="1"/>
    <xf numFmtId="0" fontId="32" fillId="0" borderId="9" xfId="0" applyFont="1" applyBorder="1" applyAlignment="1">
      <alignment horizontal="right"/>
    </xf>
    <xf numFmtId="0" fontId="33" fillId="8" borderId="10" xfId="0" applyFont="1" applyFill="1" applyBorder="1"/>
    <xf numFmtId="0" fontId="33" fillId="8" borderId="11" xfId="0" applyFont="1" applyFill="1" applyBorder="1"/>
    <xf numFmtId="8" fontId="33" fillId="8" borderId="11" xfId="0" applyNumberFormat="1" applyFont="1" applyFill="1" applyBorder="1"/>
    <xf numFmtId="10" fontId="33" fillId="8" borderId="11" xfId="0" applyNumberFormat="1" applyFont="1" applyFill="1" applyBorder="1"/>
    <xf numFmtId="0" fontId="33" fillId="0" borderId="0" xfId="0" applyFont="1"/>
    <xf numFmtId="8" fontId="32" fillId="0" borderId="24" xfId="0" applyNumberFormat="1" applyFont="1" applyBorder="1"/>
    <xf numFmtId="10" fontId="32" fillId="0" borderId="36" xfId="0" applyNumberFormat="1" applyFont="1" applyBorder="1"/>
    <xf numFmtId="10" fontId="32" fillId="0" borderId="37" xfId="0" applyNumberFormat="1" applyFont="1" applyBorder="1"/>
    <xf numFmtId="10" fontId="32" fillId="0" borderId="16" xfId="0" applyNumberFormat="1" applyFont="1" applyBorder="1"/>
    <xf numFmtId="2" fontId="32" fillId="0" borderId="0" xfId="0" applyNumberFormat="1" applyFont="1"/>
    <xf numFmtId="2" fontId="32" fillId="0" borderId="17" xfId="0" applyNumberFormat="1" applyFont="1" applyBorder="1"/>
    <xf numFmtId="2" fontId="32" fillId="0" borderId="14" xfId="0" applyNumberFormat="1" applyFont="1" applyBorder="1"/>
    <xf numFmtId="2" fontId="32" fillId="0" borderId="26" xfId="0" applyNumberFormat="1" applyFont="1" applyBorder="1"/>
    <xf numFmtId="2" fontId="32" fillId="0" borderId="38" xfId="0" applyNumberFormat="1" applyFont="1" applyBorder="1"/>
    <xf numFmtId="2" fontId="32" fillId="0" borderId="9" xfId="0" applyNumberFormat="1" applyFont="1" applyBorder="1"/>
    <xf numFmtId="2" fontId="32" fillId="0" borderId="24" xfId="0" applyNumberFormat="1" applyFont="1" applyBorder="1"/>
    <xf numFmtId="2" fontId="32" fillId="0" borderId="18" xfId="0" applyNumberFormat="1" applyFont="1" applyBorder="1"/>
    <xf numFmtId="2" fontId="32" fillId="0" borderId="19" xfId="0" applyNumberFormat="1" applyFont="1" applyBorder="1"/>
    <xf numFmtId="2" fontId="32" fillId="0" borderId="20" xfId="0" applyNumberFormat="1" applyFont="1" applyBorder="1"/>
    <xf numFmtId="10" fontId="32" fillId="0" borderId="25" xfId="0" applyNumberFormat="1" applyFont="1" applyBorder="1"/>
    <xf numFmtId="177" fontId="15" fillId="0" borderId="17" xfId="0" applyNumberFormat="1" applyFont="1" applyBorder="1"/>
    <xf numFmtId="0" fontId="6" fillId="0" borderId="0" xfId="0" applyFont="1" applyAlignment="1">
      <alignment horizontal="right"/>
    </xf>
    <xf numFmtId="43" fontId="6" fillId="9" borderId="21" xfId="0" applyNumberFormat="1" applyFont="1" applyFill="1" applyBorder="1"/>
    <xf numFmtId="10" fontId="6" fillId="0" borderId="36" xfId="0" applyNumberFormat="1" applyFont="1" applyBorder="1"/>
    <xf numFmtId="10" fontId="6" fillId="0" borderId="37" xfId="0" applyNumberFormat="1" applyFont="1" applyBorder="1"/>
    <xf numFmtId="10" fontId="6" fillId="0" borderId="15" xfId="0" applyNumberFormat="1" applyFont="1" applyBorder="1"/>
    <xf numFmtId="2" fontId="6" fillId="0" borderId="14" xfId="0" applyNumberFormat="1" applyFont="1" applyBorder="1"/>
    <xf numFmtId="2" fontId="6" fillId="0" borderId="26" xfId="0" applyNumberFormat="1" applyFont="1" applyBorder="1"/>
    <xf numFmtId="2" fontId="6" fillId="0" borderId="38" xfId="0" applyNumberFormat="1" applyFont="1" applyBorder="1"/>
    <xf numFmtId="9" fontId="6" fillId="0" borderId="16" xfId="0" applyNumberFormat="1" applyFont="1" applyBorder="1"/>
    <xf numFmtId="2" fontId="6" fillId="0" borderId="24" xfId="0" applyNumberFormat="1" applyFont="1" applyBorder="1"/>
    <xf numFmtId="2" fontId="6" fillId="0" borderId="18" xfId="0" applyNumberFormat="1" applyFont="1" applyBorder="1"/>
    <xf numFmtId="2" fontId="6" fillId="0" borderId="19" xfId="0" applyNumberFormat="1" applyFont="1" applyBorder="1"/>
    <xf numFmtId="2" fontId="6" fillId="0" borderId="20" xfId="0" applyNumberFormat="1" applyFont="1" applyBorder="1"/>
    <xf numFmtId="10" fontId="6" fillId="0" borderId="25" xfId="0" applyNumberFormat="1" applyFont="1" applyBorder="1"/>
    <xf numFmtId="164" fontId="6" fillId="4" borderId="21" xfId="0" applyNumberFormat="1" applyFont="1" applyFill="1" applyBorder="1"/>
    <xf numFmtId="2" fontId="6" fillId="10" borderId="24" xfId="0" applyNumberFormat="1" applyFont="1" applyFill="1" applyBorder="1"/>
    <xf numFmtId="0" fontId="6" fillId="4" borderId="23" xfId="0" applyFont="1" applyFill="1" applyBorder="1"/>
    <xf numFmtId="8" fontId="6" fillId="4" borderId="22" xfId="0" applyNumberFormat="1" applyFont="1" applyFill="1" applyBorder="1"/>
    <xf numFmtId="0" fontId="6" fillId="0" borderId="25" xfId="0" applyFont="1" applyBorder="1"/>
    <xf numFmtId="2" fontId="34" fillId="0" borderId="0" xfId="0" applyNumberFormat="1" applyFont="1"/>
    <xf numFmtId="0" fontId="35" fillId="0" borderId="9" xfId="0" applyFont="1" applyBorder="1"/>
    <xf numFmtId="8" fontId="6" fillId="0" borderId="17" xfId="0" applyNumberFormat="1" applyFont="1" applyBorder="1"/>
    <xf numFmtId="43" fontId="6" fillId="0" borderId="20" xfId="0" applyNumberFormat="1" applyFont="1" applyBorder="1"/>
    <xf numFmtId="43" fontId="6" fillId="0" borderId="38" xfId="0" applyNumberFormat="1" applyFont="1" applyBorder="1"/>
    <xf numFmtId="6" fontId="14" fillId="4" borderId="21" xfId="0" applyNumberFormat="1" applyFont="1" applyFill="1" applyBorder="1"/>
    <xf numFmtId="43" fontId="6" fillId="4" borderId="23" xfId="0" applyNumberFormat="1" applyFont="1" applyFill="1" applyBorder="1"/>
    <xf numFmtId="0" fontId="24" fillId="0" borderId="0" xfId="0" applyFont="1"/>
    <xf numFmtId="0" fontId="23" fillId="4" borderId="22" xfId="0" applyFont="1" applyFill="1" applyBorder="1"/>
    <xf numFmtId="0" fontId="23" fillId="8" borderId="2" xfId="0" applyFont="1" applyFill="1" applyBorder="1"/>
    <xf numFmtId="0" fontId="6" fillId="8" borderId="3" xfId="0" applyFont="1" applyFill="1" applyBorder="1"/>
    <xf numFmtId="177" fontId="36" fillId="8" borderId="24" xfId="0" applyNumberFormat="1" applyFont="1" applyFill="1" applyBorder="1"/>
    <xf numFmtId="177" fontId="14" fillId="8" borderId="4" xfId="0" applyNumberFormat="1" applyFont="1" applyFill="1" applyBorder="1"/>
    <xf numFmtId="0" fontId="23" fillId="8" borderId="6" xfId="0" applyFont="1" applyFill="1" applyBorder="1"/>
    <xf numFmtId="0" fontId="6" fillId="8" borderId="1" xfId="0" applyFont="1" applyFill="1" applyBorder="1"/>
    <xf numFmtId="184" fontId="36" fillId="8" borderId="24" xfId="0" applyNumberFormat="1" applyFont="1" applyFill="1" applyBorder="1"/>
    <xf numFmtId="181" fontId="14" fillId="8" borderId="7" xfId="0" applyNumberFormat="1" applyFont="1" applyFill="1" applyBorder="1"/>
    <xf numFmtId="0" fontId="23" fillId="8" borderId="10" xfId="0" applyFont="1" applyFill="1" applyBorder="1"/>
    <xf numFmtId="0" fontId="6" fillId="8" borderId="11" xfId="0" applyFont="1" applyFill="1" applyBorder="1"/>
    <xf numFmtId="177" fontId="23" fillId="8" borderId="24" xfId="0" applyNumberFormat="1" applyFont="1" applyFill="1" applyBorder="1"/>
    <xf numFmtId="10" fontId="14" fillId="8" borderId="12" xfId="0" applyNumberFormat="1" applyFont="1" applyFill="1" applyBorder="1"/>
    <xf numFmtId="0" fontId="9" fillId="3" borderId="1" xfId="0" applyFont="1" applyFill="1" applyBorder="1"/>
    <xf numFmtId="0" fontId="14" fillId="3" borderId="1" xfId="0" applyFont="1" applyFill="1" applyBorder="1"/>
    <xf numFmtId="185" fontId="6" fillId="0" borderId="0" xfId="0" applyNumberFormat="1" applyFont="1"/>
    <xf numFmtId="10" fontId="6" fillId="0" borderId="26" xfId="0" applyNumberFormat="1" applyFont="1" applyBorder="1"/>
    <xf numFmtId="182" fontId="6" fillId="0" borderId="0" xfId="0" applyNumberFormat="1" applyFont="1"/>
    <xf numFmtId="0" fontId="37" fillId="0" borderId="0" xfId="0" applyFont="1"/>
    <xf numFmtId="0" fontId="14" fillId="0" borderId="53" xfId="0" applyFont="1" applyBorder="1"/>
    <xf numFmtId="10" fontId="14" fillId="0" borderId="53" xfId="0" applyNumberFormat="1" applyFont="1" applyBorder="1"/>
    <xf numFmtId="0" fontId="38" fillId="0" borderId="24" xfId="0" applyFont="1" applyBorder="1" applyAlignment="1">
      <alignment horizontal="center"/>
    </xf>
    <xf numFmtId="0" fontId="38" fillId="0" borderId="37" xfId="0" applyFont="1" applyBorder="1"/>
    <xf numFmtId="0" fontId="39" fillId="0" borderId="24" xfId="0" applyFont="1" applyBorder="1" applyAlignment="1">
      <alignment horizontal="center"/>
    </xf>
    <xf numFmtId="0" fontId="40" fillId="11" borderId="24" xfId="0" applyFont="1" applyFill="1" applyBorder="1" applyAlignment="1">
      <alignment horizontal="center"/>
    </xf>
    <xf numFmtId="0" fontId="41" fillId="11" borderId="24" xfId="0" applyFont="1" applyFill="1" applyBorder="1" applyAlignment="1">
      <alignment horizontal="center"/>
    </xf>
    <xf numFmtId="10" fontId="41" fillId="11" borderId="12" xfId="0" applyNumberFormat="1" applyFont="1" applyFill="1" applyBorder="1" applyAlignment="1">
      <alignment horizontal="center"/>
    </xf>
    <xf numFmtId="10" fontId="0" fillId="0" borderId="0" xfId="0" applyNumberFormat="1" applyFont="1"/>
    <xf numFmtId="0" fontId="40" fillId="0" borderId="24" xfId="0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0" fontId="41" fillId="0" borderId="20" xfId="0" applyFont="1" applyBorder="1" applyAlignment="1">
      <alignment horizontal="center"/>
    </xf>
    <xf numFmtId="10" fontId="41" fillId="0" borderId="20" xfId="0" applyNumberFormat="1" applyFont="1" applyBorder="1" applyAlignment="1">
      <alignment horizontal="center"/>
    </xf>
    <xf numFmtId="0" fontId="42" fillId="0" borderId="0" xfId="0" applyFont="1"/>
    <xf numFmtId="10" fontId="42" fillId="0" borderId="0" xfId="0" applyNumberFormat="1" applyFont="1"/>
    <xf numFmtId="0" fontId="0" fillId="0" borderId="0" xfId="0" applyFont="1"/>
    <xf numFmtId="0" fontId="0" fillId="0" borderId="0" xfId="0" applyFont="1" applyAlignment="1"/>
    <xf numFmtId="0" fontId="0" fillId="0" borderId="19" xfId="0" applyFont="1" applyBorder="1"/>
    <xf numFmtId="0" fontId="21" fillId="0" borderId="19" xfId="0" applyFont="1" applyBorder="1"/>
    <xf numFmtId="3" fontId="6" fillId="0" borderId="0" xfId="0" applyNumberFormat="1" applyFont="1"/>
    <xf numFmtId="14" fontId="24" fillId="3" borderId="39" xfId="0" applyNumberFormat="1" applyFont="1" applyFill="1" applyBorder="1" applyAlignment="1">
      <alignment horizontal="center"/>
    </xf>
    <xf numFmtId="0" fontId="21" fillId="0" borderId="40" xfId="0" applyFont="1" applyBorder="1"/>
    <xf numFmtId="180" fontId="24" fillId="3" borderId="39" xfId="0" applyNumberFormat="1" applyFont="1" applyFill="1" applyBorder="1" applyAlignment="1">
      <alignment horizontal="center"/>
    </xf>
    <xf numFmtId="0" fontId="24" fillId="3" borderId="42" xfId="0" applyFont="1" applyFill="1" applyBorder="1" applyAlignment="1">
      <alignment horizontal="center"/>
    </xf>
    <xf numFmtId="0" fontId="9" fillId="3" borderId="45" xfId="0" applyFont="1" applyFill="1" applyBorder="1" applyAlignment="1">
      <alignment horizontal="center" wrapText="1"/>
    </xf>
    <xf numFmtId="0" fontId="21" fillId="0" borderId="46" xfId="0" applyFont="1" applyBorder="1"/>
    <xf numFmtId="0" fontId="24" fillId="3" borderId="47" xfId="0" applyFont="1" applyFill="1" applyBorder="1" applyAlignment="1">
      <alignment horizontal="center"/>
    </xf>
    <xf numFmtId="0" fontId="21" fillId="0" borderId="48" xfId="0" applyFont="1" applyBorder="1"/>
    <xf numFmtId="0" fontId="21" fillId="0" borderId="49" xfId="0" applyFont="1" applyBorder="1"/>
    <xf numFmtId="0" fontId="24" fillId="3" borderId="50" xfId="0" applyFont="1" applyFill="1" applyBorder="1" applyAlignment="1">
      <alignment horizontal="center"/>
    </xf>
    <xf numFmtId="0" fontId="21" fillId="0" borderId="51" xfId="0" applyFont="1" applyBorder="1"/>
    <xf numFmtId="0" fontId="9" fillId="3" borderId="39" xfId="0" applyFont="1" applyFill="1" applyBorder="1" applyAlignment="1">
      <alignment horizontal="center" wrapText="1"/>
    </xf>
    <xf numFmtId="0" fontId="21" fillId="0" borderId="43" xfId="0" applyFont="1" applyBorder="1"/>
    <xf numFmtId="0" fontId="21" fillId="0" borderId="44" xfId="0" applyFont="1" applyBorder="1"/>
    <xf numFmtId="186" fontId="0" fillId="0" borderId="0" xfId="0" applyNumberFormat="1" applyFont="1"/>
    <xf numFmtId="0" fontId="17" fillId="0" borderId="0" xfId="0" applyFont="1"/>
    <xf numFmtId="0" fontId="43" fillId="0" borderId="0" xfId="0" applyFont="1"/>
    <xf numFmtId="0" fontId="44" fillId="0" borderId="0" xfId="0" applyFont="1"/>
    <xf numFmtId="0" fontId="44" fillId="0" borderId="0" xfId="0" applyFont="1" applyAlignment="1"/>
    <xf numFmtId="9" fontId="44" fillId="0" borderId="0" xfId="0" applyNumberFormat="1" applyFont="1" applyAlignment="1"/>
    <xf numFmtId="2" fontId="44" fillId="0" borderId="0" xfId="0" applyNumberFormat="1" applyFont="1"/>
    <xf numFmtId="0" fontId="44" fillId="0" borderId="35" xfId="0" applyFont="1" applyBorder="1" applyAlignment="1"/>
    <xf numFmtId="0" fontId="44" fillId="0" borderId="36" xfId="0" applyFont="1" applyBorder="1"/>
    <xf numFmtId="44" fontId="45" fillId="0" borderId="37" xfId="0" applyNumberFormat="1" applyFont="1" applyBorder="1" applyAlignment="1"/>
    <xf numFmtId="44" fontId="44" fillId="0" borderId="0" xfId="0" applyNumberFormat="1" applyFont="1" applyAlignment="1"/>
    <xf numFmtId="10" fontId="44" fillId="0" borderId="0" xfId="0" applyNumberFormat="1" applyFont="1"/>
    <xf numFmtId="0" fontId="4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600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1"/>
          <c:tx>
            <c:strRef>
              <c:f>'Comparable Companies'!$D$73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cat>
            <c:strRef>
              <c:f>'Comparable Companies'!$B$74:$B$78</c:f>
              <c:strCache>
                <c:ptCount val="5"/>
                <c:pt idx="0">
                  <c:v>EV/Revenue</c:v>
                </c:pt>
                <c:pt idx="1">
                  <c:v>DCF Multiples (Price/AFFO)</c:v>
                </c:pt>
                <c:pt idx="2">
                  <c:v>Price/AFFO</c:v>
                </c:pt>
                <c:pt idx="3">
                  <c:v>Supernormal Growth DDM</c:v>
                </c:pt>
                <c:pt idx="4">
                  <c:v>Traditional DDM</c:v>
                </c:pt>
              </c:strCache>
            </c:strRef>
          </c:cat>
          <c:val>
            <c:numRef>
              <c:f>'Comparable Companies'!$D$74:$D$78</c:f>
              <c:numCache>
                <c:formatCode>0.00</c:formatCode>
                <c:ptCount val="5"/>
                <c:pt idx="0">
                  <c:v>234.28358914196298</c:v>
                </c:pt>
                <c:pt idx="1">
                  <c:v>297.69884945365374</c:v>
                </c:pt>
                <c:pt idx="2">
                  <c:v>186.10571901229196</c:v>
                </c:pt>
                <c:pt idx="3">
                  <c:v>317.05055781224451</c:v>
                </c:pt>
                <c:pt idx="4">
                  <c:v>298.38323353293418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5-334E-8BE1-CFAA6F135231}"/>
            </c:ext>
          </c:extLst>
        </c:ser>
        <c:ser>
          <c:idx val="2"/>
          <c:order val="2"/>
          <c:tx>
            <c:strRef>
              <c:f>'Comparable Companies'!$E$73</c:f>
              <c:strCache>
                <c:ptCount val="1"/>
                <c:pt idx="0">
                  <c:v>Spread</c:v>
                </c:pt>
              </c:strCache>
            </c:strRef>
          </c:tx>
          <c:spPr>
            <a:solidFill>
              <a:srgbClr val="C60003"/>
            </a:solidFill>
            <a:ln>
              <a:noFill/>
            </a:ln>
            <a:effectLst/>
          </c:spPr>
          <c:invertIfNegative val="0"/>
          <c:cat>
            <c:strRef>
              <c:f>'Comparable Companies'!$B$74:$B$78</c:f>
              <c:strCache>
                <c:ptCount val="5"/>
                <c:pt idx="0">
                  <c:v>EV/Revenue</c:v>
                </c:pt>
                <c:pt idx="1">
                  <c:v>DCF Multiples (Price/AFFO)</c:v>
                </c:pt>
                <c:pt idx="2">
                  <c:v>Price/AFFO</c:v>
                </c:pt>
                <c:pt idx="3">
                  <c:v>Supernormal Growth DDM</c:v>
                </c:pt>
                <c:pt idx="4">
                  <c:v>Traditional DDM</c:v>
                </c:pt>
              </c:strCache>
            </c:strRef>
          </c:cat>
          <c:val>
            <c:numRef>
              <c:f>'Comparable Companies'!$E$74:$E$78</c:f>
              <c:numCache>
                <c:formatCode>0.00</c:formatCode>
                <c:ptCount val="5"/>
                <c:pt idx="0">
                  <c:v>76.663434516482937</c:v>
                </c:pt>
                <c:pt idx="1">
                  <c:v>36.317297600180154</c:v>
                </c:pt>
                <c:pt idx="2">
                  <c:v>53.251544255056473</c:v>
                </c:pt>
                <c:pt idx="3">
                  <c:v>167.80942633178245</c:v>
                </c:pt>
                <c:pt idx="4">
                  <c:v>127.51420236450195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15-334E-8BE1-CFAA6F135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9312048"/>
        <c:axId val="9212558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'Comparable Companies'!$C$73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'Comparable Companies'!$B$74:$B$78</c15:sqref>
                        </c15:formulaRef>
                      </c:ext>
                    </c:extLst>
                    <c:strCache>
                      <c:ptCount val="5"/>
                      <c:pt idx="0">
                        <c:v>EV/Revenue</c:v>
                      </c:pt>
                      <c:pt idx="1">
                        <c:v>DCF Multiples (Price/AFFO)</c:v>
                      </c:pt>
                      <c:pt idx="2">
                        <c:v>Price/AFFO</c:v>
                      </c:pt>
                      <c:pt idx="3">
                        <c:v>Supernormal Growth DDM</c:v>
                      </c:pt>
                      <c:pt idx="4">
                        <c:v>Traditional DDM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'Comparable Companies'!$C$74:$C$78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215-334E-8BE1-CFAA6F135231}"/>
                  </c:ext>
                </c:extLst>
              </c15:ser>
            </c15:filteredBarSeries>
          </c:ext>
        </c:extLst>
      </c:barChart>
      <c:catAx>
        <c:axId val="929312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n-US"/>
          </a:p>
        </c:txPr>
        <c:crossAx val="921255824"/>
        <c:crosses val="autoZero"/>
        <c:auto val="1"/>
        <c:lblAlgn val="ctr"/>
        <c:lblOffset val="100"/>
        <c:noMultiLvlLbl val="0"/>
      </c:catAx>
      <c:valAx>
        <c:axId val="921255824"/>
        <c:scaling>
          <c:orientation val="minMax"/>
        </c:scaling>
        <c:delete val="0"/>
        <c:axPos val="b"/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n-US"/>
          </a:p>
        </c:txPr>
        <c:crossAx val="929312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943350" cy="990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2095500</xdr:colOff>
      <xdr:row>0</xdr:row>
      <xdr:rowOff>47625</xdr:rowOff>
    </xdr:from>
    <xdr:ext cx="1704975" cy="1162050"/>
    <xdr:pic>
      <xdr:nvPicPr>
        <xdr:cNvPr id="3" name="image2.png" descr="Binghamton University Finance Socie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3" name="image3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4" name="image3.gif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52450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3" name="image3.gif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3" name="image3.gif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4" name="image3.gif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3" name="image3.gi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4" name="image3.gif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3" name="image3.gif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4" name="image3.gif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3" name="image3.gif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</xdr:row>
      <xdr:rowOff>66675</xdr:rowOff>
    </xdr:from>
    <xdr:ext cx="1571625" cy="523875"/>
    <xdr:pic>
      <xdr:nvPicPr>
        <xdr:cNvPr id="4" name="image3.gif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52450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66675</xdr:rowOff>
    </xdr:from>
    <xdr:ext cx="1571625" cy="552450"/>
    <xdr:pic>
      <xdr:nvPicPr>
        <xdr:cNvPr id="2" name="image3.gif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7</xdr:col>
      <xdr:colOff>441277</xdr:colOff>
      <xdr:row>61</xdr:row>
      <xdr:rowOff>70603</xdr:rowOff>
    </xdr:from>
    <xdr:to>
      <xdr:col>14</xdr:col>
      <xdr:colOff>495084</xdr:colOff>
      <xdr:row>85</xdr:row>
      <xdr:rowOff>75339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CD7EB1-28CC-A848-B0E8-E93DEED277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516611</xdr:colOff>
      <xdr:row>62</xdr:row>
      <xdr:rowOff>0</xdr:rowOff>
    </xdr:from>
    <xdr:to>
      <xdr:col>11</xdr:col>
      <xdr:colOff>516611</xdr:colOff>
      <xdr:row>83</xdr:row>
      <xdr:rowOff>64576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8C822EBD-14CF-C84C-94BC-C62BCA84CE83}"/>
            </a:ext>
          </a:extLst>
        </xdr:cNvPr>
        <xdr:cNvCxnSpPr/>
      </xdr:nvCxnSpPr>
      <xdr:spPr>
        <a:xfrm>
          <a:off x="8577882" y="7630763"/>
          <a:ext cx="0" cy="2550762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195451</xdr:colOff>
      <xdr:row>62</xdr:row>
      <xdr:rowOff>1723</xdr:rowOff>
    </xdr:from>
    <xdr:to>
      <xdr:col>12</xdr:col>
      <xdr:colOff>195451</xdr:colOff>
      <xdr:row>83</xdr:row>
      <xdr:rowOff>66299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76C044D7-8AD7-A540-8D48-D3D277685B18}"/>
            </a:ext>
          </a:extLst>
        </xdr:cNvPr>
        <xdr:cNvCxnSpPr/>
      </xdr:nvCxnSpPr>
      <xdr:spPr>
        <a:xfrm>
          <a:off x="8913248" y="7632486"/>
          <a:ext cx="0" cy="2550762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wexler1@binghamton.edu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00"/>
  <sheetViews>
    <sheetView showGridLines="0" workbookViewId="0"/>
  </sheetViews>
  <sheetFormatPr baseColWidth="10" defaultColWidth="12.6640625" defaultRowHeight="15" customHeight="1" x14ac:dyDescent="0.15"/>
  <cols>
    <col min="1" max="1" width="1.5" customWidth="1"/>
    <col min="2" max="2" width="35.6640625" customWidth="1"/>
    <col min="3" max="3" width="26.83203125" customWidth="1"/>
    <col min="4" max="4" width="14.5" customWidth="1"/>
    <col min="5" max="24" width="7.6640625" customWidth="1"/>
  </cols>
  <sheetData>
    <row r="1" spans="1:24" ht="9.7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</row>
    <row r="2" spans="1:24" ht="18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2"/>
      <c r="X2" s="2"/>
    </row>
    <row r="3" spans="1:24" ht="18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2"/>
    </row>
    <row r="4" spans="1:24" ht="18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"/>
      <c r="X4" s="2"/>
    </row>
    <row r="5" spans="1:24" ht="18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"/>
      <c r="X5" s="2"/>
    </row>
    <row r="6" spans="1:24" ht="16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"/>
      <c r="X6" s="2"/>
    </row>
    <row r="7" spans="1:24" ht="39" customHeight="1" x14ac:dyDescent="0.4">
      <c r="A7" s="3"/>
      <c r="B7" s="4" t="s">
        <v>1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2"/>
      <c r="X7" s="2"/>
    </row>
    <row r="8" spans="1:24" ht="18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2"/>
      <c r="X8" s="2"/>
    </row>
    <row r="9" spans="1:24" ht="18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8" customHeight="1" x14ac:dyDescent="0.25">
      <c r="A10" s="3"/>
      <c r="B10" s="5" t="s">
        <v>2</v>
      </c>
      <c r="C10" s="3" t="s">
        <v>3</v>
      </c>
      <c r="D10" s="6" t="s">
        <v>4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8" customHeight="1" x14ac:dyDescent="0.25">
      <c r="A11" s="3"/>
      <c r="B11" s="7" t="s">
        <v>5</v>
      </c>
      <c r="C11" s="8" t="s">
        <v>6</v>
      </c>
      <c r="D11" s="8" t="s">
        <v>7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8" customHeight="1" x14ac:dyDescent="0.25">
      <c r="A12" s="3"/>
      <c r="B12" s="5" t="s">
        <v>8</v>
      </c>
      <c r="C12" s="8" t="s">
        <v>9</v>
      </c>
      <c r="D12" s="8" t="s">
        <v>10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8" customHeight="1" x14ac:dyDescent="0.25">
      <c r="A13" s="3"/>
      <c r="B13" s="5" t="s">
        <v>8</v>
      </c>
      <c r="C13" s="8" t="s">
        <v>11</v>
      </c>
      <c r="D13" s="8" t="s">
        <v>12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8" customHeight="1" x14ac:dyDescent="0.25">
      <c r="A14" s="3"/>
      <c r="B14" s="5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8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8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8" customHeight="1" x14ac:dyDescent="0.25">
      <c r="A17" s="3"/>
      <c r="B17" s="5" t="s">
        <v>13</v>
      </c>
      <c r="C17" s="9">
        <f ca="1">NOW()</f>
        <v>44514.760069791664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8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8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8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8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8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8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8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8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8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8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8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8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8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8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8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8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8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8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8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8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8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8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8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8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8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8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8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8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8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8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8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8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8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8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8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8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8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8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8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8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8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8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8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8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8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8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8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8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8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8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8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8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8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8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8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8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8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8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8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8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8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8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8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8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8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8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8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8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8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8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8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8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8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8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8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8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8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8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8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8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8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8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8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8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8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8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8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8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8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8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8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8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8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8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8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8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8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8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8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8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8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8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8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8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8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8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8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8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8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8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8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8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8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8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8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8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8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8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8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8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8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8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8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8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8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8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8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8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8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8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8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8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8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8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8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8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8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8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8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8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8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8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8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8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8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8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8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8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8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8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8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8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8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8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8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8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8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8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8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8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8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8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8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8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8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8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8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8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8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8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8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8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8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8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8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8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8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8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8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8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8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8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8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8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8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8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8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8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8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8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8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8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8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8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8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8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8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8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8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8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8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8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8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5.75" customHeight="1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.75" customHeight="1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.75" customHeight="1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.75" customHeight="1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hyperlinks>
    <hyperlink ref="D10" r:id="rId1" xr:uid="{00000000-0004-0000-0000-000000000000}"/>
  </hyperlinks>
  <pageMargins left="0.7" right="0.7" top="0.75" bottom="0.75" header="0" footer="0"/>
  <pageSetup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998"/>
  <sheetViews>
    <sheetView showGridLines="0" zoomScale="180" workbookViewId="0">
      <pane xSplit="3" ySplit="5" topLeftCell="P60" activePane="bottomRight" state="frozen"/>
      <selection pane="topRight" activeCell="D1" sqref="D1"/>
      <selection pane="bottomLeft" activeCell="A6" sqref="A6"/>
      <selection pane="bottomRight" activeCell="S68" sqref="S68"/>
    </sheetView>
  </sheetViews>
  <sheetFormatPr baseColWidth="10" defaultColWidth="12.6640625" defaultRowHeight="15" customHeight="1" x14ac:dyDescent="0.15"/>
  <cols>
    <col min="1" max="1" width="1.5" customWidth="1"/>
    <col min="2" max="2" width="32.6640625" customWidth="1"/>
    <col min="3" max="3" width="4.1640625" customWidth="1"/>
    <col min="4" max="7" width="7.6640625" customWidth="1"/>
    <col min="8" max="8" width="10.1640625" customWidth="1"/>
    <col min="9" max="9" width="9.5" customWidth="1"/>
    <col min="10" max="18" width="8.6640625" customWidth="1"/>
    <col min="19" max="19" width="12" customWidth="1"/>
    <col min="20" max="20" width="17.6640625" customWidth="1"/>
    <col min="21" max="21" width="10.6640625" customWidth="1"/>
    <col min="22" max="22" width="17.33203125" customWidth="1"/>
    <col min="23" max="29" width="8" customWidth="1"/>
  </cols>
  <sheetData>
    <row r="1" spans="1:29" ht="9.75" customHeight="1" x14ac:dyDescent="0.15">
      <c r="A1" s="319"/>
      <c r="B1" s="319"/>
      <c r="C1" s="319" t="s">
        <v>273</v>
      </c>
      <c r="D1" s="319" t="s">
        <v>278</v>
      </c>
      <c r="E1" s="319" t="s">
        <v>303</v>
      </c>
      <c r="F1" s="319" t="s">
        <v>369</v>
      </c>
      <c r="G1" s="319" t="s">
        <v>346</v>
      </c>
      <c r="H1" s="319" t="s">
        <v>370</v>
      </c>
      <c r="I1" s="319"/>
      <c r="J1" s="319" t="s">
        <v>330</v>
      </c>
      <c r="K1" s="319" t="s">
        <v>331</v>
      </c>
      <c r="L1" s="319" t="s">
        <v>332</v>
      </c>
      <c r="M1" s="319"/>
      <c r="N1" s="319" t="s">
        <v>333</v>
      </c>
      <c r="O1" s="319" t="s">
        <v>336</v>
      </c>
      <c r="P1" s="319" t="s">
        <v>337</v>
      </c>
      <c r="Q1" s="319" t="s">
        <v>338</v>
      </c>
      <c r="R1" s="319"/>
      <c r="S1" s="319" t="s">
        <v>339</v>
      </c>
      <c r="T1" s="319" t="s">
        <v>365</v>
      </c>
      <c r="U1" s="319"/>
      <c r="V1" s="319"/>
      <c r="W1" s="319"/>
      <c r="X1" s="319"/>
      <c r="Y1" s="319"/>
      <c r="Z1" s="319"/>
      <c r="AA1" s="319"/>
      <c r="AB1" s="319"/>
      <c r="AC1" s="319"/>
    </row>
    <row r="2" spans="1:29" ht="15.75" customHeight="1" x14ac:dyDescent="0.2">
      <c r="A2" s="10"/>
      <c r="B2" s="268"/>
      <c r="C2" s="268"/>
      <c r="D2" s="269"/>
      <c r="E2" s="269"/>
      <c r="F2" s="269"/>
      <c r="G2" s="269"/>
      <c r="H2" s="269"/>
      <c r="I2" s="320"/>
      <c r="J2" s="460" t="s">
        <v>394</v>
      </c>
      <c r="K2" s="461"/>
      <c r="L2" s="461"/>
      <c r="M2" s="461"/>
      <c r="N2" s="462"/>
      <c r="O2" s="460" t="s">
        <v>395</v>
      </c>
      <c r="P2" s="461"/>
      <c r="Q2" s="461"/>
      <c r="R2" s="461"/>
      <c r="S2" s="462"/>
      <c r="T2" s="10"/>
      <c r="U2" s="10"/>
      <c r="V2" s="449" t="s">
        <v>260</v>
      </c>
      <c r="W2" s="450"/>
      <c r="X2" s="10"/>
      <c r="Y2" s="10"/>
      <c r="Z2" s="10"/>
      <c r="AA2" s="10"/>
      <c r="AB2" s="10"/>
      <c r="AC2" s="10"/>
    </row>
    <row r="3" spans="1:29" ht="33.75" customHeight="1" x14ac:dyDescent="0.15">
      <c r="A3" s="10"/>
      <c r="B3" s="271"/>
      <c r="C3" s="271"/>
      <c r="D3" s="269"/>
      <c r="E3" s="269"/>
      <c r="F3" s="269"/>
      <c r="G3" s="269"/>
      <c r="H3" s="269"/>
      <c r="I3" s="320"/>
      <c r="J3" s="320"/>
      <c r="K3" s="321"/>
      <c r="L3" s="321"/>
      <c r="M3" s="321"/>
      <c r="N3" s="322"/>
      <c r="O3" s="320"/>
      <c r="P3" s="321"/>
      <c r="Q3" s="321"/>
      <c r="R3" s="321"/>
      <c r="S3" s="322"/>
      <c r="T3" s="10"/>
      <c r="U3" s="10"/>
      <c r="V3" s="449" t="s">
        <v>272</v>
      </c>
      <c r="W3" s="450"/>
      <c r="X3" s="10"/>
      <c r="Y3" s="10"/>
      <c r="Z3" s="10"/>
      <c r="AA3" s="10"/>
      <c r="AB3" s="10"/>
      <c r="AC3" s="10"/>
    </row>
    <row r="4" spans="1:29" ht="15.75" customHeight="1" x14ac:dyDescent="0.2">
      <c r="A4" s="10"/>
      <c r="B4" s="272" t="str">
        <f>'Balance Sheet'!B4</f>
        <v>American Tower</v>
      </c>
      <c r="C4" s="273"/>
      <c r="D4" s="453" t="s">
        <v>396</v>
      </c>
      <c r="E4" s="453" t="s">
        <v>397</v>
      </c>
      <c r="F4" s="453" t="s">
        <v>398</v>
      </c>
      <c r="G4" s="453" t="s">
        <v>346</v>
      </c>
      <c r="H4" s="453" t="s">
        <v>370</v>
      </c>
      <c r="I4" s="320" t="s">
        <v>399</v>
      </c>
      <c r="J4" s="320"/>
      <c r="K4" s="321"/>
      <c r="L4" s="321"/>
      <c r="M4" s="321"/>
      <c r="N4" s="322"/>
      <c r="O4" s="320"/>
      <c r="P4" s="321"/>
      <c r="Q4" s="321"/>
      <c r="R4" s="321"/>
      <c r="S4" s="322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2.75" customHeight="1" x14ac:dyDescent="0.15">
      <c r="A5" s="10"/>
      <c r="B5" s="275" t="s">
        <v>400</v>
      </c>
      <c r="C5" s="276"/>
      <c r="D5" s="454"/>
      <c r="E5" s="454"/>
      <c r="F5" s="454"/>
      <c r="G5" s="454"/>
      <c r="H5" s="454"/>
      <c r="I5" s="320" t="s">
        <v>401</v>
      </c>
      <c r="J5" s="320" t="s">
        <v>71</v>
      </c>
      <c r="K5" s="321" t="s">
        <v>319</v>
      </c>
      <c r="L5" s="321" t="s">
        <v>402</v>
      </c>
      <c r="M5" s="321" t="s">
        <v>403</v>
      </c>
      <c r="N5" s="321" t="s">
        <v>404</v>
      </c>
      <c r="O5" s="320" t="s">
        <v>71</v>
      </c>
      <c r="P5" s="321" t="s">
        <v>319</v>
      </c>
      <c r="Q5" s="321" t="s">
        <v>402</v>
      </c>
      <c r="R5" s="321" t="s">
        <v>403</v>
      </c>
      <c r="S5" s="322" t="s">
        <v>404</v>
      </c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4.5" customHeight="1" x14ac:dyDescent="0.15">
      <c r="A6" s="10"/>
      <c r="B6" s="10"/>
      <c r="C6" s="277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9.75" customHeight="1" x14ac:dyDescent="0.15">
      <c r="A7" s="58"/>
      <c r="B7" s="323" t="s">
        <v>1</v>
      </c>
      <c r="C7" s="324" t="s">
        <v>405</v>
      </c>
      <c r="D7" s="325">
        <v>272.10000000000002</v>
      </c>
      <c r="E7" s="263">
        <v>513</v>
      </c>
      <c r="F7" s="263">
        <v>145999.80000000002</v>
      </c>
      <c r="G7" s="263">
        <v>27142</v>
      </c>
      <c r="H7" s="263">
        <v>173141.80000000002</v>
      </c>
      <c r="I7" s="326">
        <v>1.9E-2</v>
      </c>
      <c r="J7" s="263">
        <v>8041.5</v>
      </c>
      <c r="K7" s="263">
        <v>4769.8</v>
      </c>
      <c r="L7" s="263">
        <v>3510.8</v>
      </c>
      <c r="M7" s="263">
        <v>3763.5</v>
      </c>
      <c r="N7" s="327">
        <v>3.79</v>
      </c>
      <c r="O7" s="264">
        <v>8772.1080000000002</v>
      </c>
      <c r="P7" s="263">
        <v>5395.4402933333331</v>
      </c>
      <c r="Q7" s="263">
        <v>3711.4853599999997</v>
      </c>
      <c r="R7" s="263">
        <v>3812.8353599999996</v>
      </c>
      <c r="S7" s="327">
        <v>4.185265677958502</v>
      </c>
      <c r="T7" s="10" t="str">
        <f>IFERROR(VLOOKUP(T$1,'Comps Inputs'!$B$7:$N$250,MATCH('Comparable Companies'!$C7,'Comps Inputs'!$D$5:$N$5,0)+2,FALSE)," ")</f>
        <v xml:space="preserve"> </v>
      </c>
      <c r="U7" s="58"/>
      <c r="V7" s="58"/>
      <c r="W7" s="58"/>
      <c r="X7" s="58"/>
      <c r="Y7" s="58"/>
      <c r="Z7" s="58"/>
      <c r="AA7" s="58"/>
      <c r="AB7" s="58"/>
      <c r="AC7" s="58"/>
    </row>
    <row r="8" spans="1:29" ht="9.75" customHeight="1" x14ac:dyDescent="0.15">
      <c r="A8" s="10"/>
      <c r="B8" s="10" t="s">
        <v>406</v>
      </c>
      <c r="C8" s="10" t="s">
        <v>407</v>
      </c>
      <c r="D8" s="173">
        <v>192.53</v>
      </c>
      <c r="E8" s="55">
        <v>425</v>
      </c>
      <c r="F8" s="55">
        <v>81825.25</v>
      </c>
      <c r="G8" s="55">
        <v>26051</v>
      </c>
      <c r="H8" s="55">
        <v>107876.25</v>
      </c>
      <c r="I8" s="174">
        <v>3.4000000000000002E-2</v>
      </c>
      <c r="J8" s="55">
        <v>6050</v>
      </c>
      <c r="K8" s="55">
        <v>3370</v>
      </c>
      <c r="L8" s="55">
        <v>2746</v>
      </c>
      <c r="M8" s="55">
        <v>2878</v>
      </c>
      <c r="N8" s="173">
        <v>2.35</v>
      </c>
      <c r="O8" s="54">
        <v>6670</v>
      </c>
      <c r="P8" s="55">
        <v>3607</v>
      </c>
      <c r="Q8" s="55">
        <v>2840</v>
      </c>
      <c r="R8" s="55">
        <v>2906</v>
      </c>
      <c r="S8" s="173">
        <v>2.57</v>
      </c>
      <c r="T8" s="10" t="str">
        <f>IFERROR(VLOOKUP(T$1,'Comps Inputs'!$B$7:$N$250,MATCH('Comparable Companies'!$C8,'Comps Inputs'!$D$5:$N$5,0)+2,FALSE)," ")</f>
        <v xml:space="preserve"> </v>
      </c>
      <c r="U8" s="10"/>
      <c r="V8" s="10"/>
      <c r="W8" s="10"/>
      <c r="X8" s="10"/>
      <c r="Y8" s="10"/>
      <c r="Z8" s="10"/>
      <c r="AA8" s="10"/>
      <c r="AB8" s="10"/>
      <c r="AC8" s="10"/>
    </row>
    <row r="9" spans="1:29" ht="9.75" customHeight="1" x14ac:dyDescent="0.15">
      <c r="A9" s="10"/>
      <c r="B9" s="10" t="s">
        <v>408</v>
      </c>
      <c r="C9" s="10" t="s">
        <v>409</v>
      </c>
      <c r="D9" s="173">
        <v>317.83</v>
      </c>
      <c r="E9" s="55">
        <v>175</v>
      </c>
      <c r="F9" s="55">
        <v>55620.25</v>
      </c>
      <c r="G9" s="55">
        <v>5320</v>
      </c>
      <c r="H9" s="55">
        <v>60940.25</v>
      </c>
      <c r="I9" s="174">
        <v>2.53E-2</v>
      </c>
      <c r="J9" s="55">
        <v>3079</v>
      </c>
      <c r="K9" s="55">
        <v>2230</v>
      </c>
      <c r="L9" s="55">
        <v>1827</v>
      </c>
      <c r="M9" s="55">
        <v>1950</v>
      </c>
      <c r="N9" s="173">
        <v>7.27</v>
      </c>
      <c r="O9" s="54">
        <v>3480</v>
      </c>
      <c r="P9" s="55">
        <v>2127</v>
      </c>
      <c r="Q9" s="55">
        <v>1937</v>
      </c>
      <c r="R9" s="55">
        <v>2043</v>
      </c>
      <c r="S9" s="173">
        <v>8.3800000000000008</v>
      </c>
      <c r="T9" s="10" t="str">
        <f>IFERROR(VLOOKUP(T$1,'Comps Inputs'!$B$7:$N$250,MATCH('Comparable Companies'!$C9,'Comps Inputs'!$D$5:$N$5,0)+2,FALSE)," ")</f>
        <v xml:space="preserve"> </v>
      </c>
      <c r="U9" s="10"/>
      <c r="V9" s="10"/>
      <c r="W9" s="10"/>
      <c r="X9" s="10"/>
      <c r="Y9" s="10"/>
      <c r="Z9" s="10"/>
      <c r="AA9" s="10"/>
      <c r="AB9" s="10"/>
      <c r="AC9" s="10"/>
    </row>
    <row r="10" spans="1:29" ht="9.75" customHeight="1" x14ac:dyDescent="0.15">
      <c r="A10" s="10"/>
      <c r="B10" s="10" t="s">
        <v>410</v>
      </c>
      <c r="C10" s="10" t="s">
        <v>411</v>
      </c>
      <c r="D10" s="173">
        <v>352.83</v>
      </c>
      <c r="E10" s="55">
        <v>115</v>
      </c>
      <c r="F10" s="55">
        <v>40575.449999999997</v>
      </c>
      <c r="G10" s="55">
        <v>14000</v>
      </c>
      <c r="H10" s="55">
        <v>54575.45</v>
      </c>
      <c r="I10" s="174">
        <v>6.6E-3</v>
      </c>
      <c r="J10" s="55">
        <v>2183</v>
      </c>
      <c r="K10" s="55">
        <v>1493</v>
      </c>
      <c r="L10" s="55">
        <v>1053.4000000000001</v>
      </c>
      <c r="M10" s="55">
        <v>1089</v>
      </c>
      <c r="N10" s="173">
        <v>2.41</v>
      </c>
      <c r="O10" s="54">
        <v>2369</v>
      </c>
      <c r="P10" s="55">
        <v>1673</v>
      </c>
      <c r="Q10" s="55">
        <v>1173</v>
      </c>
      <c r="R10" s="55">
        <v>1217</v>
      </c>
      <c r="S10" s="173">
        <v>2.78</v>
      </c>
      <c r="T10" s="10" t="str">
        <f>IFERROR(VLOOKUP(T$1,'Comps Inputs'!$B$7:$N$250,MATCH('Comparable Companies'!$C10,'Comps Inputs'!$D$5:$N$5,0)+2,FALSE)," ")</f>
        <v xml:space="preserve"> </v>
      </c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9.75" customHeight="1" x14ac:dyDescent="0.15">
      <c r="A11" s="10"/>
      <c r="B11" s="10" t="s">
        <v>412</v>
      </c>
      <c r="C11" s="10" t="s">
        <v>413</v>
      </c>
      <c r="D11" s="173">
        <v>824.81</v>
      </c>
      <c r="E11" s="55">
        <v>82</v>
      </c>
      <c r="F11" s="55">
        <v>67634.42</v>
      </c>
      <c r="G11" s="55">
        <v>15000</v>
      </c>
      <c r="H11" s="55">
        <v>82634.42</v>
      </c>
      <c r="I11" s="174">
        <v>1.52E-2</v>
      </c>
      <c r="J11" s="55">
        <v>5998</v>
      </c>
      <c r="K11" s="55">
        <v>2660</v>
      </c>
      <c r="L11" s="55">
        <v>1670.3400000000001</v>
      </c>
      <c r="M11" s="55">
        <v>1683</v>
      </c>
      <c r="N11" s="173">
        <v>3.04</v>
      </c>
      <c r="O11" s="54">
        <v>6294</v>
      </c>
      <c r="P11" s="55">
        <v>2843</v>
      </c>
      <c r="Q11" s="55">
        <v>1783</v>
      </c>
      <c r="R11" s="55">
        <v>1873</v>
      </c>
      <c r="S11" s="173">
        <v>3.83</v>
      </c>
      <c r="T11" s="10" t="str">
        <f>IFERROR(VLOOKUP(T$1,'Comps Inputs'!$B$7:$N$250,MATCH('Comparable Companies'!$C11,'Comps Inputs'!$D$5:$N$5,0)+2,FALSE)," ")</f>
        <v xml:space="preserve"> </v>
      </c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9.75" customHeight="1" x14ac:dyDescent="0.15">
      <c r="A12" s="10"/>
      <c r="B12" s="10" t="s">
        <v>414</v>
      </c>
      <c r="C12" s="280" t="s">
        <v>415</v>
      </c>
      <c r="D12" s="173">
        <v>131.31</v>
      </c>
      <c r="E12" s="55">
        <v>754</v>
      </c>
      <c r="F12" s="55">
        <v>99007.74</v>
      </c>
      <c r="G12" s="55">
        <v>17000</v>
      </c>
      <c r="H12" s="55">
        <v>116007.74</v>
      </c>
      <c r="I12" s="174">
        <v>1.9E-2</v>
      </c>
      <c r="J12" s="55">
        <v>4880</v>
      </c>
      <c r="K12" s="55">
        <v>3932</v>
      </c>
      <c r="L12" s="55">
        <v>2224.3000000000002</v>
      </c>
      <c r="M12" s="55">
        <v>2453</v>
      </c>
      <c r="N12" s="173">
        <v>3.24</v>
      </c>
      <c r="O12" s="54">
        <v>5047</v>
      </c>
      <c r="P12" s="55">
        <v>4258</v>
      </c>
      <c r="Q12" s="55">
        <v>2338</v>
      </c>
      <c r="R12" s="55">
        <v>2562</v>
      </c>
      <c r="S12" s="173">
        <v>3.62</v>
      </c>
      <c r="T12" s="10" t="str">
        <f>IFERROR(VLOOKUP(T$1,'Comps Inputs'!$B$7:$N$250,MATCH('Comparable Companies'!$C12,'Comps Inputs'!$D$5:$N$5,0)+2,FALSE)," ")</f>
        <v xml:space="preserve"> </v>
      </c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9.75" customHeight="1" x14ac:dyDescent="0.15">
      <c r="A13" s="10"/>
      <c r="B13" s="10"/>
      <c r="C13" s="280" t="str">
        <f>IFERROR(CHOOSE(MATCH($B13,'Comps Inputs'!$D$3:$L$3,0),'Comps Inputs'!$D$5,'Comps Inputs'!$E$5,'Comps Inputs'!$F$5,'Comps Inputs'!$G$5,'Comps Inputs'!$H$5,'Comps Inputs'!$I$5,'Comps Inputs'!$J$5,'Comps Inputs'!$K$5,'Comps Inputs'!$L$5,'Comps Inputs'!M11,'Comps Inputs'!N11)," ")</f>
        <v xml:space="preserve"> </v>
      </c>
      <c r="D13" s="173" t="str">
        <f>IFERROR(VLOOKUP(D$1,'Comps Inputs'!$B$7:$N$250,MATCH('Comparable Companies'!$C13,'Comps Inputs'!$D$5:$N$5,0)+2,FALSE)," ")</f>
        <v xml:space="preserve"> </v>
      </c>
      <c r="E13" s="55" t="str">
        <f>IFERROR(VLOOKUP(E$1,'Comps Inputs'!$B$7:$N$250,MATCH('Comparable Companies'!$C13,'Comps Inputs'!$D$5:$N$5,0)+2,FALSE)," ")</f>
        <v xml:space="preserve"> </v>
      </c>
      <c r="F13" s="55" t="str">
        <f>IFERROR(VLOOKUP(F$1,'Comps Inputs'!$B$7:$N$250,MATCH('Comparable Companies'!$C13,'Comps Inputs'!$D$5:$N$5,0)+2,FALSE)," ")</f>
        <v xml:space="preserve"> </v>
      </c>
      <c r="G13" s="55" t="str">
        <f>IFERROR(VLOOKUP(G$1,'Comps Inputs'!$B$7:$N$250,MATCH('Comparable Companies'!$C13,'Comps Inputs'!$D$5:$N$5,0)+2,FALSE)," ")</f>
        <v xml:space="preserve"> </v>
      </c>
      <c r="H13" s="55" t="str">
        <f>IFERROR(VLOOKUP(H$1,'Comps Inputs'!$B$7:$N$250,MATCH('Comparable Companies'!$C13,'Comps Inputs'!$D$5:$N$5,0)+2,FALSE)," ")</f>
        <v xml:space="preserve"> </v>
      </c>
      <c r="I13" s="55"/>
      <c r="J13" s="55" t="str">
        <f>IFERROR(VLOOKUP(J$1,'Comps Inputs'!$B$7:$N$250,MATCH('Comparable Companies'!$C13,'Comps Inputs'!$D$5:$N$5,0)+2,FALSE)," ")</f>
        <v xml:space="preserve"> </v>
      </c>
      <c r="K13" s="55" t="str">
        <f>IFERROR(VLOOKUP(K$1,'Comps Inputs'!$B$7:$N$250,MATCH('Comparable Companies'!$C13,'Comps Inputs'!$D$5:$N$5,0)+2,FALSE)," ")</f>
        <v xml:space="preserve"> </v>
      </c>
      <c r="L13" s="55" t="str">
        <f>IFERROR(VLOOKUP(L$1,'Comps Inputs'!$B$7:$N$250,MATCH('Comparable Companies'!$C13,'Comps Inputs'!$D$5:$N$5,0)+2,FALSE)," ")</f>
        <v xml:space="preserve"> </v>
      </c>
      <c r="M13" s="55"/>
      <c r="N13" s="173" t="str">
        <f>IFERROR(VLOOKUP(N$1,'Comps Inputs'!$B$7:$N$250,MATCH('Comparable Companies'!$C13,'Comps Inputs'!$D$5:$N$5,0)+2,FALSE)," ")</f>
        <v xml:space="preserve"> </v>
      </c>
      <c r="O13" s="54" t="str">
        <f>IFERROR(VLOOKUP(O$1,'Comps Inputs'!$B$7:$N$250,MATCH('Comparable Companies'!$C13,'Comps Inputs'!$D$5:$N$5,0)+2,FALSE)," ")</f>
        <v xml:space="preserve"> </v>
      </c>
      <c r="P13" s="55" t="str">
        <f>IFERROR(VLOOKUP(P$1,'Comps Inputs'!$B$7:$N$250,MATCH('Comparable Companies'!$C13,'Comps Inputs'!$D$5:$N$5,0)+2,FALSE)," ")</f>
        <v xml:space="preserve"> </v>
      </c>
      <c r="Q13" s="55" t="str">
        <f>IFERROR(VLOOKUP(Q$1,'Comps Inputs'!$B$7:$N$250,MATCH('Comparable Companies'!$C13,'Comps Inputs'!$D$5:$N$5,0)+2,FALSE)," ")</f>
        <v xml:space="preserve"> </v>
      </c>
      <c r="R13" s="55"/>
      <c r="S13" s="173" t="str">
        <f>IFERROR(VLOOKUP(S$1,'Comps Inputs'!$B$7:$N$250,MATCH('Comparable Companies'!$C13,'Comps Inputs'!$D$5:$N$5,0)+2,FALSE)," ")</f>
        <v xml:space="preserve"> </v>
      </c>
      <c r="T13" s="10" t="str">
        <f>IFERROR(VLOOKUP(T$1,'Comps Inputs'!$B$7:$N$250,MATCH('Comparable Companies'!$C13,'Comps Inputs'!$D$5:$N$5,0)+2,FALSE)," ")</f>
        <v xml:space="preserve"> </v>
      </c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.75" customHeight="1" x14ac:dyDescent="0.15">
      <c r="A14" s="10"/>
      <c r="B14" s="10"/>
      <c r="C14" s="280" t="str">
        <f>IFERROR(CHOOSE(MATCH($B14,'Comps Inputs'!$D$3:$L$3,0),'Comps Inputs'!$D$5,'Comps Inputs'!$E$5,'Comps Inputs'!$F$5,'Comps Inputs'!$G$5,'Comps Inputs'!$H$5,'Comps Inputs'!$I$5,'Comps Inputs'!$J$5,'Comps Inputs'!$K$5,'Comps Inputs'!$L$5,'Comps Inputs'!M12,'Comps Inputs'!N12)," ")</f>
        <v xml:space="preserve"> </v>
      </c>
      <c r="D14" s="173" t="str">
        <f>IFERROR(VLOOKUP(D$1,'Comps Inputs'!$B$7:$N$250,MATCH('Comparable Companies'!$C14,'Comps Inputs'!$D$5:$N$5,0)+2,FALSE)," ")</f>
        <v xml:space="preserve"> </v>
      </c>
      <c r="E14" s="55" t="str">
        <f>IFERROR(VLOOKUP(E$1,'Comps Inputs'!$B$7:$N$250,MATCH('Comparable Companies'!$C14,'Comps Inputs'!$D$5:$N$5,0)+2,FALSE)," ")</f>
        <v xml:space="preserve"> </v>
      </c>
      <c r="F14" s="55" t="str">
        <f>IFERROR(VLOOKUP(F$1,'Comps Inputs'!$B$7:$N$250,MATCH('Comparable Companies'!$C14,'Comps Inputs'!$D$5:$N$5,0)+2,FALSE)," ")</f>
        <v xml:space="preserve"> </v>
      </c>
      <c r="G14" s="55" t="str">
        <f>IFERROR(VLOOKUP(G$1,'Comps Inputs'!$B$7:$N$250,MATCH('Comparable Companies'!$C14,'Comps Inputs'!$D$5:$N$5,0)+2,FALSE)," ")</f>
        <v xml:space="preserve"> </v>
      </c>
      <c r="H14" s="55" t="str">
        <f>IFERROR(VLOOKUP(H$1,'Comps Inputs'!$B$7:$N$250,MATCH('Comparable Companies'!$C14,'Comps Inputs'!$D$5:$N$5,0)+2,FALSE)," ")</f>
        <v xml:space="preserve"> </v>
      </c>
      <c r="I14" s="55"/>
      <c r="J14" s="55" t="str">
        <f>IFERROR(VLOOKUP(J$1,'Comps Inputs'!$B$7:$N$250,MATCH('Comparable Companies'!$C14,'Comps Inputs'!$D$5:$N$5,0)+2,FALSE)," ")</f>
        <v xml:space="preserve"> </v>
      </c>
      <c r="K14" s="55" t="str">
        <f>IFERROR(VLOOKUP(K$1,'Comps Inputs'!$B$7:$N$250,MATCH('Comparable Companies'!$C14,'Comps Inputs'!$D$5:$N$5,0)+2,FALSE)," ")</f>
        <v xml:space="preserve"> </v>
      </c>
      <c r="L14" s="55" t="str">
        <f>IFERROR(VLOOKUP(L$1,'Comps Inputs'!$B$7:$N$250,MATCH('Comparable Companies'!$C14,'Comps Inputs'!$D$5:$N$5,0)+2,FALSE)," ")</f>
        <v xml:space="preserve"> </v>
      </c>
      <c r="M14" s="55"/>
      <c r="N14" s="173" t="str">
        <f>IFERROR(VLOOKUP(N$1,'Comps Inputs'!$B$7:$N$250,MATCH('Comparable Companies'!$C14,'Comps Inputs'!$D$5:$N$5,0)+2,FALSE)," ")</f>
        <v xml:space="preserve"> </v>
      </c>
      <c r="O14" s="54" t="str">
        <f>IFERROR(VLOOKUP(O$1,'Comps Inputs'!$B$7:$N$250,MATCH('Comparable Companies'!$C14,'Comps Inputs'!$D$5:$N$5,0)+2,FALSE)," ")</f>
        <v xml:space="preserve"> </v>
      </c>
      <c r="P14" s="55" t="str">
        <f>IFERROR(VLOOKUP(P$1,'Comps Inputs'!$B$7:$N$250,MATCH('Comparable Companies'!$C14,'Comps Inputs'!$D$5:$N$5,0)+2,FALSE)," ")</f>
        <v xml:space="preserve"> </v>
      </c>
      <c r="Q14" s="55" t="str">
        <f>IFERROR(VLOOKUP(Q$1,'Comps Inputs'!$B$7:$N$250,MATCH('Comparable Companies'!$C14,'Comps Inputs'!$D$5:$N$5,0)+2,FALSE)," ")</f>
        <v xml:space="preserve"> </v>
      </c>
      <c r="R14" s="55"/>
      <c r="S14" s="173" t="str">
        <f>IFERROR(VLOOKUP(S$1,'Comps Inputs'!$B$7:$N$250,MATCH('Comparable Companies'!$C14,'Comps Inputs'!$D$5:$N$5,0)+2,FALSE)," ")</f>
        <v xml:space="preserve"> </v>
      </c>
      <c r="T14" s="10" t="str">
        <f>IFERROR(VLOOKUP(T$1,'Comps Inputs'!$B$7:$N$250,MATCH('Comparable Companies'!$C14,'Comps Inputs'!$D$5:$N$5,0)+2,FALSE)," ")</f>
        <v xml:space="preserve"> </v>
      </c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9.75" customHeight="1" x14ac:dyDescent="0.15">
      <c r="A15" s="10"/>
      <c r="B15" s="10"/>
      <c r="C15" s="280" t="str">
        <f>IFERROR(CHOOSE(MATCH($B15,'Comps Inputs'!$D$3:$L$3,0),'Comps Inputs'!$D$5,'Comps Inputs'!$E$5,'Comps Inputs'!$F$5,'Comps Inputs'!$G$5,'Comps Inputs'!$H$5,'Comps Inputs'!$I$5,'Comps Inputs'!$J$5,'Comps Inputs'!$K$5,'Comps Inputs'!$L$5,'Comps Inputs'!M13,'Comps Inputs'!N13)," ")</f>
        <v xml:space="preserve"> </v>
      </c>
      <c r="D15" s="173" t="str">
        <f>IFERROR(VLOOKUP(D$1,'Comps Inputs'!$B$7:$N$250,MATCH('Comparable Companies'!$C15,'Comps Inputs'!$D$5:$N$5,0)+2,FALSE)," ")</f>
        <v xml:space="preserve"> </v>
      </c>
      <c r="E15" s="55" t="str">
        <f>IFERROR(VLOOKUP(E$1,'Comps Inputs'!$B$7:$N$250,MATCH('Comparable Companies'!$C15,'Comps Inputs'!$D$5:$N$5,0)+2,FALSE)," ")</f>
        <v xml:space="preserve"> </v>
      </c>
      <c r="F15" s="55" t="str">
        <f>IFERROR(VLOOKUP(F$1,'Comps Inputs'!$B$7:$N$250,MATCH('Comparable Companies'!$C15,'Comps Inputs'!$D$5:$N$5,0)+2,FALSE)," ")</f>
        <v xml:space="preserve"> </v>
      </c>
      <c r="G15" s="55" t="str">
        <f>IFERROR(VLOOKUP(G$1,'Comps Inputs'!$B$7:$N$250,MATCH('Comparable Companies'!$C15,'Comps Inputs'!$D$5:$N$5,0)+2,FALSE)," ")</f>
        <v xml:space="preserve"> </v>
      </c>
      <c r="H15" s="55" t="str">
        <f>IFERROR(VLOOKUP(H$1,'Comps Inputs'!$B$7:$N$250,MATCH('Comparable Companies'!$C15,'Comps Inputs'!$D$5:$N$5,0)+2,FALSE)," ")</f>
        <v xml:space="preserve"> </v>
      </c>
      <c r="I15" s="55"/>
      <c r="J15" s="55" t="str">
        <f>IFERROR(VLOOKUP(J$1,'Comps Inputs'!$B$7:$N$250,MATCH('Comparable Companies'!$C15,'Comps Inputs'!$D$5:$N$5,0)+2,FALSE)," ")</f>
        <v xml:space="preserve"> </v>
      </c>
      <c r="K15" s="55" t="str">
        <f>IFERROR(VLOOKUP(K$1,'Comps Inputs'!$B$7:$N$250,MATCH('Comparable Companies'!$C15,'Comps Inputs'!$D$5:$N$5,0)+2,FALSE)," ")</f>
        <v xml:space="preserve"> </v>
      </c>
      <c r="L15" s="55" t="str">
        <f>IFERROR(VLOOKUP(L$1,'Comps Inputs'!$B$7:$N$250,MATCH('Comparable Companies'!$C15,'Comps Inputs'!$D$5:$N$5,0)+2,FALSE)," ")</f>
        <v xml:space="preserve"> </v>
      </c>
      <c r="M15" s="55"/>
      <c r="N15" s="173" t="str">
        <f>IFERROR(VLOOKUP(N$1,'Comps Inputs'!$B$7:$N$250,MATCH('Comparable Companies'!$C15,'Comps Inputs'!$D$5:$N$5,0)+2,FALSE)," ")</f>
        <v xml:space="preserve"> </v>
      </c>
      <c r="O15" s="54" t="str">
        <f>IFERROR(VLOOKUP(O$1,'Comps Inputs'!$B$7:$N$250,MATCH('Comparable Companies'!$C15,'Comps Inputs'!$D$5:$N$5,0)+2,FALSE)," ")</f>
        <v xml:space="preserve"> </v>
      </c>
      <c r="P15" s="55" t="str">
        <f>IFERROR(VLOOKUP(P$1,'Comps Inputs'!$B$7:$N$250,MATCH('Comparable Companies'!$C15,'Comps Inputs'!$D$5:$N$5,0)+2,FALSE)," ")</f>
        <v xml:space="preserve"> </v>
      </c>
      <c r="Q15" s="55" t="str">
        <f>IFERROR(VLOOKUP(Q$1,'Comps Inputs'!$B$7:$N$250,MATCH('Comparable Companies'!$C15,'Comps Inputs'!$D$5:$N$5,0)+2,FALSE)," ")</f>
        <v xml:space="preserve"> </v>
      </c>
      <c r="R15" s="55"/>
      <c r="S15" s="173" t="str">
        <f>IFERROR(VLOOKUP(S$1,'Comps Inputs'!$B$7:$N$250,MATCH('Comparable Companies'!$C15,'Comps Inputs'!$D$5:$N$5,0)+2,FALSE)," ")</f>
        <v xml:space="preserve"> </v>
      </c>
      <c r="T15" s="10" t="str">
        <f>IFERROR(VLOOKUP(T$1,'Comps Inputs'!$B$7:$N$250,MATCH('Comparable Companies'!$C15,'Comps Inputs'!$D$5:$N$5,0)+2,FALSE)," ")</f>
        <v xml:space="preserve"> </v>
      </c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.75" customHeight="1" x14ac:dyDescent="0.15">
      <c r="A16" s="10"/>
      <c r="B16" s="10"/>
      <c r="C16" s="280" t="str">
        <f>IFERROR(CHOOSE(MATCH($B16,'Comps Inputs'!$D$3:$L$3,0),'Comps Inputs'!$D$5,'Comps Inputs'!$E$5,'Comps Inputs'!$F$5,'Comps Inputs'!$G$5,'Comps Inputs'!$H$5,'Comps Inputs'!$I$5,'Comps Inputs'!$J$5,'Comps Inputs'!$K$5,'Comps Inputs'!$L$5,'Comps Inputs'!M14,'Comps Inputs'!N14)," ")</f>
        <v xml:space="preserve"> </v>
      </c>
      <c r="D16" s="173" t="str">
        <f>IFERROR(VLOOKUP(D$1,'Comps Inputs'!$B$7:$N$250,MATCH('Comparable Companies'!$C16,'Comps Inputs'!$D$5:$N$5,0)+2,FALSE)," ")</f>
        <v xml:space="preserve"> </v>
      </c>
      <c r="E16" s="55" t="str">
        <f>IFERROR(VLOOKUP(E$1,'Comps Inputs'!$B$7:$N$250,MATCH('Comparable Companies'!$C16,'Comps Inputs'!$D$5:$N$5,0)+2,FALSE)," ")</f>
        <v xml:space="preserve"> </v>
      </c>
      <c r="F16" s="55" t="str">
        <f>IFERROR(VLOOKUP(F$1,'Comps Inputs'!$B$7:$N$250,MATCH('Comparable Companies'!$C16,'Comps Inputs'!$D$5:$N$5,0)+2,FALSE)," ")</f>
        <v xml:space="preserve"> </v>
      </c>
      <c r="G16" s="55" t="str">
        <f>IFERROR(VLOOKUP(G$1,'Comps Inputs'!$B$7:$N$250,MATCH('Comparable Companies'!$C16,'Comps Inputs'!$D$5:$N$5,0)+2,FALSE)," ")</f>
        <v xml:space="preserve"> </v>
      </c>
      <c r="H16" s="55" t="str">
        <f>IFERROR(VLOOKUP(H$1,'Comps Inputs'!$B$7:$N$250,MATCH('Comparable Companies'!$C16,'Comps Inputs'!$D$5:$N$5,0)+2,FALSE)," ")</f>
        <v xml:space="preserve"> </v>
      </c>
      <c r="I16" s="55"/>
      <c r="J16" s="55" t="str">
        <f>IFERROR(VLOOKUP(J$1,'Comps Inputs'!$B$7:$N$250,MATCH('Comparable Companies'!$C16,'Comps Inputs'!$D$5:$N$5,0)+2,FALSE)," ")</f>
        <v xml:space="preserve"> </v>
      </c>
      <c r="K16" s="55" t="str">
        <f>IFERROR(VLOOKUP(K$1,'Comps Inputs'!$B$7:$N$250,MATCH('Comparable Companies'!$C16,'Comps Inputs'!$D$5:$N$5,0)+2,FALSE)," ")</f>
        <v xml:space="preserve"> </v>
      </c>
      <c r="L16" s="55" t="str">
        <f>IFERROR(VLOOKUP(L$1,'Comps Inputs'!$B$7:$N$250,MATCH('Comparable Companies'!$C16,'Comps Inputs'!$D$5:$N$5,0)+2,FALSE)," ")</f>
        <v xml:space="preserve"> </v>
      </c>
      <c r="M16" s="55"/>
      <c r="N16" s="173" t="str">
        <f>IFERROR(VLOOKUP(N$1,'Comps Inputs'!$B$7:$N$250,MATCH('Comparable Companies'!$C16,'Comps Inputs'!$D$5:$N$5,0)+2,FALSE)," ")</f>
        <v xml:space="preserve"> </v>
      </c>
      <c r="O16" s="54" t="str">
        <f>IFERROR(VLOOKUP(O$1,'Comps Inputs'!$B$7:$N$250,MATCH('Comparable Companies'!$C16,'Comps Inputs'!$D$5:$N$5,0)+2,FALSE)," ")</f>
        <v xml:space="preserve"> </v>
      </c>
      <c r="P16" s="55" t="str">
        <f>IFERROR(VLOOKUP(P$1,'Comps Inputs'!$B$7:$N$250,MATCH('Comparable Companies'!$C16,'Comps Inputs'!$D$5:$N$5,0)+2,FALSE)," ")</f>
        <v xml:space="preserve"> </v>
      </c>
      <c r="Q16" s="55" t="str">
        <f>IFERROR(VLOOKUP(Q$1,'Comps Inputs'!$B$7:$N$250,MATCH('Comparable Companies'!$C16,'Comps Inputs'!$D$5:$N$5,0)+2,FALSE)," ")</f>
        <v xml:space="preserve"> </v>
      </c>
      <c r="R16" s="55"/>
      <c r="S16" s="173" t="str">
        <f>IFERROR(VLOOKUP(S$1,'Comps Inputs'!$B$7:$N$250,MATCH('Comparable Companies'!$C16,'Comps Inputs'!$D$5:$N$5,0)+2,FALSE)," ")</f>
        <v xml:space="preserve"> </v>
      </c>
      <c r="T16" s="10" t="str">
        <f>IFERROR(VLOOKUP(T$1,'Comps Inputs'!$B$7:$N$250,MATCH('Comparable Companies'!$C16,'Comps Inputs'!$D$5:$N$5,0)+2,FALSE)," ")</f>
        <v xml:space="preserve"> </v>
      </c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9.75" customHeight="1" x14ac:dyDescent="0.15">
      <c r="A17" s="10"/>
      <c r="B17" s="10"/>
      <c r="C17" s="280" t="str">
        <f>IFERROR(CHOOSE(MATCH($B17,'Comps Inputs'!$D$3:$L$3,0),'Comps Inputs'!$D$5,'Comps Inputs'!$E$5,'Comps Inputs'!$F$5,'Comps Inputs'!$G$5,'Comps Inputs'!$H$5,'Comps Inputs'!$I$5,'Comps Inputs'!$J$5,'Comps Inputs'!$K$5,'Comps Inputs'!$L$5,'Comps Inputs'!M15,'Comps Inputs'!N15)," ")</f>
        <v xml:space="preserve"> </v>
      </c>
      <c r="D17" s="173" t="str">
        <f>IFERROR(VLOOKUP(D$1,'Comps Inputs'!$B$7:$N$250,MATCH('Comparable Companies'!$C17,'Comps Inputs'!$D$5:$N$5,0)+2,FALSE)," ")</f>
        <v xml:space="preserve"> </v>
      </c>
      <c r="E17" s="55" t="str">
        <f>IFERROR(VLOOKUP(E$1,'Comps Inputs'!$B$7:$N$250,MATCH('Comparable Companies'!$C17,'Comps Inputs'!$D$5:$N$5,0)+2,FALSE)," ")</f>
        <v xml:space="preserve"> </v>
      </c>
      <c r="F17" s="55" t="str">
        <f>IFERROR(VLOOKUP(F$1,'Comps Inputs'!$B$7:$N$250,MATCH('Comparable Companies'!$C17,'Comps Inputs'!$D$5:$N$5,0)+2,FALSE)," ")</f>
        <v xml:space="preserve"> </v>
      </c>
      <c r="G17" s="55" t="str">
        <f>IFERROR(VLOOKUP(G$1,'Comps Inputs'!$B$7:$N$250,MATCH('Comparable Companies'!$C17,'Comps Inputs'!$D$5:$N$5,0)+2,FALSE)," ")</f>
        <v xml:space="preserve"> </v>
      </c>
      <c r="H17" s="55" t="str">
        <f>IFERROR(VLOOKUP(H$1,'Comps Inputs'!$B$7:$N$250,MATCH('Comparable Companies'!$C17,'Comps Inputs'!$D$5:$N$5,0)+2,FALSE)," ")</f>
        <v xml:space="preserve"> </v>
      </c>
      <c r="I17" s="55"/>
      <c r="J17" s="55" t="str">
        <f>IFERROR(VLOOKUP(J$1,'Comps Inputs'!$B$7:$N$250,MATCH('Comparable Companies'!$C17,'Comps Inputs'!$D$5:$N$5,0)+2,FALSE)," ")</f>
        <v xml:space="preserve"> </v>
      </c>
      <c r="K17" s="55" t="str">
        <f>IFERROR(VLOOKUP(K$1,'Comps Inputs'!$B$7:$N$250,MATCH('Comparable Companies'!$C17,'Comps Inputs'!$D$5:$N$5,0)+2,FALSE)," ")</f>
        <v xml:space="preserve"> </v>
      </c>
      <c r="L17" s="55" t="str">
        <f>IFERROR(VLOOKUP(L$1,'Comps Inputs'!$B$7:$N$250,MATCH('Comparable Companies'!$C17,'Comps Inputs'!$D$5:$N$5,0)+2,FALSE)," ")</f>
        <v xml:space="preserve"> </v>
      </c>
      <c r="M17" s="55"/>
      <c r="N17" s="173" t="str">
        <f>IFERROR(VLOOKUP(N$1,'Comps Inputs'!$B$7:$N$250,MATCH('Comparable Companies'!$C17,'Comps Inputs'!$D$5:$N$5,0)+2,FALSE)," ")</f>
        <v xml:space="preserve"> </v>
      </c>
      <c r="O17" s="54" t="str">
        <f>IFERROR(VLOOKUP(O$1,'Comps Inputs'!$B$7:$N$250,MATCH('Comparable Companies'!$C17,'Comps Inputs'!$D$5:$N$5,0)+2,FALSE)," ")</f>
        <v xml:space="preserve"> </v>
      </c>
      <c r="P17" s="55" t="str">
        <f>IFERROR(VLOOKUP(P$1,'Comps Inputs'!$B$7:$N$250,MATCH('Comparable Companies'!$C17,'Comps Inputs'!$D$5:$N$5,0)+2,FALSE)," ")</f>
        <v xml:space="preserve"> </v>
      </c>
      <c r="Q17" s="55" t="str">
        <f>IFERROR(VLOOKUP(Q$1,'Comps Inputs'!$B$7:$N$250,MATCH('Comparable Companies'!$C17,'Comps Inputs'!$D$5:$N$5,0)+2,FALSE)," ")</f>
        <v xml:space="preserve"> </v>
      </c>
      <c r="R17" s="55"/>
      <c r="S17" s="173" t="str">
        <f>IFERROR(VLOOKUP(S$1,'Comps Inputs'!$B$7:$N$250,MATCH('Comparable Companies'!$C17,'Comps Inputs'!$D$5:$N$5,0)+2,FALSE)," ")</f>
        <v xml:space="preserve"> </v>
      </c>
      <c r="T17" s="10" t="str">
        <f>IFERROR(VLOOKUP(T$1,'Comps Inputs'!$B$7:$N$250,MATCH('Comparable Companies'!$C17,'Comps Inputs'!$D$5:$N$5,0)+2,FALSE)," ")</f>
        <v xml:space="preserve"> </v>
      </c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.5" customHeight="1" x14ac:dyDescent="0.1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328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9.75" customHeight="1" x14ac:dyDescent="0.15">
      <c r="A19" s="10"/>
      <c r="B19" s="277"/>
      <c r="C19" s="277"/>
      <c r="D19" s="277"/>
      <c r="E19" s="277"/>
      <c r="F19" s="277"/>
      <c r="G19" s="277"/>
      <c r="H19" s="277"/>
      <c r="I19" s="277"/>
      <c r="J19" s="329" t="s">
        <v>373</v>
      </c>
      <c r="K19" s="329" t="s">
        <v>374</v>
      </c>
      <c r="L19" s="329" t="s">
        <v>375</v>
      </c>
      <c r="M19" s="329"/>
      <c r="N19" s="329" t="s">
        <v>376</v>
      </c>
      <c r="O19" s="330" t="s">
        <v>378</v>
      </c>
      <c r="P19" s="329" t="s">
        <v>379</v>
      </c>
      <c r="Q19" s="329" t="s">
        <v>380</v>
      </c>
      <c r="R19" s="329"/>
      <c r="S19" s="329" t="s">
        <v>381</v>
      </c>
      <c r="T19" s="45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9.75" customHeight="1" x14ac:dyDescent="0.15">
      <c r="A20" s="10"/>
      <c r="B20" s="10"/>
      <c r="C20" s="10"/>
      <c r="D20" s="10"/>
      <c r="E20" s="10"/>
      <c r="F20" s="10"/>
      <c r="G20" s="10"/>
      <c r="H20" s="10"/>
      <c r="I20" s="10"/>
      <c r="J20" s="455" t="str">
        <f>J2</f>
        <v>Last Twelve Months (LTM)</v>
      </c>
      <c r="K20" s="456"/>
      <c r="L20" s="456"/>
      <c r="M20" s="456"/>
      <c r="N20" s="457"/>
      <c r="O20" s="458" t="str">
        <f>O2</f>
        <v>Next FY Forecast</v>
      </c>
      <c r="P20" s="456"/>
      <c r="Q20" s="456"/>
      <c r="R20" s="456"/>
      <c r="S20" s="459"/>
      <c r="T20" s="45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9.75" customHeight="1" x14ac:dyDescent="0.15">
      <c r="A21" s="10"/>
      <c r="B21" s="10"/>
      <c r="C21" s="10"/>
      <c r="D21" s="10"/>
      <c r="E21" s="10"/>
      <c r="F21" s="10"/>
      <c r="G21" s="10"/>
      <c r="H21" s="10"/>
      <c r="I21" s="10"/>
      <c r="J21" s="331" t="s">
        <v>416</v>
      </c>
      <c r="K21" s="331" t="s">
        <v>417</v>
      </c>
      <c r="L21" s="331" t="s">
        <v>418</v>
      </c>
      <c r="M21" s="331" t="s">
        <v>419</v>
      </c>
      <c r="N21" s="331"/>
      <c r="O21" s="332" t="s">
        <v>416</v>
      </c>
      <c r="P21" s="331" t="s">
        <v>417</v>
      </c>
      <c r="Q21" s="331" t="s">
        <v>418</v>
      </c>
      <c r="R21" s="331" t="s">
        <v>419</v>
      </c>
      <c r="S21" s="331"/>
      <c r="T21" s="45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9.75" customHeight="1" x14ac:dyDescent="0.15">
      <c r="A22" s="58"/>
      <c r="B22" s="323" t="str">
        <f t="shared" ref="B22:C22" si="0">B7</f>
        <v>American Tower</v>
      </c>
      <c r="C22" s="324" t="str">
        <f t="shared" si="0"/>
        <v>AMT</v>
      </c>
      <c r="D22" s="255"/>
      <c r="E22" s="255"/>
      <c r="F22" s="255"/>
      <c r="G22" s="255"/>
      <c r="H22" s="255"/>
      <c r="I22" s="255"/>
      <c r="J22" s="333">
        <f t="shared" ref="J22:J27" si="1">H7/J7</f>
        <v>21.5310327675185</v>
      </c>
      <c r="K22" s="333">
        <f t="shared" ref="K22:K27" si="2">G7/K7</f>
        <v>5.6903853411044487</v>
      </c>
      <c r="L22" s="333">
        <f>F7/L7</f>
        <v>41.585906346131935</v>
      </c>
      <c r="M22" s="333">
        <f t="shared" ref="M22:M23" si="3">F7/M7</f>
        <v>38.793622957353534</v>
      </c>
      <c r="N22" s="334"/>
      <c r="O22" s="335">
        <f t="shared" ref="O22:O27" si="4">H7/O7</f>
        <v>19.737764286531814</v>
      </c>
      <c r="P22" s="333">
        <f t="shared" ref="P22:P27" si="5">G7/P7</f>
        <v>5.0305440379975961</v>
      </c>
      <c r="Q22" s="333">
        <f>F7/Q7</f>
        <v>39.337296483368057</v>
      </c>
      <c r="R22" s="333">
        <f t="shared" ref="R22:R27" si="6">F7/R7</f>
        <v>38.291661248126914</v>
      </c>
      <c r="S22" s="336" t="s">
        <v>0</v>
      </c>
      <c r="T22" s="45" t="s">
        <v>0</v>
      </c>
      <c r="U22" s="58"/>
      <c r="V22" s="58"/>
      <c r="W22" s="58"/>
      <c r="X22" s="58"/>
      <c r="Y22" s="58"/>
      <c r="Z22" s="58"/>
      <c r="AA22" s="58"/>
      <c r="AB22" s="58"/>
      <c r="AC22" s="58"/>
    </row>
    <row r="23" spans="1:29" ht="9.75" customHeight="1" x14ac:dyDescent="0.15">
      <c r="A23" s="10"/>
      <c r="B23" s="10" t="s">
        <v>406</v>
      </c>
      <c r="C23" s="10" t="s">
        <v>407</v>
      </c>
      <c r="D23" s="10"/>
      <c r="E23" s="10"/>
      <c r="F23" s="10"/>
      <c r="G23" s="10"/>
      <c r="H23" s="10"/>
      <c r="I23" s="10"/>
      <c r="J23" s="337">
        <f t="shared" si="1"/>
        <v>17.83078512396694</v>
      </c>
      <c r="K23" s="337">
        <f t="shared" si="2"/>
        <v>7.7302670623145397</v>
      </c>
      <c r="L23" s="337">
        <v>25.6</v>
      </c>
      <c r="M23" s="337">
        <f t="shared" si="3"/>
        <v>28.431289089645588</v>
      </c>
      <c r="N23" s="338" t="s">
        <v>0</v>
      </c>
      <c r="O23" s="339">
        <f t="shared" si="4"/>
        <v>16.173350824587708</v>
      </c>
      <c r="P23" s="337">
        <f t="shared" si="5"/>
        <v>7.2223454394233437</v>
      </c>
      <c r="Q23" s="337">
        <v>27.9</v>
      </c>
      <c r="R23" s="337">
        <f t="shared" si="6"/>
        <v>28.157346868547833</v>
      </c>
      <c r="S23" s="338" t="s">
        <v>0</v>
      </c>
      <c r="T23" s="10" t="s">
        <v>0</v>
      </c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.75" customHeight="1" x14ac:dyDescent="0.15">
      <c r="A24" s="10"/>
      <c r="B24" s="10" t="s">
        <v>408</v>
      </c>
      <c r="C24" s="10" t="s">
        <v>409</v>
      </c>
      <c r="D24" s="10"/>
      <c r="E24" s="10"/>
      <c r="F24" s="10"/>
      <c r="G24" s="10"/>
      <c r="H24" s="10"/>
      <c r="I24" s="10"/>
      <c r="J24" s="337">
        <f t="shared" si="1"/>
        <v>19.79222150048717</v>
      </c>
      <c r="K24" s="337">
        <f t="shared" si="2"/>
        <v>2.3856502242152464</v>
      </c>
      <c r="L24" s="337">
        <v>24.6</v>
      </c>
      <c r="M24" s="337"/>
      <c r="N24" s="338" t="s">
        <v>0</v>
      </c>
      <c r="O24" s="339">
        <f t="shared" si="4"/>
        <v>17.511566091954023</v>
      </c>
      <c r="P24" s="337">
        <f t="shared" si="5"/>
        <v>2.5011753643629526</v>
      </c>
      <c r="Q24" s="337">
        <v>26.4</v>
      </c>
      <c r="R24" s="337">
        <f t="shared" si="6"/>
        <v>27.22479197258933</v>
      </c>
      <c r="S24" s="338" t="s">
        <v>0</v>
      </c>
      <c r="T24" s="10" t="s">
        <v>0</v>
      </c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9.75" customHeight="1" x14ac:dyDescent="0.15">
      <c r="A25" s="10"/>
      <c r="B25" s="10" t="s">
        <v>410</v>
      </c>
      <c r="C25" s="10" t="s">
        <v>411</v>
      </c>
      <c r="D25" s="10"/>
      <c r="E25" s="10"/>
      <c r="F25" s="10"/>
      <c r="G25" s="10"/>
      <c r="H25" s="10"/>
      <c r="I25" s="10"/>
      <c r="J25" s="337">
        <f t="shared" si="1"/>
        <v>25.000206138341731</v>
      </c>
      <c r="K25" s="337">
        <f t="shared" si="2"/>
        <v>9.3770931011386462</v>
      </c>
      <c r="L25" s="337">
        <f>F10/L10</f>
        <v>38.518558951965062</v>
      </c>
      <c r="M25" s="337">
        <f t="shared" ref="M25:M27" si="7">F10/M10</f>
        <v>37.259366391184571</v>
      </c>
      <c r="N25" s="338" t="s">
        <v>0</v>
      </c>
      <c r="O25" s="339">
        <f t="shared" si="4"/>
        <v>23.037336428872941</v>
      </c>
      <c r="P25" s="337">
        <f t="shared" si="5"/>
        <v>8.3682008368200833</v>
      </c>
      <c r="Q25" s="337">
        <f>F10/Q10</f>
        <v>34.591176470588231</v>
      </c>
      <c r="R25" s="337">
        <f t="shared" si="6"/>
        <v>33.340550534100245</v>
      </c>
      <c r="S25" s="338" t="s">
        <v>0</v>
      </c>
      <c r="T25" s="10" t="s">
        <v>0</v>
      </c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9.75" customHeight="1" x14ac:dyDescent="0.15">
      <c r="A26" s="10"/>
      <c r="B26" s="10" t="s">
        <v>412</v>
      </c>
      <c r="C26" s="10" t="s">
        <v>413</v>
      </c>
      <c r="D26" s="10"/>
      <c r="E26" s="10"/>
      <c r="F26" s="10"/>
      <c r="G26" s="10"/>
      <c r="H26" s="10"/>
      <c r="I26" s="10"/>
      <c r="J26" s="337">
        <f t="shared" si="1"/>
        <v>13.77699566522174</v>
      </c>
      <c r="K26" s="337">
        <f t="shared" si="2"/>
        <v>5.6390977443609023</v>
      </c>
      <c r="L26" s="337">
        <v>40.9</v>
      </c>
      <c r="M26" s="337">
        <f t="shared" si="7"/>
        <v>40.186821152703502</v>
      </c>
      <c r="N26" s="338" t="s">
        <v>0</v>
      </c>
      <c r="O26" s="339">
        <f t="shared" si="4"/>
        <v>13.129078487448362</v>
      </c>
      <c r="P26" s="337">
        <f t="shared" si="5"/>
        <v>5.276116778051354</v>
      </c>
      <c r="Q26" s="337">
        <v>47</v>
      </c>
      <c r="R26" s="337">
        <f t="shared" si="6"/>
        <v>36.110208222103573</v>
      </c>
      <c r="S26" s="338" t="s">
        <v>0</v>
      </c>
      <c r="T26" s="338" t="s">
        <v>0</v>
      </c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9.75" customHeight="1" x14ac:dyDescent="0.15">
      <c r="A27" s="10"/>
      <c r="B27" s="340" t="str">
        <f t="shared" ref="B27:C27" si="8">B12</f>
        <v>Prologis</v>
      </c>
      <c r="C27" s="280" t="str">
        <f t="shared" si="8"/>
        <v>PLD</v>
      </c>
      <c r="D27" s="10"/>
      <c r="E27" s="10"/>
      <c r="F27" s="10"/>
      <c r="G27" s="10"/>
      <c r="H27" s="10"/>
      <c r="I27" s="10"/>
      <c r="J27" s="337">
        <f t="shared" si="1"/>
        <v>23.77207786885246</v>
      </c>
      <c r="K27" s="337">
        <f t="shared" si="2"/>
        <v>4.3234994913530009</v>
      </c>
      <c r="L27" s="337">
        <v>31.9</v>
      </c>
      <c r="M27" s="337">
        <f t="shared" si="7"/>
        <v>40.361899714635143</v>
      </c>
      <c r="N27" s="338" t="s">
        <v>0</v>
      </c>
      <c r="O27" s="339">
        <f t="shared" si="4"/>
        <v>22.985484446205668</v>
      </c>
      <c r="P27" s="337">
        <f t="shared" si="5"/>
        <v>3.9924847346171912</v>
      </c>
      <c r="Q27" s="337">
        <v>35.1</v>
      </c>
      <c r="R27" s="337">
        <f t="shared" si="6"/>
        <v>38.644707259953165</v>
      </c>
      <c r="S27" s="338" t="s">
        <v>0</v>
      </c>
      <c r="T27" s="338" t="s">
        <v>0</v>
      </c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9.75" customHeight="1" x14ac:dyDescent="0.15">
      <c r="A28" s="10"/>
      <c r="B28" s="340" t="s">
        <v>420</v>
      </c>
      <c r="C28" s="280" t="s">
        <v>421</v>
      </c>
      <c r="D28" s="10"/>
      <c r="E28" s="10"/>
      <c r="F28" s="10"/>
      <c r="G28" s="10"/>
      <c r="H28" s="10"/>
      <c r="I28" s="10"/>
      <c r="J28" s="338" t="s">
        <v>0</v>
      </c>
      <c r="K28" s="338" t="s">
        <v>0</v>
      </c>
      <c r="L28" s="337">
        <v>30.6</v>
      </c>
      <c r="M28" s="337">
        <v>31.02</v>
      </c>
      <c r="N28" s="337" t="s">
        <v>0</v>
      </c>
      <c r="O28" s="337" t="s">
        <v>0</v>
      </c>
      <c r="P28" s="337" t="s">
        <v>0</v>
      </c>
      <c r="Q28" s="337">
        <v>32.5</v>
      </c>
      <c r="R28" s="337">
        <v>32.78</v>
      </c>
      <c r="S28" s="338" t="s">
        <v>0</v>
      </c>
      <c r="T28" s="338" t="s">
        <v>0</v>
      </c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9.75" customHeight="1" x14ac:dyDescent="0.15">
      <c r="A29" s="10"/>
      <c r="B29" s="340"/>
      <c r="C29" s="280"/>
      <c r="D29" s="10"/>
      <c r="E29" s="10"/>
      <c r="F29" s="10"/>
      <c r="G29" s="10"/>
      <c r="H29" s="10"/>
      <c r="I29" s="10"/>
      <c r="J29" s="338"/>
      <c r="K29" s="338"/>
      <c r="L29" s="337"/>
      <c r="M29" s="337"/>
      <c r="N29" s="337"/>
      <c r="O29" s="337"/>
      <c r="P29" s="337"/>
      <c r="Q29" s="337"/>
      <c r="R29" s="337"/>
      <c r="S29" s="338" t="s">
        <v>0</v>
      </c>
      <c r="T29" s="338" t="s">
        <v>0</v>
      </c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9.75" customHeight="1" x14ac:dyDescent="0.15">
      <c r="A30" s="10"/>
      <c r="B30" s="340">
        <f t="shared" ref="B30:C30" si="9">B15</f>
        <v>0</v>
      </c>
      <c r="C30" s="280" t="str">
        <f t="shared" si="9"/>
        <v xml:space="preserve"> </v>
      </c>
      <c r="D30" s="10"/>
      <c r="E30" s="10"/>
      <c r="F30" s="10"/>
      <c r="G30" s="10"/>
      <c r="H30" s="10"/>
      <c r="I30" s="10"/>
      <c r="J30" s="338" t="s">
        <v>0</v>
      </c>
      <c r="K30" s="338" t="s">
        <v>0</v>
      </c>
      <c r="L30" s="338" t="s">
        <v>0</v>
      </c>
      <c r="M30" s="338"/>
      <c r="N30" s="338" t="s">
        <v>0</v>
      </c>
      <c r="O30" s="338" t="s">
        <v>0</v>
      </c>
      <c r="P30" s="338" t="s">
        <v>0</v>
      </c>
      <c r="Q30" s="338" t="s">
        <v>0</v>
      </c>
      <c r="R30" s="338"/>
      <c r="S30" s="338" t="s">
        <v>0</v>
      </c>
      <c r="T30" s="338" t="s">
        <v>0</v>
      </c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9.75" customHeight="1" x14ac:dyDescent="0.15">
      <c r="A31" s="10"/>
      <c r="B31" s="340">
        <f t="shared" ref="B31:C31" si="10">B16</f>
        <v>0</v>
      </c>
      <c r="C31" s="280" t="str">
        <f t="shared" si="10"/>
        <v xml:space="preserve"> </v>
      </c>
      <c r="D31" s="10"/>
      <c r="E31" s="10"/>
      <c r="F31" s="10"/>
      <c r="G31" s="10"/>
      <c r="H31" s="10"/>
      <c r="I31" s="10"/>
      <c r="J31" s="338" t="s">
        <v>0</v>
      </c>
      <c r="K31" s="338" t="s">
        <v>0</v>
      </c>
      <c r="L31" s="338" t="s">
        <v>0</v>
      </c>
      <c r="M31" s="338"/>
      <c r="N31" s="338" t="s">
        <v>0</v>
      </c>
      <c r="O31" s="338" t="s">
        <v>0</v>
      </c>
      <c r="P31" s="338" t="s">
        <v>0</v>
      </c>
      <c r="Q31" s="338" t="s">
        <v>0</v>
      </c>
      <c r="R31" s="338"/>
      <c r="S31" s="338" t="s">
        <v>0</v>
      </c>
      <c r="T31" s="338" t="s">
        <v>0</v>
      </c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9.75" customHeight="1" x14ac:dyDescent="0.15">
      <c r="A32" s="10"/>
      <c r="B32" s="340">
        <f t="shared" ref="B32:C32" si="11">B17</f>
        <v>0</v>
      </c>
      <c r="C32" s="280" t="str">
        <f t="shared" si="11"/>
        <v xml:space="preserve"> </v>
      </c>
      <c r="D32" s="10"/>
      <c r="E32" s="10"/>
      <c r="F32" s="10"/>
      <c r="G32" s="10"/>
      <c r="H32" s="10"/>
      <c r="I32" s="10"/>
      <c r="J32" s="338" t="s">
        <v>0</v>
      </c>
      <c r="K32" s="338" t="s">
        <v>0</v>
      </c>
      <c r="L32" s="338" t="s">
        <v>0</v>
      </c>
      <c r="M32" s="338"/>
      <c r="N32" s="338" t="s">
        <v>0</v>
      </c>
      <c r="O32" s="338" t="s">
        <v>0</v>
      </c>
      <c r="P32" s="338" t="s">
        <v>0</v>
      </c>
      <c r="Q32" s="338" t="s">
        <v>0</v>
      </c>
      <c r="R32" s="338"/>
      <c r="S32" s="338" t="s">
        <v>0</v>
      </c>
      <c r="T32" s="338" t="s">
        <v>0</v>
      </c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4.5" customHeight="1" x14ac:dyDescent="0.1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9.75" customHeight="1" x14ac:dyDescent="0.15">
      <c r="A34" s="10"/>
      <c r="B34" s="58" t="s">
        <v>422</v>
      </c>
      <c r="C34" s="58">
        <v>0</v>
      </c>
      <c r="D34" s="58"/>
      <c r="E34" s="58"/>
      <c r="F34" s="58"/>
      <c r="G34" s="58"/>
      <c r="H34" s="58"/>
      <c r="I34" s="58"/>
      <c r="J34" s="341">
        <f t="shared" ref="J34:M34" si="12">QUARTILE(J$22:J$32,$C34)</f>
        <v>13.77699566522174</v>
      </c>
      <c r="K34" s="341">
        <f t="shared" si="12"/>
        <v>2.3856502242152464</v>
      </c>
      <c r="L34" s="341">
        <f t="shared" si="12"/>
        <v>24.6</v>
      </c>
      <c r="M34" s="341">
        <f t="shared" si="12"/>
        <v>28.431289089645588</v>
      </c>
      <c r="N34" s="341"/>
      <c r="O34" s="341">
        <f t="shared" ref="O34:R34" si="13">QUARTILE(O$22:O$32,$C34)</f>
        <v>13.129078487448362</v>
      </c>
      <c r="P34" s="341">
        <f t="shared" si="13"/>
        <v>2.5011753643629526</v>
      </c>
      <c r="Q34" s="341">
        <f t="shared" si="13"/>
        <v>26.4</v>
      </c>
      <c r="R34" s="341">
        <f t="shared" si="13"/>
        <v>27.22479197258933</v>
      </c>
      <c r="S34" s="341"/>
      <c r="T34" s="341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9.75" customHeight="1" x14ac:dyDescent="0.15">
      <c r="A35" s="10"/>
      <c r="B35" s="58" t="s">
        <v>423</v>
      </c>
      <c r="C35" s="58">
        <v>1</v>
      </c>
      <c r="D35" s="58"/>
      <c r="E35" s="58"/>
      <c r="F35" s="58"/>
      <c r="G35" s="58"/>
      <c r="H35" s="58"/>
      <c r="I35" s="58"/>
      <c r="J35" s="341">
        <f t="shared" ref="J35:M35" si="14">QUARTILE(J$22:J$32,$C35)</f>
        <v>18.321144218096997</v>
      </c>
      <c r="K35" s="341">
        <f t="shared" si="14"/>
        <v>4.6523990546049765</v>
      </c>
      <c r="L35" s="341">
        <f t="shared" si="14"/>
        <v>28.1</v>
      </c>
      <c r="M35" s="341">
        <f t="shared" si="14"/>
        <v>32.57984159779614</v>
      </c>
      <c r="N35" s="341"/>
      <c r="O35" s="341">
        <f t="shared" ref="O35:R35" si="15">QUARTILE(O$22:O$32,$C35)</f>
        <v>16.507904641429285</v>
      </c>
      <c r="P35" s="341">
        <f t="shared" si="15"/>
        <v>4.2519995604622922</v>
      </c>
      <c r="Q35" s="341">
        <f t="shared" si="15"/>
        <v>30.2</v>
      </c>
      <c r="R35" s="341">
        <f t="shared" si="15"/>
        <v>30.468673434273917</v>
      </c>
      <c r="S35" s="341"/>
      <c r="T35" s="341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9.75" customHeight="1" x14ac:dyDescent="0.15">
      <c r="A36" s="10"/>
      <c r="B36" s="58" t="s">
        <v>424</v>
      </c>
      <c r="C36" s="58">
        <v>2</v>
      </c>
      <c r="D36" s="58"/>
      <c r="E36" s="58"/>
      <c r="F36" s="58"/>
      <c r="G36" s="58"/>
      <c r="H36" s="58"/>
      <c r="I36" s="58"/>
      <c r="J36" s="341">
        <f t="shared" ref="J36:M36" si="16">QUARTILE(J$22:J$32,$C36)</f>
        <v>20.661627134002835</v>
      </c>
      <c r="K36" s="341">
        <f t="shared" si="16"/>
        <v>5.6647415427326759</v>
      </c>
      <c r="L36" s="341">
        <f t="shared" si="16"/>
        <v>31.9</v>
      </c>
      <c r="M36" s="341">
        <f t="shared" si="16"/>
        <v>38.026494674269053</v>
      </c>
      <c r="N36" s="341"/>
      <c r="O36" s="341">
        <f t="shared" ref="O36:R36" si="17">QUARTILE(O$22:O$32,$C36)</f>
        <v>18.624665189242918</v>
      </c>
      <c r="P36" s="341">
        <f t="shared" si="17"/>
        <v>5.1533304080244751</v>
      </c>
      <c r="Q36" s="341">
        <f t="shared" si="17"/>
        <v>34.591176470588231</v>
      </c>
      <c r="R36" s="341">
        <f t="shared" si="17"/>
        <v>33.340550534100245</v>
      </c>
      <c r="S36" s="341"/>
      <c r="T36" s="341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9.75" customHeight="1" x14ac:dyDescent="0.15">
      <c r="A37" s="10"/>
      <c r="B37" s="58" t="s">
        <v>425</v>
      </c>
      <c r="C37" s="58">
        <v>3</v>
      </c>
      <c r="D37" s="58"/>
      <c r="E37" s="58"/>
      <c r="F37" s="58"/>
      <c r="G37" s="58"/>
      <c r="H37" s="58"/>
      <c r="I37" s="58"/>
      <c r="J37" s="341">
        <f t="shared" ref="J37:M37" si="18">QUARTILE(J$22:J$32,$C37)</f>
        <v>23.211816593518968</v>
      </c>
      <c r="K37" s="341">
        <f t="shared" si="18"/>
        <v>7.2202966320120172</v>
      </c>
      <c r="L37" s="341">
        <f t="shared" si="18"/>
        <v>39.709279475982527</v>
      </c>
      <c r="M37" s="341">
        <f t="shared" si="18"/>
        <v>39.838521603866013</v>
      </c>
      <c r="N37" s="341"/>
      <c r="O37" s="341">
        <f t="shared" ref="O37:R37" si="19">QUARTILE(O$22:O$32,$C37)</f>
        <v>22.173554406287202</v>
      </c>
      <c r="P37" s="341">
        <f t="shared" si="19"/>
        <v>6.7357882740803463</v>
      </c>
      <c r="Q37" s="341">
        <f t="shared" si="19"/>
        <v>37.218648241684029</v>
      </c>
      <c r="R37" s="341">
        <f t="shared" si="19"/>
        <v>37.20093473511524</v>
      </c>
      <c r="S37" s="341"/>
      <c r="T37" s="341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9.75" customHeight="1" x14ac:dyDescent="0.15">
      <c r="A38" s="10"/>
      <c r="B38" s="58" t="s">
        <v>426</v>
      </c>
      <c r="C38" s="58">
        <v>4</v>
      </c>
      <c r="D38" s="58"/>
      <c r="E38" s="58"/>
      <c r="F38" s="58"/>
      <c r="G38" s="58"/>
      <c r="H38" s="58"/>
      <c r="I38" s="58"/>
      <c r="J38" s="341">
        <f t="shared" ref="J38:M38" si="20">QUARTILE(J$22:J$32,$C38)</f>
        <v>25.000206138341731</v>
      </c>
      <c r="K38" s="341">
        <f t="shared" si="20"/>
        <v>9.3770931011386462</v>
      </c>
      <c r="L38" s="341">
        <f t="shared" si="20"/>
        <v>41.585906346131935</v>
      </c>
      <c r="M38" s="341">
        <f t="shared" si="20"/>
        <v>40.361899714635143</v>
      </c>
      <c r="N38" s="341"/>
      <c r="O38" s="341">
        <f t="shared" ref="O38:R38" si="21">QUARTILE(O$22:O$32,$C38)</f>
        <v>23.037336428872941</v>
      </c>
      <c r="P38" s="341">
        <f t="shared" si="21"/>
        <v>8.3682008368200833</v>
      </c>
      <c r="Q38" s="341">
        <f t="shared" si="21"/>
        <v>47</v>
      </c>
      <c r="R38" s="341">
        <f t="shared" si="21"/>
        <v>38.644707259953165</v>
      </c>
      <c r="S38" s="341"/>
      <c r="T38" s="341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9.75" customHeight="1" x14ac:dyDescent="0.15">
      <c r="A39" s="10"/>
      <c r="B39" s="58" t="s">
        <v>427</v>
      </c>
      <c r="C39" s="58"/>
      <c r="D39" s="58"/>
      <c r="E39" s="58"/>
      <c r="F39" s="58"/>
      <c r="G39" s="58"/>
      <c r="H39" s="58"/>
      <c r="I39" s="58"/>
      <c r="J39" s="342">
        <f t="shared" ref="J39:M39" si="22">AVERAGE(J$22:J$32)</f>
        <v>20.283886510731424</v>
      </c>
      <c r="K39" s="342">
        <f t="shared" si="22"/>
        <v>5.8576654940811297</v>
      </c>
      <c r="L39" s="342">
        <f t="shared" si="22"/>
        <v>33.386352185442426</v>
      </c>
      <c r="M39" s="342">
        <f t="shared" si="22"/>
        <v>36.00883321758706</v>
      </c>
      <c r="N39" s="342"/>
      <c r="O39" s="342">
        <f t="shared" ref="O39:R39" si="23">AVERAGE(O$22:O$32)</f>
        <v>18.762430094266751</v>
      </c>
      <c r="P39" s="342">
        <f t="shared" si="23"/>
        <v>5.3984778652120866</v>
      </c>
      <c r="Q39" s="342">
        <f t="shared" si="23"/>
        <v>34.689781850565183</v>
      </c>
      <c r="R39" s="342">
        <f t="shared" si="23"/>
        <v>33.507038015060154</v>
      </c>
      <c r="S39" s="342"/>
      <c r="T39" s="342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9.75" customHeight="1" x14ac:dyDescent="0.15">
      <c r="A40" s="10"/>
      <c r="B40" s="58" t="str">
        <f>"Mean"&amp;" (excl. "&amp;C7&amp;")"</f>
        <v>Mean (excl. AMT)</v>
      </c>
      <c r="C40" s="58"/>
      <c r="D40" s="58"/>
      <c r="E40" s="58"/>
      <c r="F40" s="58"/>
      <c r="G40" s="58"/>
      <c r="H40" s="58"/>
      <c r="I40" s="58"/>
      <c r="J40" s="342">
        <f t="shared" ref="J40:M40" si="24">AVERAGE(J$23:J$32)</f>
        <v>20.034457259374008</v>
      </c>
      <c r="K40" s="342">
        <f t="shared" si="24"/>
        <v>5.8911215246764677</v>
      </c>
      <c r="L40" s="342">
        <f t="shared" si="24"/>
        <v>32.019759825327512</v>
      </c>
      <c r="M40" s="342">
        <f t="shared" si="24"/>
        <v>35.45187526963376</v>
      </c>
      <c r="N40" s="342"/>
      <c r="O40" s="342">
        <f t="shared" ref="O40:R40" si="25">AVERAGE(O$23:O$32)</f>
        <v>18.567363255813738</v>
      </c>
      <c r="P40" s="342">
        <f t="shared" si="25"/>
        <v>5.4720646306549856</v>
      </c>
      <c r="Q40" s="342">
        <f t="shared" si="25"/>
        <v>33.915196078431372</v>
      </c>
      <c r="R40" s="342">
        <f t="shared" si="25"/>
        <v>32.709600809549023</v>
      </c>
      <c r="S40" s="342"/>
      <c r="T40" s="342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9.75" customHeight="1" x14ac:dyDescent="0.1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9.75" customHeight="1" x14ac:dyDescent="0.15">
      <c r="A42" s="10"/>
      <c r="B42" s="58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9.75" customHeight="1" x14ac:dyDescent="0.15">
      <c r="A43" s="10"/>
      <c r="B43" s="58" t="s">
        <v>422</v>
      </c>
      <c r="C43" s="10"/>
      <c r="D43" s="10"/>
      <c r="E43" s="10"/>
      <c r="F43" s="10"/>
      <c r="G43" s="10"/>
      <c r="H43" s="10"/>
      <c r="I43" s="10"/>
      <c r="J43" s="97">
        <f t="shared" ref="J43:J49" si="26">J34*$J$7</f>
        <v>110787.71064188062</v>
      </c>
      <c r="K43" s="97">
        <f t="shared" ref="K43:K49" si="27">K34*$K$7</f>
        <v>11379.074439461883</v>
      </c>
      <c r="L43" s="97">
        <f t="shared" ref="L43:L49" si="28">L34*$L$7</f>
        <v>86365.680000000008</v>
      </c>
      <c r="M43" s="97">
        <f t="shared" ref="M43:M49" si="29">M34*$M$7</f>
        <v>107001.15648888117</v>
      </c>
      <c r="N43" s="10"/>
      <c r="O43" s="97">
        <f t="shared" ref="O43:O49" si="30">O34*$O$7</f>
        <v>115169.69443237368</v>
      </c>
      <c r="P43" s="97">
        <f t="shared" ref="P43:P49" si="31">P34*$P$7</f>
        <v>13494.942341576556</v>
      </c>
      <c r="Q43" s="97">
        <f t="shared" ref="Q43:Q49" si="32">$Q$7*Q34</f>
        <v>97983.213503999985</v>
      </c>
      <c r="R43" s="97">
        <f t="shared" ref="R43:R49" si="33">R34*$R$7</f>
        <v>103803.64950173274</v>
      </c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9.75" customHeight="1" x14ac:dyDescent="0.15">
      <c r="A44" s="10"/>
      <c r="B44" s="58" t="s">
        <v>423</v>
      </c>
      <c r="C44" s="10"/>
      <c r="D44" s="10"/>
      <c r="E44" s="10"/>
      <c r="F44" s="10"/>
      <c r="G44" s="10"/>
      <c r="H44" s="10"/>
      <c r="I44" s="10"/>
      <c r="J44" s="97">
        <f t="shared" si="26"/>
        <v>147329.48122982701</v>
      </c>
      <c r="K44" s="97">
        <f t="shared" si="27"/>
        <v>22191.013010654817</v>
      </c>
      <c r="L44" s="97">
        <f t="shared" si="28"/>
        <v>98653.48000000001</v>
      </c>
      <c r="M44" s="97">
        <f t="shared" si="29"/>
        <v>122614.23385330578</v>
      </c>
      <c r="N44" s="10"/>
      <c r="O44" s="97">
        <f t="shared" si="30"/>
        <v>144809.12236831896</v>
      </c>
      <c r="P44" s="97">
        <f t="shared" si="31"/>
        <v>22941.409755753873</v>
      </c>
      <c r="Q44" s="97">
        <f t="shared" si="32"/>
        <v>112086.85787199999</v>
      </c>
      <c r="R44" s="97">
        <f t="shared" si="33"/>
        <v>116172.03544249221</v>
      </c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9.75" customHeight="1" x14ac:dyDescent="0.15">
      <c r="A45" s="10"/>
      <c r="B45" s="58" t="s">
        <v>424</v>
      </c>
      <c r="C45" s="10"/>
      <c r="D45" s="10"/>
      <c r="E45" s="10"/>
      <c r="F45" s="10"/>
      <c r="G45" s="10"/>
      <c r="H45" s="10"/>
      <c r="I45" s="10"/>
      <c r="J45" s="97">
        <f t="shared" si="26"/>
        <v>166150.47459808379</v>
      </c>
      <c r="K45" s="97">
        <f t="shared" si="27"/>
        <v>27019.68421052632</v>
      </c>
      <c r="L45" s="97">
        <f t="shared" si="28"/>
        <v>111994.52</v>
      </c>
      <c r="M45" s="97">
        <f t="shared" si="29"/>
        <v>143112.71270661158</v>
      </c>
      <c r="N45" s="10"/>
      <c r="O45" s="97">
        <f t="shared" si="30"/>
        <v>163377.57450387932</v>
      </c>
      <c r="P45" s="97">
        <f t="shared" si="31"/>
        <v>27804.486528315159</v>
      </c>
      <c r="Q45" s="97">
        <f t="shared" si="32"/>
        <v>128384.64505576467</v>
      </c>
      <c r="R45" s="97">
        <f t="shared" si="33"/>
        <v>127122.02999828428</v>
      </c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9.75" customHeight="1" x14ac:dyDescent="0.15">
      <c r="A46" s="10"/>
      <c r="B46" s="58" t="s">
        <v>425</v>
      </c>
      <c r="C46" s="10"/>
      <c r="D46" s="10"/>
      <c r="E46" s="10"/>
      <c r="F46" s="10"/>
      <c r="G46" s="10"/>
      <c r="H46" s="10"/>
      <c r="I46" s="10"/>
      <c r="J46" s="97">
        <f t="shared" si="26"/>
        <v>186657.82313678277</v>
      </c>
      <c r="K46" s="97">
        <f t="shared" si="27"/>
        <v>34439.370875370922</v>
      </c>
      <c r="L46" s="97">
        <f t="shared" si="28"/>
        <v>139411.33838427946</v>
      </c>
      <c r="M46" s="97">
        <f t="shared" si="29"/>
        <v>149932.27605614974</v>
      </c>
      <c r="N46" s="10"/>
      <c r="O46" s="97">
        <f t="shared" si="30"/>
        <v>194508.81399582722</v>
      </c>
      <c r="P46" s="97">
        <f t="shared" si="31"/>
        <v>36342.543461335292</v>
      </c>
      <c r="Q46" s="97">
        <f t="shared" si="32"/>
        <v>138136.46806800002</v>
      </c>
      <c r="R46" s="97">
        <f t="shared" si="33"/>
        <v>141841.03938309962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9.75" customHeight="1" x14ac:dyDescent="0.15">
      <c r="A47" s="10"/>
      <c r="B47" s="58" t="s">
        <v>426</v>
      </c>
      <c r="C47" s="10"/>
      <c r="D47" s="10"/>
      <c r="E47" s="10"/>
      <c r="F47" s="10"/>
      <c r="G47" s="10"/>
      <c r="H47" s="10"/>
      <c r="I47" s="10"/>
      <c r="J47" s="97">
        <f t="shared" si="26"/>
        <v>201039.15766147504</v>
      </c>
      <c r="K47" s="97">
        <f t="shared" si="27"/>
        <v>44726.858673811119</v>
      </c>
      <c r="L47" s="97">
        <f t="shared" si="28"/>
        <v>145999.80000000002</v>
      </c>
      <c r="M47" s="97">
        <f t="shared" si="29"/>
        <v>151902.00957602935</v>
      </c>
      <c r="N47" s="10"/>
      <c r="O47" s="97">
        <f t="shared" si="30"/>
        <v>202086.00318640776</v>
      </c>
      <c r="P47" s="97">
        <f t="shared" si="31"/>
        <v>45150.127977684795</v>
      </c>
      <c r="Q47" s="97">
        <f t="shared" si="32"/>
        <v>174439.81191999998</v>
      </c>
      <c r="R47" s="97">
        <f t="shared" si="33"/>
        <v>147345.90631759813</v>
      </c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9.75" customHeight="1" x14ac:dyDescent="0.15">
      <c r="A48" s="10"/>
      <c r="B48" s="58" t="s">
        <v>427</v>
      </c>
      <c r="C48" s="10"/>
      <c r="D48" s="10"/>
      <c r="E48" s="10"/>
      <c r="F48" s="10"/>
      <c r="G48" s="10"/>
      <c r="H48" s="10"/>
      <c r="I48" s="10"/>
      <c r="J48" s="97">
        <f t="shared" si="26"/>
        <v>163112.87337604674</v>
      </c>
      <c r="K48" s="97">
        <f t="shared" si="27"/>
        <v>27939.892873668174</v>
      </c>
      <c r="L48" s="97">
        <f t="shared" si="28"/>
        <v>117212.80525265128</v>
      </c>
      <c r="M48" s="97">
        <f t="shared" si="29"/>
        <v>135519.2438143889</v>
      </c>
      <c r="N48" s="10"/>
      <c r="O48" s="97">
        <f t="shared" si="30"/>
        <v>164586.06312935811</v>
      </c>
      <c r="P48" s="97">
        <f t="shared" si="31"/>
        <v>29127.164996633408</v>
      </c>
      <c r="Q48" s="97">
        <f t="shared" si="32"/>
        <v>128750.61747996637</v>
      </c>
      <c r="R48" s="97">
        <f t="shared" si="33"/>
        <v>127756.81935268555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9.75" customHeight="1" x14ac:dyDescent="0.15">
      <c r="A49" s="10"/>
      <c r="B49" s="58" t="str">
        <f>"Mean"&amp;" (excl. "&amp;C16&amp;")"</f>
        <v>Mean (excl.  )</v>
      </c>
      <c r="C49" s="10"/>
      <c r="D49" s="10"/>
      <c r="E49" s="10"/>
      <c r="F49" s="10"/>
      <c r="G49" s="10"/>
      <c r="H49" s="10"/>
      <c r="I49" s="10"/>
      <c r="J49" s="97">
        <f t="shared" si="26"/>
        <v>161107.08805125608</v>
      </c>
      <c r="K49" s="97">
        <f t="shared" si="27"/>
        <v>28099.471448401815</v>
      </c>
      <c r="L49" s="97">
        <f t="shared" si="28"/>
        <v>112414.97279475983</v>
      </c>
      <c r="M49" s="97">
        <f t="shared" si="29"/>
        <v>133423.13257726666</v>
      </c>
      <c r="N49" s="10"/>
      <c r="O49" s="97">
        <f t="shared" si="30"/>
        <v>162874.91575522974</v>
      </c>
      <c r="P49" s="97">
        <f t="shared" si="31"/>
        <v>29524.197995960094</v>
      </c>
      <c r="Q49" s="97">
        <f t="shared" si="32"/>
        <v>125875.75372662743</v>
      </c>
      <c r="R49" s="97">
        <f t="shared" si="33"/>
        <v>124716.32257813313</v>
      </c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9.75" customHeight="1" x14ac:dyDescent="0.1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9.75" customHeight="1" x14ac:dyDescent="0.1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9.75" customHeight="1" x14ac:dyDescent="0.15">
      <c r="A52" s="10"/>
      <c r="B52" s="10" t="s">
        <v>396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343" t="s">
        <v>428</v>
      </c>
      <c r="T52" s="343" t="s">
        <v>429</v>
      </c>
      <c r="U52" s="465" t="s">
        <v>430</v>
      </c>
      <c r="V52" s="465" t="s">
        <v>431</v>
      </c>
      <c r="W52" s="465" t="s">
        <v>432</v>
      </c>
      <c r="X52" s="10"/>
      <c r="Y52" s="10"/>
      <c r="Z52" s="10"/>
      <c r="AA52" s="10"/>
      <c r="AB52" s="10"/>
      <c r="AC52" s="10"/>
    </row>
    <row r="53" spans="1:29" ht="9.75" customHeight="1" x14ac:dyDescent="0.15">
      <c r="A53" s="10"/>
      <c r="B53" s="10" t="s">
        <v>423</v>
      </c>
      <c r="C53" s="10"/>
      <c r="D53" s="10"/>
      <c r="E53" s="10"/>
      <c r="F53" s="10"/>
      <c r="G53" s="10"/>
      <c r="H53" s="10"/>
      <c r="I53" s="10"/>
      <c r="J53" s="131">
        <f t="shared" ref="J53:M53" si="34">(J44-$G$7)/$E$7</f>
        <v>234.28358914196298</v>
      </c>
      <c r="K53" s="131">
        <f t="shared" si="34"/>
        <v>-9.6510467628561081</v>
      </c>
      <c r="L53" s="131">
        <f t="shared" si="34"/>
        <v>139.39859649122809</v>
      </c>
      <c r="M53" s="131">
        <f t="shared" si="34"/>
        <v>186.10571901229196</v>
      </c>
      <c r="N53" s="131"/>
      <c r="O53" s="131">
        <f t="shared" ref="O53:R53" si="35">(O44-$G$7)/$E$7</f>
        <v>229.37060890510517</v>
      </c>
      <c r="P53" s="131">
        <f t="shared" si="35"/>
        <v>-8.1882850765031705</v>
      </c>
      <c r="Q53" s="131">
        <f t="shared" si="35"/>
        <v>165.58451826900583</v>
      </c>
      <c r="R53" s="131">
        <f t="shared" si="35"/>
        <v>173.54782737327918</v>
      </c>
      <c r="S53" s="131">
        <f>_xlfn.QUARTILE.INC(DCF!BM10:BQ14,1)</f>
        <v>223.28110706250757</v>
      </c>
      <c r="T53" s="131">
        <f>_xlfn.QUARTILE.INC(DCF!BM23:BQ27,1)</f>
        <v>297.69884945365374</v>
      </c>
      <c r="U53" s="131">
        <f>_xlfn.QUARTILE.INC('BETA &amp; DDM'!S23,1)</f>
        <v>298.38323353293418</v>
      </c>
      <c r="V53" s="10">
        <f>_xlfn.QUARTILE.INC('BETA &amp; DDM'!R28:T31,1)</f>
        <v>251.30302560773387</v>
      </c>
      <c r="W53" s="10">
        <f>_xlfn.QUARTILE.INC('BETA &amp; DDM'!Q37:S40,1)</f>
        <v>317.05055781224451</v>
      </c>
      <c r="X53" s="10"/>
      <c r="Y53" s="10"/>
      <c r="Z53" s="10"/>
      <c r="AA53" s="10"/>
      <c r="AB53" s="10"/>
      <c r="AC53" s="10"/>
    </row>
    <row r="54" spans="1:29" ht="9.75" customHeight="1" x14ac:dyDescent="0.15">
      <c r="A54" s="10"/>
      <c r="B54" s="10" t="s">
        <v>433</v>
      </c>
      <c r="C54" s="10"/>
      <c r="D54" s="10"/>
      <c r="E54" s="10"/>
      <c r="F54" s="10"/>
      <c r="G54" s="10"/>
      <c r="H54" s="10"/>
      <c r="I54" s="10"/>
      <c r="J54" s="131">
        <f t="shared" ref="J54:M54" si="36">J55-J53</f>
        <v>76.663434516482937</v>
      </c>
      <c r="K54" s="131">
        <f t="shared" si="36"/>
        <v>23.875941256756541</v>
      </c>
      <c r="L54" s="131">
        <f t="shared" si="36"/>
        <v>79.45001634362464</v>
      </c>
      <c r="M54" s="131">
        <f t="shared" si="36"/>
        <v>53.251544255056473</v>
      </c>
      <c r="N54" s="131"/>
      <c r="O54" s="131">
        <f t="shared" ref="O54:W54" si="37">O55-O53</f>
        <v>96.880490501965454</v>
      </c>
      <c r="P54" s="131">
        <f t="shared" si="37"/>
        <v>26.123067652205492</v>
      </c>
      <c r="Q54" s="131">
        <f t="shared" si="37"/>
        <v>50.778967243664766</v>
      </c>
      <c r="R54" s="131">
        <f t="shared" si="37"/>
        <v>50.03704471853294</v>
      </c>
      <c r="S54" s="131">
        <f t="shared" si="37"/>
        <v>423.15146946263565</v>
      </c>
      <c r="T54" s="131">
        <f t="shared" si="37"/>
        <v>36.317297600180154</v>
      </c>
      <c r="U54" s="131">
        <f t="shared" si="37"/>
        <v>127.51420236450195</v>
      </c>
      <c r="V54" s="131">
        <f t="shared" si="37"/>
        <v>105.36711089448627</v>
      </c>
      <c r="W54" s="131">
        <f t="shared" si="37"/>
        <v>167.80942633178245</v>
      </c>
      <c r="X54" s="10"/>
      <c r="Y54" s="10"/>
      <c r="Z54" s="10"/>
      <c r="AA54" s="10"/>
      <c r="AB54" s="10"/>
      <c r="AC54" s="10"/>
    </row>
    <row r="55" spans="1:29" ht="9.75" customHeight="1" x14ac:dyDescent="0.15">
      <c r="A55" s="10"/>
      <c r="B55" s="10" t="s">
        <v>425</v>
      </c>
      <c r="C55" s="10"/>
      <c r="D55" s="10"/>
      <c r="E55" s="10"/>
      <c r="F55" s="10"/>
      <c r="G55" s="10"/>
      <c r="H55" s="10"/>
      <c r="I55" s="10"/>
      <c r="J55" s="131">
        <f t="shared" ref="J55:M55" si="38">(J46-$G$7)/$E$7</f>
        <v>310.94702365844591</v>
      </c>
      <c r="K55" s="131">
        <f t="shared" si="38"/>
        <v>14.224894493900432</v>
      </c>
      <c r="L55" s="131">
        <f t="shared" si="38"/>
        <v>218.84861283485273</v>
      </c>
      <c r="M55" s="131">
        <f t="shared" si="38"/>
        <v>239.35726326734843</v>
      </c>
      <c r="N55" s="131"/>
      <c r="O55" s="131">
        <f t="shared" ref="O55:R55" si="39">(O46-$G$7)/$E$7</f>
        <v>326.25109940707063</v>
      </c>
      <c r="P55" s="131">
        <f t="shared" si="39"/>
        <v>17.934782575702322</v>
      </c>
      <c r="Q55" s="131">
        <f t="shared" si="39"/>
        <v>216.36348551267059</v>
      </c>
      <c r="R55" s="131">
        <f t="shared" si="39"/>
        <v>223.58487209181212</v>
      </c>
      <c r="S55" s="131">
        <f>_xlfn.QUARTILE.INC(DCF!BM10:BQ14,3)</f>
        <v>646.43257652514319</v>
      </c>
      <c r="T55" s="131">
        <f>_xlfn.QUARTILE.INC(DCF!BM23:BQ27,3)</f>
        <v>334.01614705383389</v>
      </c>
      <c r="U55" s="10">
        <f>_xlfn.QUARTILE.INC('BETA &amp; DDM'!Q20:S23,3)</f>
        <v>425.89743589743614</v>
      </c>
      <c r="V55" s="10">
        <f>_xlfn.QUARTILE.INC('BETA &amp; DDM'!R28:T31,3)</f>
        <v>356.67013650222015</v>
      </c>
      <c r="W55" s="10">
        <f>_xlfn.QUARTILE.INC('BETA &amp; DDM'!Q37:T41,3)</f>
        <v>484.85998414402695</v>
      </c>
      <c r="X55" s="10"/>
      <c r="Y55" s="10"/>
      <c r="Z55" s="10"/>
      <c r="AA55" s="10"/>
      <c r="AB55" s="10"/>
      <c r="AC55" s="10"/>
    </row>
    <row r="56" spans="1:29" ht="9.75" customHeight="1" x14ac:dyDescent="0.15">
      <c r="A56" s="10"/>
      <c r="B56" s="10"/>
      <c r="C56" s="10"/>
      <c r="D56" s="10"/>
      <c r="E56" s="10"/>
      <c r="F56" s="10"/>
      <c r="G56" s="10"/>
      <c r="H56" s="10"/>
      <c r="I56" s="344" t="s">
        <v>434</v>
      </c>
      <c r="J56" s="131">
        <f t="shared" ref="J56:M56" si="40">AVERAGE(J55,J53)</f>
        <v>272.61530640020442</v>
      </c>
      <c r="K56" s="131">
        <f t="shared" si="40"/>
        <v>2.2869238655221622</v>
      </c>
      <c r="L56" s="131">
        <f t="shared" si="40"/>
        <v>179.1236046630404</v>
      </c>
      <c r="M56" s="131">
        <f t="shared" si="40"/>
        <v>212.73149113982021</v>
      </c>
      <c r="N56" s="10"/>
      <c r="O56" s="131">
        <f t="shared" ref="O56:W56" si="41">AVERAGE(O55,O53)</f>
        <v>277.81085415608788</v>
      </c>
      <c r="P56" s="131">
        <f t="shared" si="41"/>
        <v>4.8732487495995755</v>
      </c>
      <c r="Q56" s="131">
        <f t="shared" si="41"/>
        <v>190.97400189083822</v>
      </c>
      <c r="R56" s="131">
        <f t="shared" si="41"/>
        <v>198.56634973254563</v>
      </c>
      <c r="S56" s="131">
        <f t="shared" si="41"/>
        <v>434.85684179382537</v>
      </c>
      <c r="T56" s="131">
        <f t="shared" si="41"/>
        <v>315.85749825374381</v>
      </c>
      <c r="U56" s="10">
        <f t="shared" si="41"/>
        <v>362.14033471518519</v>
      </c>
      <c r="V56" s="10">
        <f t="shared" si="41"/>
        <v>303.98658105497702</v>
      </c>
      <c r="W56" s="10">
        <f t="shared" si="41"/>
        <v>400.95527097813573</v>
      </c>
      <c r="X56" s="10"/>
      <c r="Y56" s="10"/>
      <c r="Z56" s="10"/>
      <c r="AA56" s="10"/>
      <c r="AB56" s="10"/>
      <c r="AC56" s="10"/>
    </row>
    <row r="57" spans="1:29" ht="9.75" customHeight="1" x14ac:dyDescent="0.15">
      <c r="A57" s="10"/>
      <c r="B57" s="10"/>
      <c r="C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9.75" customHeight="1" x14ac:dyDescent="0.15">
      <c r="A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9.75" customHeight="1" x14ac:dyDescent="0.15">
      <c r="A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9.75" customHeight="1" x14ac:dyDescent="0.15">
      <c r="A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9.75" customHeight="1" x14ac:dyDescent="0.15">
      <c r="A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9.75" customHeight="1" x14ac:dyDescent="0.15">
      <c r="A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9.75" customHeight="1" x14ac:dyDescent="0.1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9.75" customHeight="1" x14ac:dyDescent="0.15">
      <c r="A64" s="10"/>
      <c r="B64" s="10"/>
      <c r="C64" s="10"/>
      <c r="D64" s="131"/>
      <c r="E64" s="131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9.75" customHeight="1" x14ac:dyDescent="0.15">
      <c r="A65" s="10"/>
      <c r="B65" s="10"/>
      <c r="C65" s="10"/>
      <c r="D65" s="131"/>
      <c r="E65" s="131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9" customHeight="1" x14ac:dyDescent="0.15">
      <c r="A66" s="10"/>
      <c r="B66" s="10"/>
      <c r="C66" s="10"/>
      <c r="D66" s="131"/>
      <c r="E66" s="131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9.75" customHeight="1" x14ac:dyDescent="0.15">
      <c r="A67" s="10"/>
      <c r="B67" s="10"/>
      <c r="C67" s="10"/>
      <c r="D67" s="131"/>
      <c r="E67" s="131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9.75" customHeight="1" x14ac:dyDescent="0.15">
      <c r="A68" s="10"/>
      <c r="B68" s="10"/>
      <c r="C68" s="10"/>
      <c r="D68" s="131"/>
      <c r="E68" s="131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9.75" customHeight="1" x14ac:dyDescent="0.15">
      <c r="A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466" t="s">
        <v>562</v>
      </c>
      <c r="T69" s="475"/>
      <c r="U69" s="466"/>
      <c r="V69" s="10"/>
      <c r="W69" s="10"/>
      <c r="X69" s="10"/>
      <c r="Y69" s="10"/>
      <c r="Z69" s="10"/>
      <c r="AA69" s="10"/>
      <c r="AB69" s="10"/>
      <c r="AC69" s="10"/>
    </row>
    <row r="70" spans="1:29" ht="9.75" customHeight="1" x14ac:dyDescent="0.1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467"/>
      <c r="T70" s="466"/>
      <c r="U70" s="469"/>
      <c r="V70" s="10"/>
      <c r="W70" s="10"/>
      <c r="X70" s="10"/>
      <c r="Y70" s="10"/>
      <c r="Z70" s="10"/>
      <c r="AA70" s="10"/>
      <c r="AB70" s="10"/>
      <c r="AC70" s="10"/>
    </row>
    <row r="71" spans="1:29" ht="9.75" customHeight="1" x14ac:dyDescent="0.1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467" t="s">
        <v>437</v>
      </c>
      <c r="T71" s="468">
        <v>0.45</v>
      </c>
      <c r="U71" s="469">
        <f>U56</f>
        <v>362.14033471518519</v>
      </c>
      <c r="V71" s="10"/>
      <c r="W71" s="10"/>
      <c r="X71" s="10"/>
      <c r="Y71" s="10"/>
      <c r="Z71" s="10"/>
      <c r="AA71" s="10"/>
      <c r="AB71" s="10"/>
      <c r="AC71" s="10"/>
    </row>
    <row r="72" spans="1:29" ht="9.75" customHeight="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467" t="s">
        <v>438</v>
      </c>
      <c r="T72" s="468">
        <v>0.15</v>
      </c>
      <c r="U72" s="469">
        <f>W56</f>
        <v>400.95527097813573</v>
      </c>
      <c r="V72" s="10"/>
      <c r="W72" s="10"/>
      <c r="X72" s="10"/>
      <c r="Y72" s="10"/>
      <c r="Z72" s="10"/>
      <c r="AA72" s="10"/>
      <c r="AB72" s="10"/>
      <c r="AC72" s="10"/>
    </row>
    <row r="73" spans="1:29" ht="9.75" customHeight="1" x14ac:dyDescent="0.15">
      <c r="A73" s="10"/>
      <c r="B73" s="10"/>
      <c r="C73" s="10"/>
      <c r="D73" s="10" t="s">
        <v>423</v>
      </c>
      <c r="E73" s="10" t="s">
        <v>433</v>
      </c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467" t="s">
        <v>416</v>
      </c>
      <c r="T73" s="468">
        <v>0.1</v>
      </c>
      <c r="U73" s="469">
        <f>J56</f>
        <v>272.61530640020442</v>
      </c>
      <c r="V73" s="10"/>
      <c r="W73" s="10"/>
      <c r="X73" s="10"/>
      <c r="Y73" s="10"/>
      <c r="Z73" s="10"/>
      <c r="AA73" s="10"/>
      <c r="AB73" s="10"/>
      <c r="AC73" s="10"/>
    </row>
    <row r="74" spans="1:29" ht="9.75" customHeight="1" x14ac:dyDescent="0.15">
      <c r="A74" s="10"/>
      <c r="B74" s="10" t="s">
        <v>416</v>
      </c>
      <c r="C74" s="10"/>
      <c r="D74" s="131">
        <f>J53</f>
        <v>234.28358914196298</v>
      </c>
      <c r="E74" s="131">
        <f>J54</f>
        <v>76.663434516482937</v>
      </c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467" t="s">
        <v>419</v>
      </c>
      <c r="T74" s="468">
        <v>0.15</v>
      </c>
      <c r="U74" s="469">
        <f>M56</f>
        <v>212.73149113982021</v>
      </c>
      <c r="V74" s="10"/>
      <c r="W74" s="10"/>
      <c r="X74" s="10"/>
      <c r="Y74" s="10"/>
      <c r="Z74" s="10"/>
      <c r="AA74" s="10"/>
      <c r="AB74" s="10"/>
      <c r="AC74" s="10"/>
    </row>
    <row r="75" spans="1:29" ht="9.75" customHeight="1" x14ac:dyDescent="0.15">
      <c r="A75" s="10"/>
      <c r="B75" s="10" t="s">
        <v>429</v>
      </c>
      <c r="C75" s="10"/>
      <c r="D75" s="131">
        <f>T53</f>
        <v>297.69884945365374</v>
      </c>
      <c r="E75" s="131">
        <f>T54</f>
        <v>36.317297600180154</v>
      </c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467" t="s">
        <v>439</v>
      </c>
      <c r="T75" s="468">
        <v>0.15</v>
      </c>
      <c r="U75" s="469">
        <f>T56</f>
        <v>315.85749825374381</v>
      </c>
      <c r="V75" s="10"/>
      <c r="W75" s="10"/>
      <c r="X75" s="10"/>
      <c r="Y75" s="10"/>
      <c r="Z75" s="10"/>
      <c r="AA75" s="10"/>
      <c r="AB75" s="10"/>
      <c r="AC75" s="10"/>
    </row>
    <row r="76" spans="1:29" ht="9.75" customHeight="1" x14ac:dyDescent="0.15">
      <c r="A76" s="10"/>
      <c r="B76" s="10" t="s">
        <v>419</v>
      </c>
      <c r="C76" s="10"/>
      <c r="D76" s="131">
        <f>M53</f>
        <v>186.10571901229196</v>
      </c>
      <c r="E76" s="131">
        <f>M54</f>
        <v>53.251544255056473</v>
      </c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470" t="s">
        <v>440</v>
      </c>
      <c r="T76" s="471"/>
      <c r="U76" s="472">
        <f>U71*T71+U72*T72+U73*T73+U74*T74+U75*T75</f>
        <v>329.65632031760873</v>
      </c>
      <c r="V76" s="10"/>
      <c r="W76" s="10"/>
      <c r="X76" s="10"/>
      <c r="Y76" s="10"/>
      <c r="Z76" s="10"/>
      <c r="AA76" s="10"/>
      <c r="AB76" s="10"/>
      <c r="AC76" s="10"/>
    </row>
    <row r="77" spans="1:29" ht="9.75" customHeight="1" x14ac:dyDescent="0.15">
      <c r="A77" s="10"/>
      <c r="B77" s="10" t="s">
        <v>436</v>
      </c>
      <c r="C77" s="10"/>
      <c r="D77" s="131">
        <f>W53</f>
        <v>317.05055781224451</v>
      </c>
      <c r="E77" s="131">
        <f>W54</f>
        <v>167.80942633178245</v>
      </c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466"/>
      <c r="T77" s="466"/>
      <c r="U77" s="466"/>
      <c r="V77" s="10"/>
      <c r="W77" s="10"/>
      <c r="X77" s="10"/>
      <c r="Y77" s="10"/>
      <c r="Z77" s="10"/>
      <c r="AA77" s="10"/>
      <c r="AB77" s="10"/>
      <c r="AC77" s="10"/>
    </row>
    <row r="78" spans="1:29" ht="9.75" customHeight="1" x14ac:dyDescent="0.15">
      <c r="A78" s="10"/>
      <c r="B78" s="10" t="s">
        <v>435</v>
      </c>
      <c r="C78" s="10"/>
      <c r="D78" s="131">
        <f>U53</f>
        <v>298.38323353293418</v>
      </c>
      <c r="E78" s="131">
        <f>U54</f>
        <v>127.51420236450195</v>
      </c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467" t="s">
        <v>441</v>
      </c>
      <c r="T78" s="466"/>
      <c r="U78" s="473">
        <f>D7</f>
        <v>272.10000000000002</v>
      </c>
      <c r="V78" s="10"/>
      <c r="W78" s="10"/>
      <c r="X78" s="10"/>
      <c r="Y78" s="10"/>
      <c r="Z78" s="10"/>
      <c r="AA78" s="10"/>
      <c r="AB78" s="10"/>
      <c r="AC78" s="10"/>
    </row>
    <row r="79" spans="1:29" ht="9.75" customHeight="1" x14ac:dyDescent="0.1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467" t="s">
        <v>442</v>
      </c>
      <c r="T79" s="466"/>
      <c r="U79" s="474">
        <f>U76/U78-1</f>
        <v>0.21152635177364454</v>
      </c>
      <c r="V79" s="10"/>
      <c r="W79" s="10"/>
      <c r="X79" s="10"/>
      <c r="Y79" s="10"/>
      <c r="Z79" s="10"/>
      <c r="AA79" s="10"/>
      <c r="AB79" s="10"/>
      <c r="AC79" s="10"/>
    </row>
    <row r="80" spans="1:29" ht="9.75" customHeight="1" x14ac:dyDescent="0.1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466"/>
      <c r="T80" s="466"/>
      <c r="U80" s="466"/>
      <c r="V80" s="10"/>
      <c r="W80" s="10"/>
      <c r="X80" s="10"/>
      <c r="Y80" s="10"/>
      <c r="Z80" s="10"/>
      <c r="AA80" s="10"/>
      <c r="AB80" s="10"/>
      <c r="AC80" s="10"/>
    </row>
    <row r="81" spans="1:29" ht="9.75" customHeight="1" x14ac:dyDescent="0.1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9.75" customHeight="1" x14ac:dyDescent="0.1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9.75" customHeight="1" x14ac:dyDescent="0.1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9.75" customHeight="1" x14ac:dyDescent="0.1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9.75" customHeight="1" x14ac:dyDescent="0.1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9.75" customHeight="1" x14ac:dyDescent="0.1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9.75" customHeight="1" x14ac:dyDescent="0.1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9.75" customHeight="1" x14ac:dyDescent="0.1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9.75" customHeight="1" x14ac:dyDescent="0.1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9.75" customHeight="1" x14ac:dyDescent="0.1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9.75" customHeight="1" x14ac:dyDescent="0.1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9.75" customHeight="1" x14ac:dyDescent="0.1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9.7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9.75" customHeight="1" x14ac:dyDescent="0.1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9.75" customHeight="1" x14ac:dyDescent="0.1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9.75" customHeight="1" x14ac:dyDescent="0.1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9.75" customHeight="1" x14ac:dyDescent="0.1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9.75" customHeight="1" x14ac:dyDescent="0.1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9.75" customHeight="1" x14ac:dyDescent="0.1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9.75" customHeight="1" x14ac:dyDescent="0.1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9.75" customHeight="1" x14ac:dyDescent="0.1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9.75" customHeight="1" x14ac:dyDescent="0.1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9.75" customHeight="1" x14ac:dyDescent="0.1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9.75" customHeight="1" x14ac:dyDescent="0.1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9.75" customHeight="1" x14ac:dyDescent="0.1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9.75" customHeight="1" x14ac:dyDescent="0.1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9.75" customHeight="1" x14ac:dyDescent="0.1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9.75" customHeight="1" x14ac:dyDescent="0.1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9.75" customHeight="1" x14ac:dyDescent="0.1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9.75" customHeight="1" x14ac:dyDescent="0.1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9.75" customHeight="1" x14ac:dyDescent="0.1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9.75" customHeight="1" x14ac:dyDescent="0.1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9.75" customHeight="1" x14ac:dyDescent="0.1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9.75" customHeight="1" x14ac:dyDescent="0.1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9.75" customHeight="1" x14ac:dyDescent="0.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9.75" customHeight="1" x14ac:dyDescent="0.1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9.75" customHeight="1" x14ac:dyDescent="0.1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9.75" customHeight="1" x14ac:dyDescent="0.1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9.75" customHeight="1" x14ac:dyDescent="0.1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9.75" customHeight="1" x14ac:dyDescent="0.1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9.75" customHeight="1" x14ac:dyDescent="0.1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9.75" customHeight="1" x14ac:dyDescent="0.1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9.75" customHeight="1" x14ac:dyDescent="0.1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9.75" customHeight="1" x14ac:dyDescent="0.1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9.75" customHeight="1" x14ac:dyDescent="0.1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9.75" customHeight="1" x14ac:dyDescent="0.1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9.75" customHeight="1" x14ac:dyDescent="0.1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9.75" customHeight="1" x14ac:dyDescent="0.1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9.75" customHeight="1" x14ac:dyDescent="0.1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9.75" customHeight="1" x14ac:dyDescent="0.1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9.75" customHeight="1" x14ac:dyDescent="0.1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9.75" customHeight="1" x14ac:dyDescent="0.1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9.75" customHeight="1" x14ac:dyDescent="0.1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9.75" customHeight="1" x14ac:dyDescent="0.1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9.75" customHeight="1" x14ac:dyDescent="0.1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9.75" customHeight="1" x14ac:dyDescent="0.1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9.75" customHeight="1" x14ac:dyDescent="0.1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9.75" customHeight="1" x14ac:dyDescent="0.1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9.75" customHeight="1" x14ac:dyDescent="0.1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9.75" customHeight="1" x14ac:dyDescent="0.1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9.75" customHeight="1" x14ac:dyDescent="0.1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9.75" customHeight="1" x14ac:dyDescent="0.1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9.75" customHeight="1" x14ac:dyDescent="0.1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9.75" customHeight="1" x14ac:dyDescent="0.1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9.75" customHeight="1" x14ac:dyDescent="0.1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9.75" customHeight="1" x14ac:dyDescent="0.1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9.75" customHeight="1" x14ac:dyDescent="0.1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9.75" customHeight="1" x14ac:dyDescent="0.1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9.75" customHeight="1" x14ac:dyDescent="0.1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9.75" customHeight="1" x14ac:dyDescent="0.1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9.75" customHeight="1" x14ac:dyDescent="0.1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9.75" customHeight="1" x14ac:dyDescent="0.1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9.75" customHeight="1" x14ac:dyDescent="0.1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9.75" customHeight="1" x14ac:dyDescent="0.1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9.75" customHeight="1" x14ac:dyDescent="0.1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9.75" customHeight="1" x14ac:dyDescent="0.1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9.75" customHeight="1" x14ac:dyDescent="0.1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9.75" customHeight="1" x14ac:dyDescent="0.1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9.75" customHeight="1" x14ac:dyDescent="0.1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9.75" customHeight="1" x14ac:dyDescent="0.1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9.75" customHeight="1" x14ac:dyDescent="0.1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9.75" customHeight="1" x14ac:dyDescent="0.1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9.75" customHeight="1" x14ac:dyDescent="0.1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9.75" customHeight="1" x14ac:dyDescent="0.1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9.75" customHeight="1" x14ac:dyDescent="0.1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9.75" customHeight="1" x14ac:dyDescent="0.1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9.75" customHeight="1" x14ac:dyDescent="0.1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9.75" customHeight="1" x14ac:dyDescent="0.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9.75" customHeight="1" x14ac:dyDescent="0.1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9.75" customHeight="1" x14ac:dyDescent="0.1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9.75" customHeight="1" x14ac:dyDescent="0.1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9.75" customHeight="1" x14ac:dyDescent="0.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9.75" customHeight="1" x14ac:dyDescent="0.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9.75" customHeight="1" x14ac:dyDescent="0.1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9.75" customHeight="1" x14ac:dyDescent="0.1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9.75" customHeight="1" x14ac:dyDescent="0.1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9.75" customHeight="1" x14ac:dyDescent="0.1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9.75" customHeight="1" x14ac:dyDescent="0.1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9.75" customHeight="1" x14ac:dyDescent="0.1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9.75" customHeight="1" x14ac:dyDescent="0.1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9.75" customHeight="1" x14ac:dyDescent="0.1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9.75" customHeight="1" x14ac:dyDescent="0.1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9.75" customHeight="1" x14ac:dyDescent="0.1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9.75" customHeight="1" x14ac:dyDescent="0.1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9.75" customHeight="1" x14ac:dyDescent="0.1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9.75" customHeight="1" x14ac:dyDescent="0.1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9.75" customHeight="1" x14ac:dyDescent="0.1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9.75" customHeight="1" x14ac:dyDescent="0.1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9.75" customHeight="1" x14ac:dyDescent="0.1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9.75" customHeight="1" x14ac:dyDescent="0.1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9.75" customHeight="1" x14ac:dyDescent="0.1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9.75" customHeight="1" x14ac:dyDescent="0.1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9.75" customHeight="1" x14ac:dyDescent="0.1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9.75" customHeight="1" x14ac:dyDescent="0.1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9.75" customHeight="1" x14ac:dyDescent="0.1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9.75" customHeight="1" x14ac:dyDescent="0.1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9.75" customHeight="1" x14ac:dyDescent="0.1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9.75" customHeight="1" x14ac:dyDescent="0.1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9.75" customHeight="1" x14ac:dyDescent="0.1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9.75" customHeight="1" x14ac:dyDescent="0.1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9.75" customHeight="1" x14ac:dyDescent="0.1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9.75" customHeight="1" x14ac:dyDescent="0.1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9.75" customHeight="1" x14ac:dyDescent="0.1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9.75" customHeight="1" x14ac:dyDescent="0.1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9.75" customHeight="1" x14ac:dyDescent="0.1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9.75" customHeight="1" x14ac:dyDescent="0.1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9.75" customHeight="1" x14ac:dyDescent="0.1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9.75" customHeight="1" x14ac:dyDescent="0.1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9.75" customHeight="1" x14ac:dyDescent="0.1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9.75" customHeight="1" x14ac:dyDescent="0.1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9.75" customHeight="1" x14ac:dyDescent="0.1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9.75" customHeight="1" x14ac:dyDescent="0.1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9.75" customHeight="1" x14ac:dyDescent="0.1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9.75" customHeight="1" x14ac:dyDescent="0.1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9.75" customHeight="1" x14ac:dyDescent="0.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9.75" customHeight="1" x14ac:dyDescent="0.1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9.75" customHeight="1" x14ac:dyDescent="0.1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9.75" customHeight="1" x14ac:dyDescent="0.1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9.75" customHeight="1" x14ac:dyDescent="0.1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9.75" customHeight="1" x14ac:dyDescent="0.1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9.75" customHeight="1" x14ac:dyDescent="0.1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9.75" customHeight="1" x14ac:dyDescent="0.1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9.75" customHeight="1" x14ac:dyDescent="0.1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9.75" customHeight="1" x14ac:dyDescent="0.1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9.75" customHeight="1" x14ac:dyDescent="0.1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9.75" customHeight="1" x14ac:dyDescent="0.1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9.75" customHeight="1" x14ac:dyDescent="0.1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9.75" customHeight="1" x14ac:dyDescent="0.1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9.75" customHeight="1" x14ac:dyDescent="0.1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9.75" customHeight="1" x14ac:dyDescent="0.15">
      <c r="A230" s="10"/>
      <c r="B230" s="2"/>
      <c r="C230" s="2"/>
      <c r="D230" s="2"/>
      <c r="E230" s="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9.75" customHeight="1" x14ac:dyDescent="0.15">
      <c r="A231" s="10"/>
      <c r="B231" s="2"/>
      <c r="C231" s="2"/>
      <c r="D231" s="2"/>
      <c r="E231" s="2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9.75" customHeight="1" x14ac:dyDescent="0.15">
      <c r="A232" s="10"/>
      <c r="B232" s="2"/>
      <c r="C232" s="2"/>
      <c r="D232" s="2"/>
      <c r="E232" s="2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</row>
    <row r="233" spans="1:29" ht="9.75" customHeight="1" x14ac:dyDescent="0.15">
      <c r="A233" s="10"/>
      <c r="B233" s="2"/>
      <c r="C233" s="2"/>
      <c r="D233" s="2"/>
      <c r="E233" s="2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</row>
    <row r="234" spans="1:29" ht="9.75" customHeight="1" x14ac:dyDescent="0.15">
      <c r="A234" s="10"/>
      <c r="B234" s="2"/>
      <c r="C234" s="2"/>
      <c r="D234" s="2"/>
      <c r="E234" s="2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</row>
    <row r="235" spans="1:29" ht="9.75" customHeight="1" x14ac:dyDescent="0.15">
      <c r="A235" s="10"/>
      <c r="B235" s="2"/>
      <c r="C235" s="2"/>
      <c r="D235" s="2"/>
      <c r="E235" s="2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</row>
    <row r="236" spans="1:29" ht="9.75" customHeight="1" x14ac:dyDescent="0.15">
      <c r="A236" s="10"/>
      <c r="B236" s="2"/>
      <c r="C236" s="2"/>
      <c r="D236" s="2"/>
      <c r="E236" s="2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</row>
    <row r="237" spans="1:29" ht="9.75" customHeight="1" x14ac:dyDescent="0.15">
      <c r="A237" s="10"/>
      <c r="B237" s="2"/>
      <c r="C237" s="2"/>
      <c r="D237" s="2"/>
      <c r="E237" s="2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</row>
    <row r="238" spans="1:29" ht="9.75" customHeight="1" x14ac:dyDescent="0.15">
      <c r="A238" s="10"/>
      <c r="B238" s="2"/>
      <c r="C238" s="2"/>
      <c r="D238" s="2"/>
      <c r="E238" s="2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</row>
    <row r="239" spans="1:29" ht="15.75" customHeight="1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 x14ac:dyDescent="0.15">
      <c r="A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9:18" ht="15.75" customHeight="1" x14ac:dyDescent="0.15"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9:18" ht="15.75" customHeight="1" x14ac:dyDescent="0.15"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9:18" ht="15.75" customHeight="1" x14ac:dyDescent="0.15"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9:18" ht="15.75" customHeight="1" x14ac:dyDescent="0.15"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9:18" ht="15.75" customHeight="1" x14ac:dyDescent="0.15"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9:18" ht="15.75" customHeight="1" x14ac:dyDescent="0.15"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9:18" ht="15.75" customHeight="1" x14ac:dyDescent="0.15"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9:18" ht="15.75" customHeight="1" x14ac:dyDescent="0.15"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9:18" ht="15.75" customHeight="1" x14ac:dyDescent="0.15"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9:18" ht="15.75" customHeight="1" x14ac:dyDescent="0.15"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9:18" ht="15.75" customHeight="1" x14ac:dyDescent="0.15"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9:18" ht="15.75" customHeight="1" x14ac:dyDescent="0.15"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9:18" ht="15.75" customHeight="1" x14ac:dyDescent="0.15"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9:18" ht="15.75" customHeight="1" x14ac:dyDescent="0.15"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9:18" ht="15.75" customHeight="1" x14ac:dyDescent="0.15"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9:18" ht="15.75" customHeight="1" x14ac:dyDescent="0.15"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9:18" ht="15.75" customHeight="1" x14ac:dyDescent="0.15"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9:18" ht="15.75" customHeight="1" x14ac:dyDescent="0.15"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9:18" ht="15.75" customHeight="1" x14ac:dyDescent="0.15"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9:18" ht="15.75" customHeight="1" x14ac:dyDescent="0.15"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9:18" ht="15.75" customHeight="1" x14ac:dyDescent="0.15"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9:18" ht="15.75" customHeight="1" x14ac:dyDescent="0.15"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9:18" ht="15.75" customHeight="1" x14ac:dyDescent="0.15"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9:18" ht="15.75" customHeight="1" x14ac:dyDescent="0.15"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9:18" ht="15.75" customHeight="1" x14ac:dyDescent="0.15"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9:18" ht="15.75" customHeight="1" x14ac:dyDescent="0.15"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9:18" ht="15.75" customHeight="1" x14ac:dyDescent="0.15"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9:18" ht="15.75" customHeight="1" x14ac:dyDescent="0.15"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9:18" ht="15.75" customHeight="1" x14ac:dyDescent="0.15"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9:18" ht="15.75" customHeight="1" x14ac:dyDescent="0.15"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9:18" ht="15.75" customHeight="1" x14ac:dyDescent="0.15"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9:18" ht="15.75" customHeight="1" x14ac:dyDescent="0.15"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9:18" ht="15.75" customHeight="1" x14ac:dyDescent="0.15"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9:18" ht="15.75" customHeight="1" x14ac:dyDescent="0.15"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9:18" ht="15.75" customHeight="1" x14ac:dyDescent="0.15"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9:18" ht="15.75" customHeight="1" x14ac:dyDescent="0.15"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9:18" ht="15.75" customHeight="1" x14ac:dyDescent="0.15"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9:18" ht="15.75" customHeight="1" x14ac:dyDescent="0.15"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9:18" ht="15.75" customHeight="1" x14ac:dyDescent="0.15"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9:18" ht="15.75" customHeight="1" x14ac:dyDescent="0.15"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9:18" ht="15.75" customHeight="1" x14ac:dyDescent="0.15"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9:18" ht="15.75" customHeight="1" x14ac:dyDescent="0.15"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9:18" ht="15.75" customHeight="1" x14ac:dyDescent="0.15"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9:18" ht="15.75" customHeight="1" x14ac:dyDescent="0.15"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9:18" ht="15.75" customHeight="1" x14ac:dyDescent="0.15"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9:18" ht="15.75" customHeight="1" x14ac:dyDescent="0.15"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9:18" ht="15.75" customHeight="1" x14ac:dyDescent="0.15"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9:18" ht="15.75" customHeight="1" x14ac:dyDescent="0.15"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9:18" ht="15.75" customHeight="1" x14ac:dyDescent="0.15"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9:18" ht="15.75" customHeight="1" x14ac:dyDescent="0.15"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9:18" ht="15.75" customHeight="1" x14ac:dyDescent="0.15"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9:18" ht="15.75" customHeight="1" x14ac:dyDescent="0.15"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9:18" ht="15.75" customHeight="1" x14ac:dyDescent="0.15"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9:18" ht="15.75" customHeight="1" x14ac:dyDescent="0.15"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9:18" ht="15.75" customHeight="1" x14ac:dyDescent="0.15"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9:18" ht="15.75" customHeight="1" x14ac:dyDescent="0.15"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9:18" ht="15.75" customHeight="1" x14ac:dyDescent="0.15"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9:18" ht="15.75" customHeight="1" x14ac:dyDescent="0.15"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9:18" ht="15.75" customHeight="1" x14ac:dyDescent="0.15"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9:18" ht="15.75" customHeight="1" x14ac:dyDescent="0.15"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9:18" ht="15.75" customHeight="1" x14ac:dyDescent="0.15"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9:18" ht="15.75" customHeight="1" x14ac:dyDescent="0.15"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9:18" ht="15.75" customHeight="1" x14ac:dyDescent="0.15"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9:18" ht="15.75" customHeight="1" x14ac:dyDescent="0.15"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9:18" ht="15.75" customHeight="1" x14ac:dyDescent="0.15"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9:18" ht="15.75" customHeight="1" x14ac:dyDescent="0.15"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9:18" ht="15.75" customHeight="1" x14ac:dyDescent="0.15"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9:18" ht="15.75" customHeight="1" x14ac:dyDescent="0.15"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9:18" ht="15.75" customHeight="1" x14ac:dyDescent="0.15"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9:18" ht="15.75" customHeight="1" x14ac:dyDescent="0.15"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9:18" ht="15.75" customHeight="1" x14ac:dyDescent="0.15"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9:18" ht="15.75" customHeight="1" x14ac:dyDescent="0.15"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9:18" ht="15.75" customHeight="1" x14ac:dyDescent="0.15"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9:18" ht="15.75" customHeight="1" x14ac:dyDescent="0.15"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9:18" ht="15.75" customHeight="1" x14ac:dyDescent="0.15"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9:18" ht="15.75" customHeight="1" x14ac:dyDescent="0.15"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9:18" ht="15.75" customHeight="1" x14ac:dyDescent="0.15"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9:18" ht="15.75" customHeight="1" x14ac:dyDescent="0.15"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9:18" ht="15.75" customHeight="1" x14ac:dyDescent="0.15"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9:18" ht="15.75" customHeight="1" x14ac:dyDescent="0.15"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9:18" ht="15.75" customHeight="1" x14ac:dyDescent="0.15"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9:18" ht="15.75" customHeight="1" x14ac:dyDescent="0.15"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9:18" ht="15.75" customHeight="1" x14ac:dyDescent="0.15"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9:18" ht="15.75" customHeight="1" x14ac:dyDescent="0.15"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9:18" ht="15.75" customHeight="1" x14ac:dyDescent="0.15"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9:18" ht="15.75" customHeight="1" x14ac:dyDescent="0.15"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9:18" ht="15.75" customHeight="1" x14ac:dyDescent="0.15"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9:18" ht="15.75" customHeight="1" x14ac:dyDescent="0.15"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9:18" ht="15.75" customHeight="1" x14ac:dyDescent="0.15"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9:18" ht="15.75" customHeight="1" x14ac:dyDescent="0.15"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9:18" ht="15.75" customHeight="1" x14ac:dyDescent="0.15"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9:18" ht="15.75" customHeight="1" x14ac:dyDescent="0.15"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9:18" ht="15.75" customHeight="1" x14ac:dyDescent="0.15"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9:18" ht="15.75" customHeight="1" x14ac:dyDescent="0.15"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9:18" ht="15.75" customHeight="1" x14ac:dyDescent="0.15"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9:18" ht="15.75" customHeight="1" x14ac:dyDescent="0.15"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9:18" ht="15.75" customHeight="1" x14ac:dyDescent="0.15"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9:18" ht="15.75" customHeight="1" x14ac:dyDescent="0.15"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9:18" ht="15.75" customHeight="1" x14ac:dyDescent="0.15"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9:18" ht="15.75" customHeight="1" x14ac:dyDescent="0.15"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9:18" ht="15.75" customHeight="1" x14ac:dyDescent="0.15"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9:18" ht="15.75" customHeight="1" x14ac:dyDescent="0.15"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9:18" ht="15.75" customHeight="1" x14ac:dyDescent="0.15"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9:18" ht="15.75" customHeight="1" x14ac:dyDescent="0.15"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9:18" ht="15.75" customHeight="1" x14ac:dyDescent="0.15"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9:18" ht="15.75" customHeight="1" x14ac:dyDescent="0.15"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9:18" ht="15.75" customHeight="1" x14ac:dyDescent="0.15"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9:18" ht="15.75" customHeight="1" x14ac:dyDescent="0.15"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9:18" ht="15.75" customHeight="1" x14ac:dyDescent="0.15"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9:18" ht="15.75" customHeight="1" x14ac:dyDescent="0.15"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9:18" ht="15.75" customHeight="1" x14ac:dyDescent="0.15"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9:18" ht="15.75" customHeight="1" x14ac:dyDescent="0.15"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9:18" ht="15.75" customHeight="1" x14ac:dyDescent="0.15"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9:18" ht="15.75" customHeight="1" x14ac:dyDescent="0.15"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9:18" ht="15.75" customHeight="1" x14ac:dyDescent="0.15"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9:18" ht="15.75" customHeight="1" x14ac:dyDescent="0.15"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9:18" ht="15.75" customHeight="1" x14ac:dyDescent="0.15"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9:18" ht="15.75" customHeight="1" x14ac:dyDescent="0.15"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9:18" ht="15.75" customHeight="1" x14ac:dyDescent="0.15"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9:18" ht="15.75" customHeight="1" x14ac:dyDescent="0.15"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9:18" ht="15.75" customHeight="1" x14ac:dyDescent="0.15"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9:18" ht="15.75" customHeight="1" x14ac:dyDescent="0.15"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9:18" ht="15.75" customHeight="1" x14ac:dyDescent="0.15"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9:18" ht="15.75" customHeight="1" x14ac:dyDescent="0.15"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9:18" ht="15.75" customHeight="1" x14ac:dyDescent="0.15"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9:18" ht="15.75" customHeight="1" x14ac:dyDescent="0.15"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9:18" ht="15.75" customHeight="1" x14ac:dyDescent="0.15"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9:18" ht="15.75" customHeight="1" x14ac:dyDescent="0.15"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9:18" ht="15.75" customHeight="1" x14ac:dyDescent="0.15"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9:18" ht="15.75" customHeight="1" x14ac:dyDescent="0.15"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9:18" ht="15.75" customHeight="1" x14ac:dyDescent="0.15"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9:18" ht="15.75" customHeight="1" x14ac:dyDescent="0.15"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9:18" ht="15.75" customHeight="1" x14ac:dyDescent="0.15"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9:18" ht="15.75" customHeight="1" x14ac:dyDescent="0.15"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9:18" ht="15.75" customHeight="1" x14ac:dyDescent="0.15"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9:18" ht="15.75" customHeight="1" x14ac:dyDescent="0.15"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9:18" ht="15.75" customHeight="1" x14ac:dyDescent="0.15"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9:18" ht="15.75" customHeight="1" x14ac:dyDescent="0.15"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9:18" ht="15.75" customHeight="1" x14ac:dyDescent="0.15"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9:18" ht="15.75" customHeight="1" x14ac:dyDescent="0.15"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9:18" ht="15.75" customHeight="1" x14ac:dyDescent="0.15"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9:18" ht="15.75" customHeight="1" x14ac:dyDescent="0.15"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9:18" ht="15.75" customHeight="1" x14ac:dyDescent="0.15"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9:18" ht="15.75" customHeight="1" x14ac:dyDescent="0.15"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9:18" ht="15.75" customHeight="1" x14ac:dyDescent="0.15"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9:18" ht="15.75" customHeight="1" x14ac:dyDescent="0.15"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9:18" ht="15.75" customHeight="1" x14ac:dyDescent="0.15"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9:18" ht="15.75" customHeight="1" x14ac:dyDescent="0.15"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9:18" ht="15.75" customHeight="1" x14ac:dyDescent="0.15"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9:18" ht="15.75" customHeight="1" x14ac:dyDescent="0.15"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9:18" ht="15.75" customHeight="1" x14ac:dyDescent="0.15"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9:18" ht="15.75" customHeight="1" x14ac:dyDescent="0.15"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9:18" ht="15.75" customHeight="1" x14ac:dyDescent="0.15"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9:18" ht="15.75" customHeight="1" x14ac:dyDescent="0.15"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9:18" ht="15.75" customHeight="1" x14ac:dyDescent="0.15"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9:18" ht="15.75" customHeight="1" x14ac:dyDescent="0.15"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9:18" ht="15.75" customHeight="1" x14ac:dyDescent="0.15"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9:18" ht="15.75" customHeight="1" x14ac:dyDescent="0.15"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9:18" ht="15.75" customHeight="1" x14ac:dyDescent="0.15"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9:18" ht="15.75" customHeight="1" x14ac:dyDescent="0.15"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9:18" ht="15.75" customHeight="1" x14ac:dyDescent="0.15"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9:18" ht="15.75" customHeight="1" x14ac:dyDescent="0.15"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9:18" ht="15.75" customHeight="1" x14ac:dyDescent="0.15"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9:18" ht="15.75" customHeight="1" x14ac:dyDescent="0.15"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9:18" ht="15.75" customHeight="1" x14ac:dyDescent="0.15"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9:18" ht="15.75" customHeight="1" x14ac:dyDescent="0.15"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9:18" ht="15.75" customHeight="1" x14ac:dyDescent="0.15"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9:18" ht="15.75" customHeight="1" x14ac:dyDescent="0.15"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9:18" ht="15.75" customHeight="1" x14ac:dyDescent="0.15"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9:18" ht="15.75" customHeight="1" x14ac:dyDescent="0.15"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9:18" ht="15.75" customHeight="1" x14ac:dyDescent="0.15"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9:18" ht="15.75" customHeight="1" x14ac:dyDescent="0.15"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9:18" ht="15.75" customHeight="1" x14ac:dyDescent="0.15"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9:18" ht="15.75" customHeight="1" x14ac:dyDescent="0.15"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9:18" ht="15.75" customHeight="1" x14ac:dyDescent="0.15"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9:18" ht="15.75" customHeight="1" x14ac:dyDescent="0.15"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9:18" ht="15.75" customHeight="1" x14ac:dyDescent="0.15"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9:18" ht="15.75" customHeight="1" x14ac:dyDescent="0.15"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9:18" ht="15.75" customHeight="1" x14ac:dyDescent="0.15"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9:18" ht="15.75" customHeight="1" x14ac:dyDescent="0.15"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9:18" ht="15.75" customHeight="1" x14ac:dyDescent="0.15"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9:18" ht="15.75" customHeight="1" x14ac:dyDescent="0.15"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9:18" ht="15.75" customHeight="1" x14ac:dyDescent="0.15"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9:18" ht="15.75" customHeight="1" x14ac:dyDescent="0.15"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9:18" ht="15.75" customHeight="1" x14ac:dyDescent="0.15"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9:18" ht="15.75" customHeight="1" x14ac:dyDescent="0.15"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9:18" ht="15.75" customHeight="1" x14ac:dyDescent="0.15"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9:18" ht="15.75" customHeight="1" x14ac:dyDescent="0.15"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9:18" ht="15.75" customHeight="1" x14ac:dyDescent="0.15"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9:18" ht="15.75" customHeight="1" x14ac:dyDescent="0.15"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9:18" ht="15.75" customHeight="1" x14ac:dyDescent="0.15"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9:18" ht="15.75" customHeight="1" x14ac:dyDescent="0.15"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9:18" ht="15.75" customHeight="1" x14ac:dyDescent="0.15"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9:18" ht="15.75" customHeight="1" x14ac:dyDescent="0.15"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9:18" ht="15.75" customHeight="1" x14ac:dyDescent="0.15"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9:18" ht="15.75" customHeight="1" x14ac:dyDescent="0.15"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9:18" ht="15.75" customHeight="1" x14ac:dyDescent="0.15"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9:18" ht="15.75" customHeight="1" x14ac:dyDescent="0.15"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9:18" ht="15.75" customHeight="1" x14ac:dyDescent="0.15"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9:18" ht="15.75" customHeight="1" x14ac:dyDescent="0.15"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9:18" ht="15.75" customHeight="1" x14ac:dyDescent="0.15"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9:18" ht="15.75" customHeight="1" x14ac:dyDescent="0.15"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9:18" ht="15.75" customHeight="1" x14ac:dyDescent="0.15"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9:18" ht="15.75" customHeight="1" x14ac:dyDescent="0.15"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9:18" ht="15.75" customHeight="1" x14ac:dyDescent="0.15"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9:18" ht="15.75" customHeight="1" x14ac:dyDescent="0.15"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9:18" ht="15.75" customHeight="1" x14ac:dyDescent="0.15"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9:18" ht="15.75" customHeight="1" x14ac:dyDescent="0.15"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9:18" ht="15.75" customHeight="1" x14ac:dyDescent="0.15"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9:18" ht="15.75" customHeight="1" x14ac:dyDescent="0.15"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9:18" ht="15.75" customHeight="1" x14ac:dyDescent="0.15"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9:18" ht="15.75" customHeight="1" x14ac:dyDescent="0.15"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9:18" ht="15.75" customHeight="1" x14ac:dyDescent="0.15"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9:18" ht="15.75" customHeight="1" x14ac:dyDescent="0.15"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9:18" ht="15.75" customHeight="1" x14ac:dyDescent="0.15"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9:18" ht="15.75" customHeight="1" x14ac:dyDescent="0.15"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9:18" ht="15.75" customHeight="1" x14ac:dyDescent="0.15"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9:18" ht="15.75" customHeight="1" x14ac:dyDescent="0.15"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9:18" ht="15.75" customHeight="1" x14ac:dyDescent="0.15"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9:18" ht="15.75" customHeight="1" x14ac:dyDescent="0.15"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9:18" ht="15.75" customHeight="1" x14ac:dyDescent="0.15"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9:18" ht="15.75" customHeight="1" x14ac:dyDescent="0.15"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9:18" ht="15.75" customHeight="1" x14ac:dyDescent="0.15"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9:18" ht="15.75" customHeight="1" x14ac:dyDescent="0.15"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9:18" ht="15.75" customHeight="1" x14ac:dyDescent="0.15"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9:18" ht="15.75" customHeight="1" x14ac:dyDescent="0.15"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9:18" ht="15.75" customHeight="1" x14ac:dyDescent="0.15"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9:18" ht="15.75" customHeight="1" x14ac:dyDescent="0.15"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9:18" ht="15.75" customHeight="1" x14ac:dyDescent="0.15"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9:18" ht="15.75" customHeight="1" x14ac:dyDescent="0.15"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9:18" ht="15.75" customHeight="1" x14ac:dyDescent="0.15"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9:18" ht="15.75" customHeight="1" x14ac:dyDescent="0.15"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9:18" ht="15.75" customHeight="1" x14ac:dyDescent="0.15"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9:18" ht="15.75" customHeight="1" x14ac:dyDescent="0.15"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9:18" ht="15.75" customHeight="1" x14ac:dyDescent="0.15"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9:18" ht="15.75" customHeight="1" x14ac:dyDescent="0.15"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9:18" ht="15.75" customHeight="1" x14ac:dyDescent="0.15"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9:18" ht="15.75" customHeight="1" x14ac:dyDescent="0.15"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9:18" ht="15.75" customHeight="1" x14ac:dyDescent="0.15"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9:18" ht="15.75" customHeight="1" x14ac:dyDescent="0.15"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9:18" ht="15.75" customHeight="1" x14ac:dyDescent="0.15"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9:18" ht="15.75" customHeight="1" x14ac:dyDescent="0.15"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9:18" ht="15.75" customHeight="1" x14ac:dyDescent="0.15"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9:18" ht="15.75" customHeight="1" x14ac:dyDescent="0.15"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9:18" ht="15.75" customHeight="1" x14ac:dyDescent="0.15"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9:18" ht="15.75" customHeight="1" x14ac:dyDescent="0.15"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9:18" ht="15.75" customHeight="1" x14ac:dyDescent="0.15"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9:18" ht="15.75" customHeight="1" x14ac:dyDescent="0.15"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9:18" ht="15.75" customHeight="1" x14ac:dyDescent="0.15"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9:18" ht="15.75" customHeight="1" x14ac:dyDescent="0.15"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9:18" ht="15.75" customHeight="1" x14ac:dyDescent="0.15"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9:18" ht="15.75" customHeight="1" x14ac:dyDescent="0.15"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9:18" ht="15.75" customHeight="1" x14ac:dyDescent="0.15"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9:18" ht="15.75" customHeight="1" x14ac:dyDescent="0.15"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9:18" ht="15.75" customHeight="1" x14ac:dyDescent="0.15"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9:18" ht="15.75" customHeight="1" x14ac:dyDescent="0.15"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9:18" ht="15.75" customHeight="1" x14ac:dyDescent="0.15"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9:18" ht="15.75" customHeight="1" x14ac:dyDescent="0.15"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9:18" ht="15.75" customHeight="1" x14ac:dyDescent="0.15"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9:18" ht="15.75" customHeight="1" x14ac:dyDescent="0.15"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9:18" ht="15.75" customHeight="1" x14ac:dyDescent="0.15"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9:18" ht="15.75" customHeight="1" x14ac:dyDescent="0.15"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9:18" ht="15.75" customHeight="1" x14ac:dyDescent="0.15"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9:18" ht="15.75" customHeight="1" x14ac:dyDescent="0.15"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9:18" ht="15.75" customHeight="1" x14ac:dyDescent="0.15"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9:18" ht="15.75" customHeight="1" x14ac:dyDescent="0.15"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9:18" ht="15.75" customHeight="1" x14ac:dyDescent="0.15"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9:18" ht="15.75" customHeight="1" x14ac:dyDescent="0.15"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9:18" ht="15.75" customHeight="1" x14ac:dyDescent="0.15"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9:18" ht="15.75" customHeight="1" x14ac:dyDescent="0.15"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9:18" ht="15.75" customHeight="1" x14ac:dyDescent="0.15"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9:18" ht="15.75" customHeight="1" x14ac:dyDescent="0.15"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9:18" ht="15.75" customHeight="1" x14ac:dyDescent="0.15"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9:18" ht="15.75" customHeight="1" x14ac:dyDescent="0.15"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9:18" ht="15.75" customHeight="1" x14ac:dyDescent="0.15"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9:18" ht="15.75" customHeight="1" x14ac:dyDescent="0.15"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9:18" ht="15.75" customHeight="1" x14ac:dyDescent="0.15"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9:18" ht="15.75" customHeight="1" x14ac:dyDescent="0.15"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9:18" ht="15.75" customHeight="1" x14ac:dyDescent="0.15"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9:18" ht="15.75" customHeight="1" x14ac:dyDescent="0.15"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9:18" ht="15.75" customHeight="1" x14ac:dyDescent="0.15"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9:18" ht="15.75" customHeight="1" x14ac:dyDescent="0.15"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9:18" ht="15.75" customHeight="1" x14ac:dyDescent="0.15"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9:18" ht="15.75" customHeight="1" x14ac:dyDescent="0.15"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9:18" ht="15.75" customHeight="1" x14ac:dyDescent="0.15"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9:18" ht="15.75" customHeight="1" x14ac:dyDescent="0.15"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9:18" ht="15.75" customHeight="1" x14ac:dyDescent="0.15"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9:18" ht="15.75" customHeight="1" x14ac:dyDescent="0.15"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9:18" ht="15.75" customHeight="1" x14ac:dyDescent="0.15"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9:18" ht="15.75" customHeight="1" x14ac:dyDescent="0.15"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9:18" ht="15.75" customHeight="1" x14ac:dyDescent="0.15"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9:18" ht="15.75" customHeight="1" x14ac:dyDescent="0.15"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9:18" ht="15.75" customHeight="1" x14ac:dyDescent="0.15"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9:18" ht="15.75" customHeight="1" x14ac:dyDescent="0.15"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9:18" ht="15.75" customHeight="1" x14ac:dyDescent="0.15"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9:18" ht="15.75" customHeight="1" x14ac:dyDescent="0.15"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9:18" ht="15.75" customHeight="1" x14ac:dyDescent="0.15"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9:18" ht="15.75" customHeight="1" x14ac:dyDescent="0.15"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9:18" ht="15.75" customHeight="1" x14ac:dyDescent="0.15"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9:18" ht="15.75" customHeight="1" x14ac:dyDescent="0.15"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9:18" ht="15.75" customHeight="1" x14ac:dyDescent="0.15"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9:18" ht="15.75" customHeight="1" x14ac:dyDescent="0.15"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9:18" ht="15.75" customHeight="1" x14ac:dyDescent="0.15"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9:18" ht="15.75" customHeight="1" x14ac:dyDescent="0.15"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9:18" ht="15.75" customHeight="1" x14ac:dyDescent="0.15"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9:18" ht="15.75" customHeight="1" x14ac:dyDescent="0.15"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9:18" ht="15.75" customHeight="1" x14ac:dyDescent="0.15"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9:18" ht="15.75" customHeight="1" x14ac:dyDescent="0.15"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9:18" ht="15.75" customHeight="1" x14ac:dyDescent="0.15"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9:18" ht="15.75" customHeight="1" x14ac:dyDescent="0.15"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9:18" ht="15.75" customHeight="1" x14ac:dyDescent="0.15"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9:18" ht="15.75" customHeight="1" x14ac:dyDescent="0.15"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9:18" ht="15.75" customHeight="1" x14ac:dyDescent="0.15"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9:18" ht="15.75" customHeight="1" x14ac:dyDescent="0.15"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9:18" ht="15.75" customHeight="1" x14ac:dyDescent="0.15"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9:18" ht="15.75" customHeight="1" x14ac:dyDescent="0.15"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9:18" ht="15.75" customHeight="1" x14ac:dyDescent="0.15"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9:18" ht="15.75" customHeight="1" x14ac:dyDescent="0.15"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9:18" ht="15.75" customHeight="1" x14ac:dyDescent="0.15"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9:18" ht="15.75" customHeight="1" x14ac:dyDescent="0.15"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9:18" ht="15.75" customHeight="1" x14ac:dyDescent="0.15"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9:18" ht="15.75" customHeight="1" x14ac:dyDescent="0.15"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9:18" ht="15.75" customHeight="1" x14ac:dyDescent="0.15"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9:18" ht="15.75" customHeight="1" x14ac:dyDescent="0.15"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9:18" ht="15.75" customHeight="1" x14ac:dyDescent="0.15"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9:18" ht="15.75" customHeight="1" x14ac:dyDescent="0.15"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9:18" ht="15.75" customHeight="1" x14ac:dyDescent="0.15"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9:18" ht="15.75" customHeight="1" x14ac:dyDescent="0.15"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9:18" ht="15.75" customHeight="1" x14ac:dyDescent="0.15"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9:18" ht="15.75" customHeight="1" x14ac:dyDescent="0.15"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9:18" ht="15.75" customHeight="1" x14ac:dyDescent="0.15"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9:18" ht="15.75" customHeight="1" x14ac:dyDescent="0.15"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9:18" ht="15.75" customHeight="1" x14ac:dyDescent="0.15"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9:18" ht="15.75" customHeight="1" x14ac:dyDescent="0.15"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9:18" ht="15.75" customHeight="1" x14ac:dyDescent="0.15"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9:18" ht="15.75" customHeight="1" x14ac:dyDescent="0.15"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9:18" ht="15.75" customHeight="1" x14ac:dyDescent="0.15"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9:18" ht="15.75" customHeight="1" x14ac:dyDescent="0.15"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9:18" ht="15.75" customHeight="1" x14ac:dyDescent="0.15"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9:18" ht="15.75" customHeight="1" x14ac:dyDescent="0.15"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9:18" ht="15.75" customHeight="1" x14ac:dyDescent="0.15"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9:18" ht="15.75" customHeight="1" x14ac:dyDescent="0.15"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9:18" ht="15.75" customHeight="1" x14ac:dyDescent="0.15"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9:18" ht="15.75" customHeight="1" x14ac:dyDescent="0.15"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9:18" ht="15.75" customHeight="1" x14ac:dyDescent="0.15"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9:18" ht="15.75" customHeight="1" x14ac:dyDescent="0.15"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9:18" ht="15.75" customHeight="1" x14ac:dyDescent="0.15"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9:18" ht="15.75" customHeight="1" x14ac:dyDescent="0.15"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9:18" ht="15.75" customHeight="1" x14ac:dyDescent="0.15"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9:18" ht="15.75" customHeight="1" x14ac:dyDescent="0.15"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9:18" ht="15.75" customHeight="1" x14ac:dyDescent="0.15"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9:18" ht="15.75" customHeight="1" x14ac:dyDescent="0.15"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9:18" ht="15.75" customHeight="1" x14ac:dyDescent="0.15"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9:18" ht="15.75" customHeight="1" x14ac:dyDescent="0.15"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9:18" ht="15.75" customHeight="1" x14ac:dyDescent="0.15"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9:18" ht="15.75" customHeight="1" x14ac:dyDescent="0.15"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9:18" ht="15.75" customHeight="1" x14ac:dyDescent="0.15"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9:18" ht="15.75" customHeight="1" x14ac:dyDescent="0.15"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9:18" ht="15.75" customHeight="1" x14ac:dyDescent="0.15"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9:18" ht="15.75" customHeight="1" x14ac:dyDescent="0.15"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9:18" ht="15.75" customHeight="1" x14ac:dyDescent="0.15"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9:18" ht="15.75" customHeight="1" x14ac:dyDescent="0.15"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9:18" ht="15.75" customHeight="1" x14ac:dyDescent="0.15"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9:18" ht="15.75" customHeight="1" x14ac:dyDescent="0.15"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9:18" ht="15.75" customHeight="1" x14ac:dyDescent="0.15"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9:18" ht="15.75" customHeight="1" x14ac:dyDescent="0.15"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9:18" ht="15.75" customHeight="1" x14ac:dyDescent="0.15"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9:18" ht="15.75" customHeight="1" x14ac:dyDescent="0.15"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9:18" ht="15.75" customHeight="1" x14ac:dyDescent="0.15"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9:18" ht="15.75" customHeight="1" x14ac:dyDescent="0.15"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9:18" ht="15.75" customHeight="1" x14ac:dyDescent="0.15"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9:18" ht="15.75" customHeight="1" x14ac:dyDescent="0.15"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9:18" ht="15.75" customHeight="1" x14ac:dyDescent="0.15"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9:18" ht="15.75" customHeight="1" x14ac:dyDescent="0.15"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9:18" ht="15.75" customHeight="1" x14ac:dyDescent="0.15"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9:18" ht="15.75" customHeight="1" x14ac:dyDescent="0.15"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9:18" ht="15.75" customHeight="1" x14ac:dyDescent="0.15"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9:18" ht="15.75" customHeight="1" x14ac:dyDescent="0.15"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9:18" ht="15.75" customHeight="1" x14ac:dyDescent="0.15"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9:18" ht="15.75" customHeight="1" x14ac:dyDescent="0.15"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9:18" ht="15.75" customHeight="1" x14ac:dyDescent="0.15"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9:18" ht="15.75" customHeight="1" x14ac:dyDescent="0.15"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9:18" ht="15.75" customHeight="1" x14ac:dyDescent="0.15"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9:18" ht="15.75" customHeight="1" x14ac:dyDescent="0.15"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9:18" ht="15.75" customHeight="1" x14ac:dyDescent="0.15"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9:18" ht="15.75" customHeight="1" x14ac:dyDescent="0.15"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9:18" ht="15.75" customHeight="1" x14ac:dyDescent="0.15"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9:18" ht="15.75" customHeight="1" x14ac:dyDescent="0.15"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9:18" ht="15.75" customHeight="1" x14ac:dyDescent="0.15"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9:18" ht="15.75" customHeight="1" x14ac:dyDescent="0.15"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9:18" ht="15.75" customHeight="1" x14ac:dyDescent="0.15"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9:18" ht="15.75" customHeight="1" x14ac:dyDescent="0.15"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9:18" ht="15.75" customHeight="1" x14ac:dyDescent="0.15"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9:18" ht="15.75" customHeight="1" x14ac:dyDescent="0.15"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9:18" ht="15.75" customHeight="1" x14ac:dyDescent="0.15"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9:18" ht="15.75" customHeight="1" x14ac:dyDescent="0.15"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9:18" ht="15.75" customHeight="1" x14ac:dyDescent="0.15"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9:18" ht="15.75" customHeight="1" x14ac:dyDescent="0.15"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9:18" ht="15.75" customHeight="1" x14ac:dyDescent="0.15"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9:18" ht="15.75" customHeight="1" x14ac:dyDescent="0.15"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9:18" ht="15.75" customHeight="1" x14ac:dyDescent="0.15"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9:18" ht="15.75" customHeight="1" x14ac:dyDescent="0.15"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9:18" ht="15.75" customHeight="1" x14ac:dyDescent="0.15"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9:18" ht="15.75" customHeight="1" x14ac:dyDescent="0.15"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9:18" ht="15.75" customHeight="1" x14ac:dyDescent="0.15"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9:18" ht="15.75" customHeight="1" x14ac:dyDescent="0.15"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9:18" ht="15.75" customHeight="1" x14ac:dyDescent="0.15"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9:18" ht="15.75" customHeight="1" x14ac:dyDescent="0.15"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9:18" ht="15.75" customHeight="1" x14ac:dyDescent="0.15"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9:18" ht="15.75" customHeight="1" x14ac:dyDescent="0.15"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9:18" ht="15.75" customHeight="1" x14ac:dyDescent="0.15"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9:18" ht="15.75" customHeight="1" x14ac:dyDescent="0.15"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9:18" ht="15.75" customHeight="1" x14ac:dyDescent="0.15"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9:18" ht="15.75" customHeight="1" x14ac:dyDescent="0.15"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9:18" ht="15.75" customHeight="1" x14ac:dyDescent="0.15"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9:18" ht="15.75" customHeight="1" x14ac:dyDescent="0.15"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9:18" ht="15.75" customHeight="1" x14ac:dyDescent="0.15"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9:18" ht="15.75" customHeight="1" x14ac:dyDescent="0.15"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9:18" ht="15.75" customHeight="1" x14ac:dyDescent="0.15"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9:18" ht="15.75" customHeight="1" x14ac:dyDescent="0.15"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9:18" ht="15.75" customHeight="1" x14ac:dyDescent="0.15"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9:18" ht="15.75" customHeight="1" x14ac:dyDescent="0.15"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9:18" ht="15.75" customHeight="1" x14ac:dyDescent="0.15"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9:18" ht="15.75" customHeight="1" x14ac:dyDescent="0.15"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9:18" ht="15.75" customHeight="1" x14ac:dyDescent="0.15"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9:18" ht="15.75" customHeight="1" x14ac:dyDescent="0.15"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9:18" ht="15.75" customHeight="1" x14ac:dyDescent="0.15"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9:18" ht="15.75" customHeight="1" x14ac:dyDescent="0.15"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9:18" ht="15.75" customHeight="1" x14ac:dyDescent="0.15"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9:18" ht="15.75" customHeight="1" x14ac:dyDescent="0.15"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9:18" ht="15.75" customHeight="1" x14ac:dyDescent="0.15"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9:18" ht="15.75" customHeight="1" x14ac:dyDescent="0.15"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9:18" ht="15.75" customHeight="1" x14ac:dyDescent="0.15"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9:18" ht="15.75" customHeight="1" x14ac:dyDescent="0.15"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9:18" ht="15.75" customHeight="1" x14ac:dyDescent="0.15"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9:18" ht="15.75" customHeight="1" x14ac:dyDescent="0.15"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9:18" ht="15.75" customHeight="1" x14ac:dyDescent="0.15"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9:18" ht="15.75" customHeight="1" x14ac:dyDescent="0.15"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9:18" ht="15.75" customHeight="1" x14ac:dyDescent="0.15"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9:18" ht="15.75" customHeight="1" x14ac:dyDescent="0.15"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9:18" ht="15.75" customHeight="1" x14ac:dyDescent="0.15"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9:18" ht="15.75" customHeight="1" x14ac:dyDescent="0.15"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9:18" ht="15.75" customHeight="1" x14ac:dyDescent="0.15"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9:18" ht="15.75" customHeight="1" x14ac:dyDescent="0.15"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9:18" ht="15.75" customHeight="1" x14ac:dyDescent="0.15"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9:18" ht="15.75" customHeight="1" x14ac:dyDescent="0.15"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9:18" ht="15.75" customHeight="1" x14ac:dyDescent="0.15"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9:18" ht="15.75" customHeight="1" x14ac:dyDescent="0.15"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9:18" ht="15.75" customHeight="1" x14ac:dyDescent="0.15"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9:18" ht="15.75" customHeight="1" x14ac:dyDescent="0.15"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9:18" ht="15.75" customHeight="1" x14ac:dyDescent="0.15"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9:18" ht="15.75" customHeight="1" x14ac:dyDescent="0.15"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9:18" ht="15.75" customHeight="1" x14ac:dyDescent="0.15"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9:18" ht="15.75" customHeight="1" x14ac:dyDescent="0.15"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9:18" ht="15.75" customHeight="1" x14ac:dyDescent="0.15"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9:18" ht="15.75" customHeight="1" x14ac:dyDescent="0.15"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9:18" ht="15.75" customHeight="1" x14ac:dyDescent="0.15"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9:18" ht="15.75" customHeight="1" x14ac:dyDescent="0.15"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9:18" ht="15.75" customHeight="1" x14ac:dyDescent="0.15"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9:18" ht="15.75" customHeight="1" x14ac:dyDescent="0.15"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9:18" ht="15.75" customHeight="1" x14ac:dyDescent="0.15"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9:18" ht="15.75" customHeight="1" x14ac:dyDescent="0.15"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9:18" ht="15.75" customHeight="1" x14ac:dyDescent="0.15"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9:18" ht="15.75" customHeight="1" x14ac:dyDescent="0.15"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9:18" ht="15.75" customHeight="1" x14ac:dyDescent="0.15"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9:18" ht="15.75" customHeight="1" x14ac:dyDescent="0.15"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9:18" ht="15.75" customHeight="1" x14ac:dyDescent="0.15"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9:18" ht="15.75" customHeight="1" x14ac:dyDescent="0.15"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9:18" ht="15.75" customHeight="1" x14ac:dyDescent="0.15"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9:18" ht="15.75" customHeight="1" x14ac:dyDescent="0.15"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9:18" ht="15.75" customHeight="1" x14ac:dyDescent="0.15"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9:18" ht="15.75" customHeight="1" x14ac:dyDescent="0.15"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9:18" ht="15.75" customHeight="1" x14ac:dyDescent="0.15"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9:18" ht="15.75" customHeight="1" x14ac:dyDescent="0.15"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9:18" ht="15.75" customHeight="1" x14ac:dyDescent="0.15"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9:18" ht="15.75" customHeight="1" x14ac:dyDescent="0.15"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9:18" ht="15.75" customHeight="1" x14ac:dyDescent="0.15"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9:18" ht="15.75" customHeight="1" x14ac:dyDescent="0.15"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9:18" ht="15.75" customHeight="1" x14ac:dyDescent="0.15"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9:18" ht="15.75" customHeight="1" x14ac:dyDescent="0.15"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9:18" ht="15.75" customHeight="1" x14ac:dyDescent="0.15"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9:18" ht="15.75" customHeight="1" x14ac:dyDescent="0.15"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9:18" ht="15.75" customHeight="1" x14ac:dyDescent="0.15"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9:18" ht="15.75" customHeight="1" x14ac:dyDescent="0.15"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9:18" ht="15.75" customHeight="1" x14ac:dyDescent="0.15"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9:18" ht="15.75" customHeight="1" x14ac:dyDescent="0.15"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9:18" ht="15.75" customHeight="1" x14ac:dyDescent="0.15"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9:18" ht="15.75" customHeight="1" x14ac:dyDescent="0.15"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9:18" ht="15.75" customHeight="1" x14ac:dyDescent="0.15"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9:18" ht="15.75" customHeight="1" x14ac:dyDescent="0.15"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9:18" ht="15.75" customHeight="1" x14ac:dyDescent="0.15"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9:18" ht="15.75" customHeight="1" x14ac:dyDescent="0.15"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9:18" ht="15.75" customHeight="1" x14ac:dyDescent="0.15"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9:18" ht="15.75" customHeight="1" x14ac:dyDescent="0.15"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9:18" ht="15.75" customHeight="1" x14ac:dyDescent="0.15"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9:18" ht="15.75" customHeight="1" x14ac:dyDescent="0.15"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9:18" ht="15.75" customHeight="1" x14ac:dyDescent="0.15"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9:18" ht="15.75" customHeight="1" x14ac:dyDescent="0.15"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9:18" ht="15.75" customHeight="1" x14ac:dyDescent="0.15"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9:18" ht="15.75" customHeight="1" x14ac:dyDescent="0.15"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9:18" ht="15.75" customHeight="1" x14ac:dyDescent="0.15"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9:18" ht="15.75" customHeight="1" x14ac:dyDescent="0.15"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9:18" ht="15.75" customHeight="1" x14ac:dyDescent="0.15"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9:18" ht="15.75" customHeight="1" x14ac:dyDescent="0.15"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9:18" ht="15.75" customHeight="1" x14ac:dyDescent="0.15"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9:18" ht="15.75" customHeight="1" x14ac:dyDescent="0.15"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9:18" ht="15.75" customHeight="1" x14ac:dyDescent="0.15"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9:18" ht="15.75" customHeight="1" x14ac:dyDescent="0.15"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9:18" ht="15.75" customHeight="1" x14ac:dyDescent="0.15"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9:18" ht="15.75" customHeight="1" x14ac:dyDescent="0.15"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9:18" ht="15.75" customHeight="1" x14ac:dyDescent="0.15"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9:18" ht="15.75" customHeight="1" x14ac:dyDescent="0.15"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9:18" ht="15.75" customHeight="1" x14ac:dyDescent="0.15"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9:18" ht="15.75" customHeight="1" x14ac:dyDescent="0.15"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9:18" ht="15.75" customHeight="1" x14ac:dyDescent="0.15"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9:18" ht="15.75" customHeight="1" x14ac:dyDescent="0.15"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9:18" ht="15.75" customHeight="1" x14ac:dyDescent="0.15"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9:18" ht="15.75" customHeight="1" x14ac:dyDescent="0.15"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9:18" ht="15.75" customHeight="1" x14ac:dyDescent="0.15"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9:18" ht="15.75" customHeight="1" x14ac:dyDescent="0.15"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9:18" ht="15.75" customHeight="1" x14ac:dyDescent="0.15"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9:18" ht="15.75" customHeight="1" x14ac:dyDescent="0.15"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9:18" ht="15.75" customHeight="1" x14ac:dyDescent="0.15"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9:18" ht="15.75" customHeight="1" x14ac:dyDescent="0.15"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9:18" ht="15.75" customHeight="1" x14ac:dyDescent="0.15"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9:18" ht="15.75" customHeight="1" x14ac:dyDescent="0.15"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9:18" ht="15.75" customHeight="1" x14ac:dyDescent="0.15"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9:18" ht="15.75" customHeight="1" x14ac:dyDescent="0.15"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9:18" ht="15.75" customHeight="1" x14ac:dyDescent="0.15"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9:18" ht="15.75" customHeight="1" x14ac:dyDescent="0.15"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9:18" ht="15.75" customHeight="1" x14ac:dyDescent="0.15"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9:18" ht="15.75" customHeight="1" x14ac:dyDescent="0.15"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9:18" ht="15.75" customHeight="1" x14ac:dyDescent="0.15"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9:18" ht="15.75" customHeight="1" x14ac:dyDescent="0.15"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9:18" ht="15.75" customHeight="1" x14ac:dyDescent="0.15"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9:18" ht="15.75" customHeight="1" x14ac:dyDescent="0.15"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9:18" ht="15.75" customHeight="1" x14ac:dyDescent="0.15"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9:18" ht="15.75" customHeight="1" x14ac:dyDescent="0.15"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9:18" ht="15.75" customHeight="1" x14ac:dyDescent="0.15"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9:18" ht="15.75" customHeight="1" x14ac:dyDescent="0.15"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9:18" ht="15.75" customHeight="1" x14ac:dyDescent="0.15"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9:18" ht="15.75" customHeight="1" x14ac:dyDescent="0.15"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9:18" ht="15.75" customHeight="1" x14ac:dyDescent="0.15"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9:18" ht="15.75" customHeight="1" x14ac:dyDescent="0.15"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9:18" ht="15.75" customHeight="1" x14ac:dyDescent="0.15"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9:18" ht="15.75" customHeight="1" x14ac:dyDescent="0.15"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9:18" ht="15.75" customHeight="1" x14ac:dyDescent="0.15"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9:18" ht="15.75" customHeight="1" x14ac:dyDescent="0.15"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9:18" ht="15.75" customHeight="1" x14ac:dyDescent="0.15"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9:18" ht="15.75" customHeight="1" x14ac:dyDescent="0.15"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9:18" ht="15.75" customHeight="1" x14ac:dyDescent="0.15"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9:18" ht="15.75" customHeight="1" x14ac:dyDescent="0.15"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9:18" ht="15.75" customHeight="1" x14ac:dyDescent="0.15"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9:18" ht="15.75" customHeight="1" x14ac:dyDescent="0.15"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9:18" ht="15.75" customHeight="1" x14ac:dyDescent="0.15"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9:18" ht="15.75" customHeight="1" x14ac:dyDescent="0.15"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9:18" ht="15.75" customHeight="1" x14ac:dyDescent="0.15"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9:18" ht="15.75" customHeight="1" x14ac:dyDescent="0.15"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9:18" ht="15.75" customHeight="1" x14ac:dyDescent="0.15"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9:18" ht="15.75" customHeight="1" x14ac:dyDescent="0.15"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9:18" ht="15.75" customHeight="1" x14ac:dyDescent="0.15"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9:18" ht="15.75" customHeight="1" x14ac:dyDescent="0.15"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9:18" ht="15.75" customHeight="1" x14ac:dyDescent="0.15"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9:18" ht="15.75" customHeight="1" x14ac:dyDescent="0.15"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9:18" ht="15.75" customHeight="1" x14ac:dyDescent="0.15"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9:18" ht="15.75" customHeight="1" x14ac:dyDescent="0.15"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9:18" ht="15.75" customHeight="1" x14ac:dyDescent="0.15"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9:18" ht="15.75" customHeight="1" x14ac:dyDescent="0.15"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9:18" ht="15.75" customHeight="1" x14ac:dyDescent="0.15"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9:18" ht="15.75" customHeight="1" x14ac:dyDescent="0.15"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9:18" ht="15.75" customHeight="1" x14ac:dyDescent="0.15"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9:18" ht="15.75" customHeight="1" x14ac:dyDescent="0.15"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9:18" ht="15.75" customHeight="1" x14ac:dyDescent="0.15"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9:18" ht="15.75" customHeight="1" x14ac:dyDescent="0.15"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9:18" ht="15.75" customHeight="1" x14ac:dyDescent="0.15"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9:18" ht="15.75" customHeight="1" x14ac:dyDescent="0.15"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9:18" ht="15.75" customHeight="1" x14ac:dyDescent="0.15"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9:18" ht="15.75" customHeight="1" x14ac:dyDescent="0.15"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9:18" ht="15.75" customHeight="1" x14ac:dyDescent="0.15"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9:18" ht="15.75" customHeight="1" x14ac:dyDescent="0.15"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9:18" ht="15.75" customHeight="1" x14ac:dyDescent="0.15"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9:18" ht="15.75" customHeight="1" x14ac:dyDescent="0.15"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9:18" ht="15.75" customHeight="1" x14ac:dyDescent="0.15"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9:18" ht="15.75" customHeight="1" x14ac:dyDescent="0.15"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9:18" ht="15.75" customHeight="1" x14ac:dyDescent="0.15"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9:18" ht="15.75" customHeight="1" x14ac:dyDescent="0.15"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9:18" ht="15.75" customHeight="1" x14ac:dyDescent="0.15"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9:18" ht="15.75" customHeight="1" x14ac:dyDescent="0.15"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9:18" ht="15.75" customHeight="1" x14ac:dyDescent="0.15"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9:18" ht="15.75" customHeight="1" x14ac:dyDescent="0.15"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9:18" ht="15.75" customHeight="1" x14ac:dyDescent="0.15"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9:18" ht="15.75" customHeight="1" x14ac:dyDescent="0.15"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9:18" ht="15.75" customHeight="1" x14ac:dyDescent="0.15"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9:18" ht="15.75" customHeight="1" x14ac:dyDescent="0.15"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9:18" ht="15.75" customHeight="1" x14ac:dyDescent="0.15"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9:18" ht="15.75" customHeight="1" x14ac:dyDescent="0.15"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9:18" ht="15.75" customHeight="1" x14ac:dyDescent="0.15"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9:18" ht="15.75" customHeight="1" x14ac:dyDescent="0.15"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9:18" ht="15.75" customHeight="1" x14ac:dyDescent="0.15"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9:18" ht="15.75" customHeight="1" x14ac:dyDescent="0.15"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9:18" ht="15.75" customHeight="1" x14ac:dyDescent="0.15"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9:18" ht="15.75" customHeight="1" x14ac:dyDescent="0.15"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9:18" ht="15.75" customHeight="1" x14ac:dyDescent="0.15"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9:18" ht="15.75" customHeight="1" x14ac:dyDescent="0.15"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9:18" ht="15.75" customHeight="1" x14ac:dyDescent="0.15"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9:18" ht="15.75" customHeight="1" x14ac:dyDescent="0.15"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9:18" ht="15.75" customHeight="1" x14ac:dyDescent="0.15"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9:18" ht="15.75" customHeight="1" x14ac:dyDescent="0.15"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9:18" ht="15.75" customHeight="1" x14ac:dyDescent="0.15"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9:18" ht="15.75" customHeight="1" x14ac:dyDescent="0.15">
      <c r="I850" s="2"/>
      <c r="J850" s="2"/>
      <c r="K850" s="2"/>
      <c r="L850" s="2"/>
      <c r="M850" s="2"/>
      <c r="N850" s="2"/>
      <c r="O850" s="2"/>
      <c r="P850" s="2"/>
      <c r="Q850" s="2"/>
      <c r="R850" s="2"/>
    </row>
    <row r="851" spans="9:18" ht="15.75" customHeight="1" x14ac:dyDescent="0.15">
      <c r="I851" s="2"/>
      <c r="J851" s="2"/>
      <c r="K851" s="2"/>
      <c r="L851" s="2"/>
      <c r="M851" s="2"/>
      <c r="N851" s="2"/>
      <c r="O851" s="2"/>
      <c r="P851" s="2"/>
      <c r="Q851" s="2"/>
      <c r="R851" s="2"/>
    </row>
    <row r="852" spans="9:18" ht="15.75" customHeight="1" x14ac:dyDescent="0.15"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9:18" ht="15.75" customHeight="1" x14ac:dyDescent="0.15"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9:18" ht="15.75" customHeight="1" x14ac:dyDescent="0.15"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9:18" ht="15.75" customHeight="1" x14ac:dyDescent="0.15"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9:18" ht="15.75" customHeight="1" x14ac:dyDescent="0.15"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9:18" ht="15.75" customHeight="1" x14ac:dyDescent="0.15"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9:18" ht="15.75" customHeight="1" x14ac:dyDescent="0.15"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9:18" ht="15.75" customHeight="1" x14ac:dyDescent="0.15"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9:18" ht="15.75" customHeight="1" x14ac:dyDescent="0.15"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9:18" ht="15.75" customHeight="1" x14ac:dyDescent="0.15"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9:18" ht="15.75" customHeight="1" x14ac:dyDescent="0.15"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9:18" ht="15.75" customHeight="1" x14ac:dyDescent="0.15"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9:18" ht="15.75" customHeight="1" x14ac:dyDescent="0.15"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9:18" ht="15.75" customHeight="1" x14ac:dyDescent="0.15"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9:18" ht="15.75" customHeight="1" x14ac:dyDescent="0.15">
      <c r="I866" s="2"/>
      <c r="J866" s="2"/>
      <c r="K866" s="2"/>
      <c r="L866" s="2"/>
      <c r="M866" s="2"/>
      <c r="N866" s="2"/>
      <c r="O866" s="2"/>
      <c r="P866" s="2"/>
      <c r="Q866" s="2"/>
      <c r="R866" s="2"/>
    </row>
    <row r="867" spans="9:18" ht="15.75" customHeight="1" x14ac:dyDescent="0.15">
      <c r="I867" s="2"/>
      <c r="J867" s="2"/>
      <c r="K867" s="2"/>
      <c r="L867" s="2"/>
      <c r="M867" s="2"/>
      <c r="N867" s="2"/>
      <c r="O867" s="2"/>
      <c r="P867" s="2"/>
      <c r="Q867" s="2"/>
      <c r="R867" s="2"/>
    </row>
    <row r="868" spans="9:18" ht="15.75" customHeight="1" x14ac:dyDescent="0.15">
      <c r="I868" s="2"/>
      <c r="J868" s="2"/>
      <c r="K868" s="2"/>
      <c r="L868" s="2"/>
      <c r="M868" s="2"/>
      <c r="N868" s="2"/>
      <c r="O868" s="2"/>
      <c r="P868" s="2"/>
      <c r="Q868" s="2"/>
      <c r="R868" s="2"/>
    </row>
    <row r="869" spans="9:18" ht="15.75" customHeight="1" x14ac:dyDescent="0.15">
      <c r="I869" s="2"/>
      <c r="J869" s="2"/>
      <c r="K869" s="2"/>
      <c r="L869" s="2"/>
      <c r="M869" s="2"/>
      <c r="N869" s="2"/>
      <c r="O869" s="2"/>
      <c r="P869" s="2"/>
      <c r="Q869" s="2"/>
      <c r="R869" s="2"/>
    </row>
    <row r="870" spans="9:18" ht="15.75" customHeight="1" x14ac:dyDescent="0.15">
      <c r="I870" s="2"/>
      <c r="J870" s="2"/>
      <c r="K870" s="2"/>
      <c r="L870" s="2"/>
      <c r="M870" s="2"/>
      <c r="N870" s="2"/>
      <c r="O870" s="2"/>
      <c r="P870" s="2"/>
      <c r="Q870" s="2"/>
      <c r="R870" s="2"/>
    </row>
    <row r="871" spans="9:18" ht="15.75" customHeight="1" x14ac:dyDescent="0.15">
      <c r="I871" s="2"/>
      <c r="J871" s="2"/>
      <c r="K871" s="2"/>
      <c r="L871" s="2"/>
      <c r="M871" s="2"/>
      <c r="N871" s="2"/>
      <c r="O871" s="2"/>
      <c r="P871" s="2"/>
      <c r="Q871" s="2"/>
      <c r="R871" s="2"/>
    </row>
    <row r="872" spans="9:18" ht="15.75" customHeight="1" x14ac:dyDescent="0.15">
      <c r="I872" s="2"/>
      <c r="J872" s="2"/>
      <c r="K872" s="2"/>
      <c r="L872" s="2"/>
      <c r="M872" s="2"/>
      <c r="N872" s="2"/>
      <c r="O872" s="2"/>
      <c r="P872" s="2"/>
      <c r="Q872" s="2"/>
      <c r="R872" s="2"/>
    </row>
    <row r="873" spans="9:18" ht="15.75" customHeight="1" x14ac:dyDescent="0.15">
      <c r="I873" s="2"/>
      <c r="J873" s="2"/>
      <c r="K873" s="2"/>
      <c r="L873" s="2"/>
      <c r="M873" s="2"/>
      <c r="N873" s="2"/>
      <c r="O873" s="2"/>
      <c r="P873" s="2"/>
      <c r="Q873" s="2"/>
      <c r="R873" s="2"/>
    </row>
    <row r="874" spans="9:18" ht="15.75" customHeight="1" x14ac:dyDescent="0.15">
      <c r="I874" s="2"/>
      <c r="J874" s="2"/>
      <c r="K874" s="2"/>
      <c r="L874" s="2"/>
      <c r="M874" s="2"/>
      <c r="N874" s="2"/>
      <c r="O874" s="2"/>
      <c r="P874" s="2"/>
      <c r="Q874" s="2"/>
      <c r="R874" s="2"/>
    </row>
    <row r="875" spans="9:18" ht="15.75" customHeight="1" x14ac:dyDescent="0.15">
      <c r="I875" s="2"/>
      <c r="J875" s="2"/>
      <c r="K875" s="2"/>
      <c r="L875" s="2"/>
      <c r="M875" s="2"/>
      <c r="N875" s="2"/>
      <c r="O875" s="2"/>
      <c r="P875" s="2"/>
      <c r="Q875" s="2"/>
      <c r="R875" s="2"/>
    </row>
    <row r="876" spans="9:18" ht="15.75" customHeight="1" x14ac:dyDescent="0.15"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9:18" ht="15.75" customHeight="1" x14ac:dyDescent="0.15"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9:18" ht="15.75" customHeight="1" x14ac:dyDescent="0.15"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9:18" ht="15.75" customHeight="1" x14ac:dyDescent="0.15"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9:18" ht="15.75" customHeight="1" x14ac:dyDescent="0.15"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9:18" ht="15.75" customHeight="1" x14ac:dyDescent="0.15"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9:18" ht="15.75" customHeight="1" x14ac:dyDescent="0.15"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9:18" ht="15.75" customHeight="1" x14ac:dyDescent="0.15"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9:18" ht="15.75" customHeight="1" x14ac:dyDescent="0.15"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9:18" ht="15.75" customHeight="1" x14ac:dyDescent="0.15"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9:18" ht="15.75" customHeight="1" x14ac:dyDescent="0.15"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9:18" ht="15.75" customHeight="1" x14ac:dyDescent="0.15"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9:18" ht="15.75" customHeight="1" x14ac:dyDescent="0.15"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9:18" ht="15.75" customHeight="1" x14ac:dyDescent="0.15"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9:18" ht="15.75" customHeight="1" x14ac:dyDescent="0.15">
      <c r="I890" s="2"/>
      <c r="J890" s="2"/>
      <c r="K890" s="2"/>
      <c r="L890" s="2"/>
      <c r="M890" s="2"/>
      <c r="N890" s="2"/>
      <c r="O890" s="2"/>
      <c r="P890" s="2"/>
      <c r="Q890" s="2"/>
      <c r="R890" s="2"/>
    </row>
    <row r="891" spans="9:18" ht="15.75" customHeight="1" x14ac:dyDescent="0.15">
      <c r="I891" s="2"/>
      <c r="J891" s="2"/>
      <c r="K891" s="2"/>
      <c r="L891" s="2"/>
      <c r="M891" s="2"/>
      <c r="N891" s="2"/>
      <c r="O891" s="2"/>
      <c r="P891" s="2"/>
      <c r="Q891" s="2"/>
      <c r="R891" s="2"/>
    </row>
    <row r="892" spans="9:18" ht="15.75" customHeight="1" x14ac:dyDescent="0.15">
      <c r="I892" s="2"/>
      <c r="J892" s="2"/>
      <c r="K892" s="2"/>
      <c r="L892" s="2"/>
      <c r="M892" s="2"/>
      <c r="N892" s="2"/>
      <c r="O892" s="2"/>
      <c r="P892" s="2"/>
      <c r="Q892" s="2"/>
      <c r="R892" s="2"/>
    </row>
    <row r="893" spans="9:18" ht="15.75" customHeight="1" x14ac:dyDescent="0.15">
      <c r="I893" s="2"/>
      <c r="J893" s="2"/>
      <c r="K893" s="2"/>
      <c r="L893" s="2"/>
      <c r="M893" s="2"/>
      <c r="N893" s="2"/>
      <c r="O893" s="2"/>
      <c r="P893" s="2"/>
      <c r="Q893" s="2"/>
      <c r="R893" s="2"/>
    </row>
    <row r="894" spans="9:18" ht="15.75" customHeight="1" x14ac:dyDescent="0.15">
      <c r="I894" s="2"/>
      <c r="J894" s="2"/>
      <c r="K894" s="2"/>
      <c r="L894" s="2"/>
      <c r="M894" s="2"/>
      <c r="N894" s="2"/>
      <c r="O894" s="2"/>
      <c r="P894" s="2"/>
      <c r="Q894" s="2"/>
      <c r="R894" s="2"/>
    </row>
    <row r="895" spans="9:18" ht="15.75" customHeight="1" x14ac:dyDescent="0.15">
      <c r="I895" s="2"/>
      <c r="J895" s="2"/>
      <c r="K895" s="2"/>
      <c r="L895" s="2"/>
      <c r="M895" s="2"/>
      <c r="N895" s="2"/>
      <c r="O895" s="2"/>
      <c r="P895" s="2"/>
      <c r="Q895" s="2"/>
      <c r="R895" s="2"/>
    </row>
    <row r="896" spans="9:18" ht="15.75" customHeight="1" x14ac:dyDescent="0.15">
      <c r="I896" s="2"/>
      <c r="J896" s="2"/>
      <c r="K896" s="2"/>
      <c r="L896" s="2"/>
      <c r="M896" s="2"/>
      <c r="N896" s="2"/>
      <c r="O896" s="2"/>
      <c r="P896" s="2"/>
      <c r="Q896" s="2"/>
      <c r="R896" s="2"/>
    </row>
    <row r="897" spans="9:18" ht="15.75" customHeight="1" x14ac:dyDescent="0.15">
      <c r="I897" s="2"/>
      <c r="J897" s="2"/>
      <c r="K897" s="2"/>
      <c r="L897" s="2"/>
      <c r="M897" s="2"/>
      <c r="N897" s="2"/>
      <c r="O897" s="2"/>
      <c r="P897" s="2"/>
      <c r="Q897" s="2"/>
      <c r="R897" s="2"/>
    </row>
    <row r="898" spans="9:18" ht="15.75" customHeight="1" x14ac:dyDescent="0.15">
      <c r="I898" s="2"/>
      <c r="J898" s="2"/>
      <c r="K898" s="2"/>
      <c r="L898" s="2"/>
      <c r="M898" s="2"/>
      <c r="N898" s="2"/>
      <c r="O898" s="2"/>
      <c r="P898" s="2"/>
      <c r="Q898" s="2"/>
      <c r="R898" s="2"/>
    </row>
    <row r="899" spans="9:18" ht="15.75" customHeight="1" x14ac:dyDescent="0.15">
      <c r="I899" s="2"/>
      <c r="J899" s="2"/>
      <c r="K899" s="2"/>
      <c r="L899" s="2"/>
      <c r="M899" s="2"/>
      <c r="N899" s="2"/>
      <c r="O899" s="2"/>
      <c r="P899" s="2"/>
      <c r="Q899" s="2"/>
      <c r="R899" s="2"/>
    </row>
    <row r="900" spans="9:18" ht="15.75" customHeight="1" x14ac:dyDescent="0.15"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9:18" ht="15.75" customHeight="1" x14ac:dyDescent="0.15"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9:18" ht="15.75" customHeight="1" x14ac:dyDescent="0.15"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9:18" ht="15.75" customHeight="1" x14ac:dyDescent="0.15"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9:18" ht="15.75" customHeight="1" x14ac:dyDescent="0.15"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9:18" ht="15.75" customHeight="1" x14ac:dyDescent="0.15"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9:18" ht="15.75" customHeight="1" x14ac:dyDescent="0.15"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9:18" ht="15.75" customHeight="1" x14ac:dyDescent="0.15"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9:18" ht="15.75" customHeight="1" x14ac:dyDescent="0.15"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9:18" ht="15.75" customHeight="1" x14ac:dyDescent="0.15"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9:18" ht="15.75" customHeight="1" x14ac:dyDescent="0.15"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9:18" ht="15.75" customHeight="1" x14ac:dyDescent="0.15"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9:18" ht="15.75" customHeight="1" x14ac:dyDescent="0.15"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9:18" ht="15.75" customHeight="1" x14ac:dyDescent="0.15"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9:18" ht="15.75" customHeight="1" x14ac:dyDescent="0.15">
      <c r="I914" s="2"/>
      <c r="J914" s="2"/>
      <c r="K914" s="2"/>
      <c r="L914" s="2"/>
      <c r="M914" s="2"/>
      <c r="N914" s="2"/>
      <c r="O914" s="2"/>
      <c r="P914" s="2"/>
      <c r="Q914" s="2"/>
      <c r="R914" s="2"/>
    </row>
    <row r="915" spans="9:18" ht="15.75" customHeight="1" x14ac:dyDescent="0.15">
      <c r="I915" s="2"/>
      <c r="J915" s="2"/>
      <c r="K915" s="2"/>
      <c r="L915" s="2"/>
      <c r="M915" s="2"/>
      <c r="N915" s="2"/>
      <c r="O915" s="2"/>
      <c r="P915" s="2"/>
      <c r="Q915" s="2"/>
      <c r="R915" s="2"/>
    </row>
    <row r="916" spans="9:18" ht="15.75" customHeight="1" x14ac:dyDescent="0.15">
      <c r="I916" s="2"/>
      <c r="J916" s="2"/>
      <c r="K916" s="2"/>
      <c r="L916" s="2"/>
      <c r="M916" s="2"/>
      <c r="N916" s="2"/>
      <c r="O916" s="2"/>
      <c r="P916" s="2"/>
      <c r="Q916" s="2"/>
      <c r="R916" s="2"/>
    </row>
    <row r="917" spans="9:18" ht="15.75" customHeight="1" x14ac:dyDescent="0.15">
      <c r="I917" s="2"/>
      <c r="J917" s="2"/>
      <c r="K917" s="2"/>
      <c r="L917" s="2"/>
      <c r="M917" s="2"/>
      <c r="N917" s="2"/>
      <c r="O917" s="2"/>
      <c r="P917" s="2"/>
      <c r="Q917" s="2"/>
      <c r="R917" s="2"/>
    </row>
    <row r="918" spans="9:18" ht="15.75" customHeight="1" x14ac:dyDescent="0.15">
      <c r="I918" s="2"/>
      <c r="J918" s="2"/>
      <c r="K918" s="2"/>
      <c r="L918" s="2"/>
      <c r="M918" s="2"/>
      <c r="N918" s="2"/>
      <c r="O918" s="2"/>
      <c r="P918" s="2"/>
      <c r="Q918" s="2"/>
      <c r="R918" s="2"/>
    </row>
    <row r="919" spans="9:18" ht="15.75" customHeight="1" x14ac:dyDescent="0.15">
      <c r="I919" s="2"/>
      <c r="J919" s="2"/>
      <c r="K919" s="2"/>
      <c r="L919" s="2"/>
      <c r="M919" s="2"/>
      <c r="N919" s="2"/>
      <c r="O919" s="2"/>
      <c r="P919" s="2"/>
      <c r="Q919" s="2"/>
      <c r="R919" s="2"/>
    </row>
    <row r="920" spans="9:18" ht="15.75" customHeight="1" x14ac:dyDescent="0.15">
      <c r="I920" s="2"/>
      <c r="J920" s="2"/>
      <c r="K920" s="2"/>
      <c r="L920" s="2"/>
      <c r="M920" s="2"/>
      <c r="N920" s="2"/>
      <c r="O920" s="2"/>
      <c r="P920" s="2"/>
      <c r="Q920" s="2"/>
      <c r="R920" s="2"/>
    </row>
    <row r="921" spans="9:18" ht="15.75" customHeight="1" x14ac:dyDescent="0.15">
      <c r="I921" s="2"/>
      <c r="J921" s="2"/>
      <c r="K921" s="2"/>
      <c r="L921" s="2"/>
      <c r="M921" s="2"/>
      <c r="N921" s="2"/>
      <c r="O921" s="2"/>
      <c r="P921" s="2"/>
      <c r="Q921" s="2"/>
      <c r="R921" s="2"/>
    </row>
    <row r="922" spans="9:18" ht="15.75" customHeight="1" x14ac:dyDescent="0.15">
      <c r="I922" s="2"/>
      <c r="J922" s="2"/>
      <c r="K922" s="2"/>
      <c r="L922" s="2"/>
      <c r="M922" s="2"/>
      <c r="N922" s="2"/>
      <c r="O922" s="2"/>
      <c r="P922" s="2"/>
      <c r="Q922" s="2"/>
      <c r="R922" s="2"/>
    </row>
    <row r="923" spans="9:18" ht="15.75" customHeight="1" x14ac:dyDescent="0.15">
      <c r="I923" s="2"/>
      <c r="J923" s="2"/>
      <c r="K923" s="2"/>
      <c r="L923" s="2"/>
      <c r="M923" s="2"/>
      <c r="N923" s="2"/>
      <c r="O923" s="2"/>
      <c r="P923" s="2"/>
      <c r="Q923" s="2"/>
      <c r="R923" s="2"/>
    </row>
    <row r="924" spans="9:18" ht="15.75" customHeight="1" x14ac:dyDescent="0.15"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9:18" ht="15.75" customHeight="1" x14ac:dyDescent="0.15"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9:18" ht="15.75" customHeight="1" x14ac:dyDescent="0.15"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9:18" ht="15.75" customHeight="1" x14ac:dyDescent="0.15"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9:18" ht="15.75" customHeight="1" x14ac:dyDescent="0.15"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9:18" ht="15.75" customHeight="1" x14ac:dyDescent="0.15"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9:18" ht="15.75" customHeight="1" x14ac:dyDescent="0.15"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9:18" ht="15.75" customHeight="1" x14ac:dyDescent="0.15"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9:18" ht="15.75" customHeight="1" x14ac:dyDescent="0.15"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9:18" ht="15.75" customHeight="1" x14ac:dyDescent="0.15"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9:18" ht="15.75" customHeight="1" x14ac:dyDescent="0.15"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9:18" ht="15.75" customHeight="1" x14ac:dyDescent="0.15"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9:18" ht="15.75" customHeight="1" x14ac:dyDescent="0.15"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9:18" ht="15.75" customHeight="1" x14ac:dyDescent="0.15"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9:18" ht="15.75" customHeight="1" x14ac:dyDescent="0.15">
      <c r="I938" s="2"/>
      <c r="J938" s="2"/>
      <c r="K938" s="2"/>
      <c r="L938" s="2"/>
      <c r="M938" s="2"/>
      <c r="N938" s="2"/>
      <c r="O938" s="2"/>
      <c r="P938" s="2"/>
      <c r="Q938" s="2"/>
      <c r="R938" s="2"/>
    </row>
    <row r="939" spans="9:18" ht="15.75" customHeight="1" x14ac:dyDescent="0.15">
      <c r="I939" s="2"/>
      <c r="J939" s="2"/>
      <c r="K939" s="2"/>
      <c r="L939" s="2"/>
      <c r="M939" s="2"/>
      <c r="N939" s="2"/>
      <c r="O939" s="2"/>
      <c r="P939" s="2"/>
      <c r="Q939" s="2"/>
      <c r="R939" s="2"/>
    </row>
    <row r="940" spans="9:18" ht="15.75" customHeight="1" x14ac:dyDescent="0.15">
      <c r="I940" s="2"/>
      <c r="J940" s="2"/>
      <c r="K940" s="2"/>
      <c r="L940" s="2"/>
      <c r="M940" s="2"/>
      <c r="N940" s="2"/>
      <c r="O940" s="2"/>
      <c r="P940" s="2"/>
      <c r="Q940" s="2"/>
      <c r="R940" s="2"/>
    </row>
    <row r="941" spans="9:18" ht="15.75" customHeight="1" x14ac:dyDescent="0.15">
      <c r="I941" s="2"/>
      <c r="J941" s="2"/>
      <c r="K941" s="2"/>
      <c r="L941" s="2"/>
      <c r="M941" s="2"/>
      <c r="N941" s="2"/>
      <c r="O941" s="2"/>
      <c r="P941" s="2"/>
      <c r="Q941" s="2"/>
      <c r="R941" s="2"/>
    </row>
    <row r="942" spans="9:18" ht="15.75" customHeight="1" x14ac:dyDescent="0.15">
      <c r="I942" s="2"/>
      <c r="J942" s="2"/>
      <c r="K942" s="2"/>
      <c r="L942" s="2"/>
      <c r="M942" s="2"/>
      <c r="N942" s="2"/>
      <c r="O942" s="2"/>
      <c r="P942" s="2"/>
      <c r="Q942" s="2"/>
      <c r="R942" s="2"/>
    </row>
    <row r="943" spans="9:18" ht="15.75" customHeight="1" x14ac:dyDescent="0.15">
      <c r="I943" s="2"/>
      <c r="J943" s="2"/>
      <c r="K943" s="2"/>
      <c r="L943" s="2"/>
      <c r="M943" s="2"/>
      <c r="N943" s="2"/>
      <c r="O943" s="2"/>
      <c r="P943" s="2"/>
      <c r="Q943" s="2"/>
      <c r="R943" s="2"/>
    </row>
    <row r="944" spans="9:18" ht="15.75" customHeight="1" x14ac:dyDescent="0.15">
      <c r="I944" s="2"/>
      <c r="J944" s="2"/>
      <c r="K944" s="2"/>
      <c r="L944" s="2"/>
      <c r="M944" s="2"/>
      <c r="N944" s="2"/>
      <c r="O944" s="2"/>
      <c r="P944" s="2"/>
      <c r="Q944" s="2"/>
      <c r="R944" s="2"/>
    </row>
    <row r="945" spans="9:18" ht="15.75" customHeight="1" x14ac:dyDescent="0.15">
      <c r="I945" s="2"/>
      <c r="J945" s="2"/>
      <c r="K945" s="2"/>
      <c r="L945" s="2"/>
      <c r="M945" s="2"/>
      <c r="N945" s="2"/>
      <c r="O945" s="2"/>
      <c r="P945" s="2"/>
      <c r="Q945" s="2"/>
      <c r="R945" s="2"/>
    </row>
    <row r="946" spans="9:18" ht="15.75" customHeight="1" x14ac:dyDescent="0.15">
      <c r="I946" s="2"/>
      <c r="J946" s="2"/>
      <c r="K946" s="2"/>
      <c r="L946" s="2"/>
      <c r="M946" s="2"/>
      <c r="N946" s="2"/>
      <c r="O946" s="2"/>
      <c r="P946" s="2"/>
      <c r="Q946" s="2"/>
      <c r="R946" s="2"/>
    </row>
    <row r="947" spans="9:18" ht="15.75" customHeight="1" x14ac:dyDescent="0.15">
      <c r="I947" s="2"/>
      <c r="J947" s="2"/>
      <c r="K947" s="2"/>
      <c r="L947" s="2"/>
      <c r="M947" s="2"/>
      <c r="N947" s="2"/>
      <c r="O947" s="2"/>
      <c r="P947" s="2"/>
      <c r="Q947" s="2"/>
      <c r="R947" s="2"/>
    </row>
    <row r="948" spans="9:18" ht="15.75" customHeight="1" x14ac:dyDescent="0.15"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9:18" ht="15.75" customHeight="1" x14ac:dyDescent="0.15"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9:18" ht="15.75" customHeight="1" x14ac:dyDescent="0.15"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9:18" ht="15.75" customHeight="1" x14ac:dyDescent="0.15"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9:18" ht="15.75" customHeight="1" x14ac:dyDescent="0.15"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9:18" ht="15.75" customHeight="1" x14ac:dyDescent="0.15"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9:18" ht="15.75" customHeight="1" x14ac:dyDescent="0.15"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9:18" ht="15.75" customHeight="1" x14ac:dyDescent="0.15"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9:18" ht="15.75" customHeight="1" x14ac:dyDescent="0.15"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9:18" ht="15.75" customHeight="1" x14ac:dyDescent="0.15"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9:18" ht="15.75" customHeight="1" x14ac:dyDescent="0.15"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9:18" ht="15.75" customHeight="1" x14ac:dyDescent="0.15"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9:18" ht="15.75" customHeight="1" x14ac:dyDescent="0.15"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9:18" ht="15.75" customHeight="1" x14ac:dyDescent="0.15"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9:18" ht="15.75" customHeight="1" x14ac:dyDescent="0.15">
      <c r="I962" s="2"/>
      <c r="J962" s="2"/>
      <c r="K962" s="2"/>
      <c r="L962" s="2"/>
      <c r="M962" s="2"/>
      <c r="N962" s="2"/>
      <c r="O962" s="2"/>
      <c r="P962" s="2"/>
      <c r="Q962" s="2"/>
      <c r="R962" s="2"/>
    </row>
    <row r="963" spans="9:18" ht="15.75" customHeight="1" x14ac:dyDescent="0.15">
      <c r="I963" s="2"/>
      <c r="J963" s="2"/>
      <c r="K963" s="2"/>
      <c r="L963" s="2"/>
      <c r="M963" s="2"/>
      <c r="N963" s="2"/>
      <c r="O963" s="2"/>
      <c r="P963" s="2"/>
      <c r="Q963" s="2"/>
      <c r="R963" s="2"/>
    </row>
    <row r="964" spans="9:18" ht="15.75" customHeight="1" x14ac:dyDescent="0.15">
      <c r="I964" s="2"/>
      <c r="J964" s="2"/>
      <c r="K964" s="2"/>
      <c r="L964" s="2"/>
      <c r="M964" s="2"/>
      <c r="N964" s="2"/>
      <c r="O964" s="2"/>
      <c r="P964" s="2"/>
      <c r="Q964" s="2"/>
      <c r="R964" s="2"/>
    </row>
    <row r="965" spans="9:18" ht="15.75" customHeight="1" x14ac:dyDescent="0.15">
      <c r="I965" s="2"/>
      <c r="J965" s="2"/>
      <c r="K965" s="2"/>
      <c r="L965" s="2"/>
      <c r="M965" s="2"/>
      <c r="N965" s="2"/>
      <c r="O965" s="2"/>
      <c r="P965" s="2"/>
      <c r="Q965" s="2"/>
      <c r="R965" s="2"/>
    </row>
    <row r="966" spans="9:18" ht="15.75" customHeight="1" x14ac:dyDescent="0.15">
      <c r="I966" s="2"/>
      <c r="J966" s="2"/>
      <c r="K966" s="2"/>
      <c r="L966" s="2"/>
      <c r="M966" s="2"/>
      <c r="N966" s="2"/>
      <c r="O966" s="2"/>
      <c r="P966" s="2"/>
      <c r="Q966" s="2"/>
      <c r="R966" s="2"/>
    </row>
    <row r="967" spans="9:18" ht="15.75" customHeight="1" x14ac:dyDescent="0.15">
      <c r="I967" s="2"/>
      <c r="J967" s="2"/>
      <c r="K967" s="2"/>
      <c r="L967" s="2"/>
      <c r="M967" s="2"/>
      <c r="N967" s="2"/>
      <c r="O967" s="2"/>
      <c r="P967" s="2"/>
      <c r="Q967" s="2"/>
      <c r="R967" s="2"/>
    </row>
    <row r="968" spans="9:18" ht="15.75" customHeight="1" x14ac:dyDescent="0.15">
      <c r="I968" s="2"/>
      <c r="J968" s="2"/>
      <c r="K968" s="2"/>
      <c r="L968" s="2"/>
      <c r="M968" s="2"/>
      <c r="N968" s="2"/>
      <c r="O968" s="2"/>
      <c r="P968" s="2"/>
      <c r="Q968" s="2"/>
      <c r="R968" s="2"/>
    </row>
    <row r="969" spans="9:18" ht="15.75" customHeight="1" x14ac:dyDescent="0.15">
      <c r="I969" s="2"/>
      <c r="J969" s="2"/>
      <c r="K969" s="2"/>
      <c r="L969" s="2"/>
      <c r="M969" s="2"/>
      <c r="N969" s="2"/>
      <c r="O969" s="2"/>
      <c r="P969" s="2"/>
      <c r="Q969" s="2"/>
      <c r="R969" s="2"/>
    </row>
    <row r="970" spans="9:18" ht="15.75" customHeight="1" x14ac:dyDescent="0.15">
      <c r="I970" s="2"/>
      <c r="J970" s="2"/>
      <c r="K970" s="2"/>
      <c r="L970" s="2"/>
      <c r="M970" s="2"/>
      <c r="N970" s="2"/>
      <c r="O970" s="2"/>
      <c r="P970" s="2"/>
      <c r="Q970" s="2"/>
      <c r="R970" s="2"/>
    </row>
    <row r="971" spans="9:18" ht="15.75" customHeight="1" x14ac:dyDescent="0.15">
      <c r="I971" s="2"/>
      <c r="J971" s="2"/>
      <c r="K971" s="2"/>
      <c r="L971" s="2"/>
      <c r="M971" s="2"/>
      <c r="N971" s="2"/>
      <c r="O971" s="2"/>
      <c r="P971" s="2"/>
      <c r="Q971" s="2"/>
      <c r="R971" s="2"/>
    </row>
    <row r="972" spans="9:18" ht="15.75" customHeight="1" x14ac:dyDescent="0.15"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9:18" ht="15.75" customHeight="1" x14ac:dyDescent="0.15"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9:18" ht="15.75" customHeight="1" x14ac:dyDescent="0.15"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9:18" ht="15.75" customHeight="1" x14ac:dyDescent="0.15"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9:18" ht="15.75" customHeight="1" x14ac:dyDescent="0.15"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9:18" ht="15.75" customHeight="1" x14ac:dyDescent="0.15"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9:18" ht="15.75" customHeight="1" x14ac:dyDescent="0.15"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9:18" ht="15.75" customHeight="1" x14ac:dyDescent="0.15"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9:18" ht="15.75" customHeight="1" x14ac:dyDescent="0.15"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9:18" ht="15.75" customHeight="1" x14ac:dyDescent="0.15"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9:18" ht="15.75" customHeight="1" x14ac:dyDescent="0.15"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9:18" ht="15.75" customHeight="1" x14ac:dyDescent="0.15"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9:18" ht="15.75" customHeight="1" x14ac:dyDescent="0.15"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9:18" ht="15.75" customHeight="1" x14ac:dyDescent="0.15"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9:18" ht="15.75" customHeight="1" x14ac:dyDescent="0.15"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9:18" ht="15.75" customHeight="1" x14ac:dyDescent="0.15"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9:18" ht="15.75" customHeight="1" x14ac:dyDescent="0.15"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9:18" ht="15.75" customHeight="1" x14ac:dyDescent="0.15"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9:18" ht="15.75" customHeight="1" x14ac:dyDescent="0.15"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9:18" ht="15.75" customHeight="1" x14ac:dyDescent="0.15"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9:18" ht="15.75" customHeight="1" x14ac:dyDescent="0.15"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9:18" ht="15.75" customHeight="1" x14ac:dyDescent="0.15"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9:18" ht="15.75" customHeight="1" x14ac:dyDescent="0.15"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9:18" ht="15.75" customHeight="1" x14ac:dyDescent="0.15"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9:18" ht="15.75" customHeight="1" x14ac:dyDescent="0.15"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9:18" ht="15.75" customHeight="1" x14ac:dyDescent="0.15"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9:18" ht="15.75" customHeight="1" x14ac:dyDescent="0.15">
      <c r="I998" s="2"/>
      <c r="J998" s="2"/>
      <c r="K998" s="2"/>
      <c r="L998" s="2"/>
      <c r="M998" s="2"/>
      <c r="N998" s="2"/>
      <c r="O998" s="2"/>
      <c r="P998" s="2"/>
      <c r="Q998" s="2"/>
      <c r="R998" s="2"/>
    </row>
  </sheetData>
  <mergeCells count="11">
    <mergeCell ref="V2:W2"/>
    <mergeCell ref="V3:W3"/>
    <mergeCell ref="D4:D5"/>
    <mergeCell ref="E4:E5"/>
    <mergeCell ref="F4:F5"/>
    <mergeCell ref="G4:G5"/>
    <mergeCell ref="H4:H5"/>
    <mergeCell ref="J20:N20"/>
    <mergeCell ref="O20:S20"/>
    <mergeCell ref="J2:N2"/>
    <mergeCell ref="O2:S2"/>
  </mergeCells>
  <pageMargins left="0.7" right="0.7" top="0.75" bottom="0.75" header="0" footer="0"/>
  <pageSetup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AA1259"/>
  <sheetViews>
    <sheetView topLeftCell="E1" workbookViewId="0"/>
  </sheetViews>
  <sheetFormatPr baseColWidth="10" defaultColWidth="12.6640625" defaultRowHeight="15" customHeight="1" x14ac:dyDescent="0.15"/>
  <cols>
    <col min="1" max="1" width="9.6640625" customWidth="1"/>
    <col min="2" max="3" width="8.6640625" customWidth="1"/>
    <col min="4" max="4" width="11.1640625" customWidth="1"/>
    <col min="5" max="5" width="12.1640625" customWidth="1"/>
    <col min="6" max="7" width="8.6640625" customWidth="1"/>
    <col min="8" max="8" width="18.33203125" customWidth="1"/>
    <col min="9" max="9" width="8.6640625" customWidth="1"/>
    <col min="10" max="10" width="23.1640625" customWidth="1"/>
    <col min="11" max="12" width="8.6640625" customWidth="1"/>
    <col min="13" max="13" width="17" customWidth="1"/>
    <col min="14" max="14" width="38.83203125" customWidth="1"/>
    <col min="15" max="15" width="15.6640625" customWidth="1"/>
    <col min="16" max="16" width="18.83203125" customWidth="1"/>
    <col min="17" max="17" width="10.33203125" customWidth="1"/>
    <col min="18" max="18" width="11.1640625" customWidth="1"/>
    <col min="19" max="27" width="8.6640625" customWidth="1"/>
  </cols>
  <sheetData>
    <row r="1" spans="1:27" ht="14.25" customHeight="1" x14ac:dyDescent="0.2">
      <c r="A1" s="313" t="s">
        <v>443</v>
      </c>
      <c r="B1" s="313" t="s">
        <v>444</v>
      </c>
      <c r="C1" s="313" t="s">
        <v>445</v>
      </c>
      <c r="D1" s="345" t="s">
        <v>446</v>
      </c>
      <c r="E1" s="345" t="s">
        <v>447</v>
      </c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</row>
    <row r="2" spans="1:27" ht="14.25" customHeight="1" x14ac:dyDescent="0.2">
      <c r="A2" s="346">
        <v>42604</v>
      </c>
      <c r="B2" s="313">
        <v>218.529999</v>
      </c>
      <c r="C2" s="313">
        <v>114.620003</v>
      </c>
      <c r="D2" s="345"/>
      <c r="E2" s="345"/>
      <c r="F2" s="313"/>
      <c r="G2" s="313" t="s">
        <v>448</v>
      </c>
      <c r="H2" s="313">
        <f>_xlfn.COVARIANCE.P(D3:D1259,E3:E1259)/_xlfn.VAR.P(D3:D1259)</f>
        <v>0.79163216325981567</v>
      </c>
      <c r="I2" s="313"/>
      <c r="J2" s="347" t="s">
        <v>449</v>
      </c>
      <c r="K2" s="347"/>
      <c r="L2" s="313"/>
      <c r="M2" s="313"/>
      <c r="N2" s="347" t="s">
        <v>449</v>
      </c>
      <c r="O2" s="348"/>
      <c r="P2" s="348"/>
      <c r="Q2" s="349"/>
      <c r="R2" s="313"/>
      <c r="S2" s="313"/>
      <c r="T2" s="313"/>
      <c r="U2" s="313"/>
      <c r="V2" s="313"/>
      <c r="W2" s="313"/>
      <c r="X2" s="313"/>
      <c r="Y2" s="313"/>
      <c r="Z2" s="313"/>
      <c r="AA2" s="313"/>
    </row>
    <row r="3" spans="1:27" ht="14.25" customHeight="1" x14ac:dyDescent="0.2">
      <c r="A3" s="346">
        <v>42605</v>
      </c>
      <c r="B3" s="313">
        <v>218.970001</v>
      </c>
      <c r="C3" s="313">
        <v>115.220001</v>
      </c>
      <c r="D3" s="345">
        <f t="shared" ref="D3:E3" si="0">B3/B2-1</f>
        <v>2.013462691682788E-3</v>
      </c>
      <c r="E3" s="345">
        <f t="shared" si="0"/>
        <v>5.2346709500610267E-3</v>
      </c>
      <c r="F3" s="313"/>
      <c r="G3" s="313"/>
      <c r="H3" s="313"/>
      <c r="I3" s="313"/>
      <c r="J3" s="347" t="s">
        <v>450</v>
      </c>
      <c r="K3" s="347"/>
      <c r="L3" s="313"/>
      <c r="M3" s="313"/>
      <c r="N3" s="350" t="s">
        <v>451</v>
      </c>
      <c r="O3" s="347"/>
      <c r="P3" s="347"/>
      <c r="Q3" s="351"/>
      <c r="R3" s="313"/>
      <c r="S3" s="313"/>
      <c r="T3" s="313"/>
      <c r="U3" s="313"/>
      <c r="V3" s="313"/>
      <c r="W3" s="313"/>
      <c r="X3" s="313"/>
      <c r="Y3" s="313"/>
      <c r="Z3" s="313"/>
      <c r="AA3" s="313"/>
    </row>
    <row r="4" spans="1:27" ht="14.25" customHeight="1" x14ac:dyDescent="0.2">
      <c r="A4" s="346">
        <v>42606</v>
      </c>
      <c r="B4" s="313">
        <v>217.85000600000001</v>
      </c>
      <c r="C4" s="313">
        <v>114.57</v>
      </c>
      <c r="D4" s="345">
        <f t="shared" ref="D4:E4" si="1">B4/B3-1</f>
        <v>-5.1148330587986734E-3</v>
      </c>
      <c r="E4" s="345">
        <f t="shared" si="1"/>
        <v>-5.6413903346520522E-3</v>
      </c>
      <c r="F4" s="313"/>
      <c r="G4" s="313"/>
      <c r="H4" s="313"/>
      <c r="I4" s="313"/>
      <c r="J4" s="352" t="s">
        <v>452</v>
      </c>
      <c r="K4" s="353">
        <f>H2</f>
        <v>0.79163216325981567</v>
      </c>
      <c r="L4" s="313"/>
      <c r="M4" s="313"/>
      <c r="N4" s="350" t="s">
        <v>453</v>
      </c>
      <c r="O4" s="347" t="s">
        <v>454</v>
      </c>
      <c r="P4" s="347" t="s">
        <v>455</v>
      </c>
      <c r="Q4" s="351" t="s">
        <v>456</v>
      </c>
      <c r="R4" s="313"/>
      <c r="S4" s="313"/>
      <c r="T4" s="313"/>
      <c r="U4" s="313"/>
      <c r="V4" s="313"/>
      <c r="W4" s="313"/>
      <c r="X4" s="313"/>
      <c r="Y4" s="313"/>
      <c r="Z4" s="313"/>
      <c r="AA4" s="313"/>
    </row>
    <row r="5" spans="1:27" ht="14.25" customHeight="1" x14ac:dyDescent="0.2">
      <c r="A5" s="346">
        <v>42607</v>
      </c>
      <c r="B5" s="313">
        <v>217.699997</v>
      </c>
      <c r="C5" s="313">
        <v>114.25</v>
      </c>
      <c r="D5" s="345">
        <f t="shared" ref="D5:E5" si="2">B5/B4-1</f>
        <v>-6.8858845934582913E-4</v>
      </c>
      <c r="E5" s="345">
        <f t="shared" si="2"/>
        <v>-2.7930522824473059E-3</v>
      </c>
      <c r="F5" s="313"/>
      <c r="G5" s="313"/>
      <c r="H5" s="313"/>
      <c r="I5" s="313"/>
      <c r="J5" s="352"/>
      <c r="K5" s="352"/>
      <c r="L5" s="313"/>
      <c r="M5" s="313"/>
      <c r="N5" s="354">
        <v>2012</v>
      </c>
      <c r="O5" s="355">
        <v>0.9</v>
      </c>
      <c r="P5" s="352"/>
      <c r="Q5" s="356"/>
      <c r="R5" s="313"/>
      <c r="S5" s="313"/>
      <c r="T5" s="313"/>
      <c r="U5" s="313"/>
      <c r="V5" s="313"/>
      <c r="W5" s="313"/>
      <c r="X5" s="313"/>
      <c r="Y5" s="313"/>
      <c r="Z5" s="313"/>
      <c r="AA5" s="313"/>
    </row>
    <row r="6" spans="1:27" ht="14.25" customHeight="1" x14ac:dyDescent="0.2">
      <c r="A6" s="346">
        <v>42608</v>
      </c>
      <c r="B6" s="313">
        <v>217.28999300000001</v>
      </c>
      <c r="C6" s="313">
        <v>113.230003</v>
      </c>
      <c r="D6" s="345">
        <f t="shared" ref="D6:E6" si="3">B6/B5-1</f>
        <v>-1.8833440774002064E-3</v>
      </c>
      <c r="E6" s="345">
        <f t="shared" si="3"/>
        <v>-8.9277636761487811E-3</v>
      </c>
      <c r="F6" s="313"/>
      <c r="G6" s="313"/>
      <c r="H6" s="313"/>
      <c r="I6" s="313"/>
      <c r="J6" s="352" t="s">
        <v>457</v>
      </c>
      <c r="K6" s="357">
        <v>0.08</v>
      </c>
      <c r="L6" s="313"/>
      <c r="M6" s="313"/>
      <c r="N6" s="354">
        <v>2013</v>
      </c>
      <c r="O6" s="355">
        <v>1.1000000000000001</v>
      </c>
      <c r="P6" s="355">
        <f t="shared" ref="P6:P14" si="4">O6-O5</f>
        <v>0.20000000000000007</v>
      </c>
      <c r="Q6" s="358">
        <f t="shared" ref="Q6:Q13" si="5">O6/O5-1</f>
        <v>0.22222222222222232</v>
      </c>
      <c r="R6" s="313"/>
      <c r="S6" s="313"/>
      <c r="T6" s="313"/>
      <c r="U6" s="313"/>
      <c r="V6" s="313"/>
      <c r="W6" s="313"/>
      <c r="X6" s="313"/>
      <c r="Y6" s="313"/>
      <c r="Z6" s="313"/>
      <c r="AA6" s="313"/>
    </row>
    <row r="7" spans="1:27" ht="14.25" customHeight="1" x14ac:dyDescent="0.2">
      <c r="A7" s="346">
        <v>42611</v>
      </c>
      <c r="B7" s="313">
        <v>218.36000100000001</v>
      </c>
      <c r="C7" s="313">
        <v>113.839996</v>
      </c>
      <c r="D7" s="345">
        <f t="shared" ref="D7:E7" si="6">B7/B6-1</f>
        <v>4.9243316971343543E-3</v>
      </c>
      <c r="E7" s="345">
        <f t="shared" si="6"/>
        <v>5.3872028953316775E-3</v>
      </c>
      <c r="F7" s="313"/>
      <c r="G7" s="313"/>
      <c r="H7" s="313"/>
      <c r="I7" s="313"/>
      <c r="J7" s="352" t="s">
        <v>458</v>
      </c>
      <c r="K7" s="357">
        <v>1.6199999999999999E-2</v>
      </c>
      <c r="L7" s="313"/>
      <c r="M7" s="313"/>
      <c r="N7" s="354">
        <v>2014</v>
      </c>
      <c r="O7" s="355">
        <v>1.4</v>
      </c>
      <c r="P7" s="355">
        <f t="shared" si="4"/>
        <v>0.29999999999999982</v>
      </c>
      <c r="Q7" s="358">
        <f t="shared" si="5"/>
        <v>0.27272727272727249</v>
      </c>
      <c r="R7" s="313"/>
      <c r="S7" s="313"/>
      <c r="T7" s="313"/>
      <c r="U7" s="313"/>
      <c r="V7" s="313"/>
      <c r="W7" s="313"/>
      <c r="X7" s="313"/>
      <c r="Y7" s="313"/>
      <c r="Z7" s="313"/>
      <c r="AA7" s="313"/>
    </row>
    <row r="8" spans="1:27" ht="14.25" customHeight="1" x14ac:dyDescent="0.2">
      <c r="A8" s="346">
        <v>42612</v>
      </c>
      <c r="B8" s="313">
        <v>218</v>
      </c>
      <c r="C8" s="313">
        <v>113.220001</v>
      </c>
      <c r="D8" s="345">
        <f t="shared" ref="D8:E8" si="7">B8/B7-1</f>
        <v>-1.6486581716035342E-3</v>
      </c>
      <c r="E8" s="345">
        <f t="shared" si="7"/>
        <v>-5.446196607385656E-3</v>
      </c>
      <c r="F8" s="313"/>
      <c r="G8" s="313"/>
      <c r="H8" s="313"/>
      <c r="I8" s="313"/>
      <c r="J8" s="352" t="s">
        <v>459</v>
      </c>
      <c r="K8" s="357">
        <f>K6-K7</f>
        <v>6.3799999999999996E-2</v>
      </c>
      <c r="L8" s="313"/>
      <c r="M8" s="313"/>
      <c r="N8" s="354">
        <v>2015</v>
      </c>
      <c r="O8" s="355">
        <v>1.81</v>
      </c>
      <c r="P8" s="355">
        <f t="shared" si="4"/>
        <v>0.41000000000000014</v>
      </c>
      <c r="Q8" s="358">
        <f t="shared" si="5"/>
        <v>0.29285714285714293</v>
      </c>
      <c r="R8" s="313"/>
      <c r="S8" s="313"/>
      <c r="T8" s="313"/>
      <c r="U8" s="313"/>
      <c r="V8" s="313"/>
      <c r="W8" s="313"/>
      <c r="X8" s="313"/>
      <c r="Y8" s="313"/>
      <c r="Z8" s="313"/>
      <c r="AA8" s="313"/>
    </row>
    <row r="9" spans="1:27" ht="14.25" customHeight="1" x14ac:dyDescent="0.2">
      <c r="A9" s="346">
        <v>42613</v>
      </c>
      <c r="B9" s="313">
        <v>217.38000500000001</v>
      </c>
      <c r="C9" s="313">
        <v>113.379997</v>
      </c>
      <c r="D9" s="345">
        <f t="shared" ref="D9:E9" si="8">B9/B8-1</f>
        <v>-2.8440137614678118E-3</v>
      </c>
      <c r="E9" s="345">
        <f t="shared" si="8"/>
        <v>1.4131425418377752E-3</v>
      </c>
      <c r="F9" s="313"/>
      <c r="G9" s="313"/>
      <c r="H9" s="313"/>
      <c r="I9" s="313"/>
      <c r="J9" s="352" t="s">
        <v>460</v>
      </c>
      <c r="K9" s="357">
        <f>K7+(K4*K8)</f>
        <v>6.6706132015976236E-2</v>
      </c>
      <c r="L9" s="313"/>
      <c r="M9" s="313"/>
      <c r="N9" s="354">
        <v>2016</v>
      </c>
      <c r="O9" s="355">
        <v>2.17</v>
      </c>
      <c r="P9" s="355">
        <f t="shared" si="4"/>
        <v>0.35999999999999988</v>
      </c>
      <c r="Q9" s="358">
        <f t="shared" si="5"/>
        <v>0.19889502762430933</v>
      </c>
      <c r="R9" s="313"/>
      <c r="S9" s="313"/>
      <c r="T9" s="313"/>
      <c r="U9" s="313"/>
      <c r="V9" s="313"/>
      <c r="W9" s="313"/>
      <c r="X9" s="313"/>
      <c r="Y9" s="313"/>
      <c r="Z9" s="313"/>
      <c r="AA9" s="313"/>
    </row>
    <row r="10" spans="1:27" ht="14.25" customHeight="1" x14ac:dyDescent="0.2">
      <c r="A10" s="346">
        <v>42614</v>
      </c>
      <c r="B10" s="313">
        <v>217.38999899999999</v>
      </c>
      <c r="C10" s="313">
        <v>113.82</v>
      </c>
      <c r="D10" s="345">
        <f t="shared" ref="D10:E10" si="9">B10/B9-1</f>
        <v>4.597478963153101E-5</v>
      </c>
      <c r="E10" s="345">
        <f t="shared" si="9"/>
        <v>3.8807815456194383E-3</v>
      </c>
      <c r="F10" s="313"/>
      <c r="G10" s="313"/>
      <c r="H10" s="313"/>
      <c r="I10" s="313"/>
      <c r="J10" s="352"/>
      <c r="K10" s="352"/>
      <c r="L10" s="313"/>
      <c r="M10" s="313"/>
      <c r="N10" s="354">
        <v>2017</v>
      </c>
      <c r="O10" s="355">
        <v>2.62</v>
      </c>
      <c r="P10" s="355">
        <f t="shared" si="4"/>
        <v>0.45000000000000018</v>
      </c>
      <c r="Q10" s="358">
        <f t="shared" si="5"/>
        <v>0.20737327188940102</v>
      </c>
      <c r="R10" s="313"/>
      <c r="S10" s="313"/>
      <c r="T10" s="313"/>
      <c r="U10" s="313"/>
      <c r="V10" s="313"/>
      <c r="W10" s="313"/>
      <c r="X10" s="313"/>
      <c r="Y10" s="313"/>
      <c r="Z10" s="313"/>
      <c r="AA10" s="313"/>
    </row>
    <row r="11" spans="1:27" ht="14.25" customHeight="1" x14ac:dyDescent="0.2">
      <c r="A11" s="346">
        <v>42615</v>
      </c>
      <c r="B11" s="313">
        <v>218.36999499999999</v>
      </c>
      <c r="C11" s="313">
        <v>115.089996</v>
      </c>
      <c r="D11" s="345">
        <f t="shared" ref="D11:E11" si="10">B11/B10-1</f>
        <v>4.5080086687887544E-3</v>
      </c>
      <c r="E11" s="345">
        <f t="shared" si="10"/>
        <v>1.1157933579335921E-2</v>
      </c>
      <c r="F11" s="313"/>
      <c r="G11" s="313"/>
      <c r="H11" s="313"/>
      <c r="I11" s="313"/>
      <c r="J11" s="359" t="s">
        <v>435</v>
      </c>
      <c r="K11" s="360">
        <f>K12/(K13-K14)</f>
        <v>350.76402178975326</v>
      </c>
      <c r="L11" s="313"/>
      <c r="M11" s="313"/>
      <c r="N11" s="354">
        <v>2018</v>
      </c>
      <c r="O11" s="355">
        <v>3.15</v>
      </c>
      <c r="P11" s="355">
        <f t="shared" si="4"/>
        <v>0.5299999999999998</v>
      </c>
      <c r="Q11" s="358">
        <f t="shared" si="5"/>
        <v>0.2022900763358777</v>
      </c>
      <c r="R11" s="313"/>
      <c r="S11" s="313"/>
      <c r="T11" s="313"/>
      <c r="U11" s="313"/>
      <c r="V11" s="313"/>
      <c r="W11" s="313"/>
      <c r="X11" s="313"/>
      <c r="Y11" s="313"/>
      <c r="Z11" s="313"/>
      <c r="AA11" s="313"/>
    </row>
    <row r="12" spans="1:27" ht="14.25" customHeight="1" x14ac:dyDescent="0.2">
      <c r="A12" s="346">
        <v>42619</v>
      </c>
      <c r="B12" s="313">
        <v>219.029999</v>
      </c>
      <c r="C12" s="313">
        <v>117.150002</v>
      </c>
      <c r="D12" s="345">
        <f t="shared" ref="D12:E12" si="11">B12/B11-1</f>
        <v>3.0224115726156242E-3</v>
      </c>
      <c r="E12" s="345">
        <f t="shared" si="11"/>
        <v>1.7899088292608889E-2</v>
      </c>
      <c r="F12" s="313"/>
      <c r="G12" s="313"/>
      <c r="H12" s="313"/>
      <c r="I12" s="313"/>
      <c r="J12" s="352" t="s">
        <v>461</v>
      </c>
      <c r="K12" s="355">
        <f>O14</f>
        <v>4.9830000000000005</v>
      </c>
      <c r="L12" s="313"/>
      <c r="M12" s="313"/>
      <c r="N12" s="354">
        <v>2019</v>
      </c>
      <c r="O12" s="355">
        <v>3.78</v>
      </c>
      <c r="P12" s="355">
        <f t="shared" si="4"/>
        <v>0.62999999999999989</v>
      </c>
      <c r="Q12" s="358">
        <f t="shared" si="5"/>
        <v>0.19999999999999996</v>
      </c>
      <c r="R12" s="313"/>
      <c r="S12" s="313"/>
      <c r="T12" s="313"/>
      <c r="U12" s="313"/>
      <c r="V12" s="313"/>
      <c r="W12" s="313"/>
      <c r="X12" s="313"/>
      <c r="Y12" s="313"/>
      <c r="Z12" s="313"/>
      <c r="AA12" s="313"/>
    </row>
    <row r="13" spans="1:27" ht="14.25" customHeight="1" x14ac:dyDescent="0.2">
      <c r="A13" s="346">
        <v>42620</v>
      </c>
      <c r="B13" s="313">
        <v>219.009995</v>
      </c>
      <c r="C13" s="313">
        <v>116.83000199999999</v>
      </c>
      <c r="D13" s="345">
        <f t="shared" ref="D13:E13" si="12">B13/B12-1</f>
        <v>-9.1329955217656078E-5</v>
      </c>
      <c r="E13" s="345">
        <f t="shared" si="12"/>
        <v>-2.7315407130765745E-3</v>
      </c>
      <c r="F13" s="313"/>
      <c r="G13" s="313"/>
      <c r="H13" s="313"/>
      <c r="I13" s="313"/>
      <c r="J13" s="352" t="s">
        <v>460</v>
      </c>
      <c r="K13" s="357">
        <f>K9</f>
        <v>6.6706132015976236E-2</v>
      </c>
      <c r="L13" s="313"/>
      <c r="M13" s="313"/>
      <c r="N13" s="354">
        <v>2020</v>
      </c>
      <c r="O13" s="355">
        <v>4.53</v>
      </c>
      <c r="P13" s="355">
        <f t="shared" si="4"/>
        <v>0.75000000000000044</v>
      </c>
      <c r="Q13" s="358">
        <f t="shared" si="5"/>
        <v>0.1984126984126986</v>
      </c>
      <c r="R13" s="313"/>
      <c r="S13" s="313"/>
      <c r="T13" s="313"/>
      <c r="U13" s="313"/>
      <c r="V13" s="313"/>
      <c r="W13" s="313"/>
      <c r="X13" s="313"/>
      <c r="Y13" s="313"/>
      <c r="Z13" s="313"/>
      <c r="AA13" s="313"/>
    </row>
    <row r="14" spans="1:27" ht="14.25" customHeight="1" x14ac:dyDescent="0.2">
      <c r="A14" s="346">
        <v>42621</v>
      </c>
      <c r="B14" s="313">
        <v>218.509995</v>
      </c>
      <c r="C14" s="313">
        <v>116.25</v>
      </c>
      <c r="D14" s="345">
        <f t="shared" ref="D14:E14" si="13">B14/B13-1</f>
        <v>-2.2830008283412084E-3</v>
      </c>
      <c r="E14" s="345">
        <f t="shared" si="13"/>
        <v>-4.964495335709973E-3</v>
      </c>
      <c r="F14" s="313"/>
      <c r="G14" s="313"/>
      <c r="H14" s="313"/>
      <c r="I14" s="313"/>
      <c r="J14" s="352" t="s">
        <v>462</v>
      </c>
      <c r="K14" s="357">
        <v>5.2499999999999998E-2</v>
      </c>
      <c r="L14" s="313"/>
      <c r="M14" s="313"/>
      <c r="N14" s="361" t="s">
        <v>151</v>
      </c>
      <c r="O14" s="355">
        <f>O13*(1+Q14)</f>
        <v>4.9830000000000005</v>
      </c>
      <c r="P14" s="355">
        <f t="shared" si="4"/>
        <v>0.45300000000000029</v>
      </c>
      <c r="Q14" s="358">
        <v>0.1</v>
      </c>
      <c r="R14" s="313"/>
      <c r="S14" s="313"/>
      <c r="T14" s="313"/>
      <c r="U14" s="313"/>
      <c r="V14" s="313"/>
      <c r="W14" s="313"/>
      <c r="X14" s="313"/>
      <c r="Y14" s="313"/>
      <c r="Z14" s="313"/>
      <c r="AA14" s="313"/>
    </row>
    <row r="15" spans="1:27" ht="14.25" customHeight="1" x14ac:dyDescent="0.2">
      <c r="A15" s="346">
        <v>42622</v>
      </c>
      <c r="B15" s="313">
        <v>213.279999</v>
      </c>
      <c r="C15" s="313">
        <v>110.19000200000001</v>
      </c>
      <c r="D15" s="345">
        <f t="shared" ref="D15:E15" si="14">B15/B14-1</f>
        <v>-2.3934813599716609E-2</v>
      </c>
      <c r="E15" s="345">
        <f t="shared" si="14"/>
        <v>-5.2129015053763328E-2</v>
      </c>
      <c r="F15" s="313"/>
      <c r="G15" s="313"/>
      <c r="H15" s="313"/>
      <c r="I15" s="313"/>
      <c r="J15" s="352"/>
      <c r="K15" s="352"/>
      <c r="L15" s="313"/>
      <c r="M15" s="313"/>
      <c r="N15" s="362" t="s">
        <v>463</v>
      </c>
      <c r="O15" s="363"/>
      <c r="P15" s="364">
        <f>AVERAGE(P6:P13)</f>
        <v>0.45375000000000004</v>
      </c>
      <c r="Q15" s="365">
        <f>AVERAGE(Q6:Q14)</f>
        <v>0.21053085689654716</v>
      </c>
      <c r="R15" s="313"/>
      <c r="S15" s="313"/>
      <c r="T15" s="313"/>
      <c r="U15" s="313"/>
      <c r="V15" s="313"/>
      <c r="W15" s="313"/>
      <c r="X15" s="313"/>
      <c r="Y15" s="313"/>
      <c r="Z15" s="313"/>
      <c r="AA15" s="313"/>
    </row>
    <row r="16" spans="1:27" ht="14.25" customHeight="1" x14ac:dyDescent="0.2">
      <c r="A16" s="346">
        <v>42625</v>
      </c>
      <c r="B16" s="313">
        <v>216.33999600000001</v>
      </c>
      <c r="C16" s="313">
        <v>111.269997</v>
      </c>
      <c r="D16" s="345">
        <f t="shared" ref="D16:E16" si="15">B16/B15-1</f>
        <v>1.4347322835462029E-2</v>
      </c>
      <c r="E16" s="345">
        <f t="shared" si="15"/>
        <v>9.8012068281838616E-3</v>
      </c>
      <c r="F16" s="313"/>
      <c r="G16" s="313"/>
      <c r="H16" s="313"/>
      <c r="I16" s="313"/>
      <c r="J16" s="359" t="s">
        <v>436</v>
      </c>
      <c r="K16" s="360">
        <f>SUM(M20:M26)</f>
        <v>420.75794941959924</v>
      </c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</row>
    <row r="17" spans="1:27" ht="14.25" customHeight="1" x14ac:dyDescent="0.2">
      <c r="A17" s="346">
        <v>42626</v>
      </c>
      <c r="B17" s="313">
        <v>213.229996</v>
      </c>
      <c r="C17" s="313">
        <v>108.110001</v>
      </c>
      <c r="D17" s="345">
        <f t="shared" ref="D17:E17" si="16">B17/B16-1</f>
        <v>-1.4375520280586529E-2</v>
      </c>
      <c r="E17" s="345">
        <f t="shared" si="16"/>
        <v>-2.8399353691004436E-2</v>
      </c>
      <c r="F17" s="313"/>
      <c r="G17" s="313"/>
      <c r="H17" s="313"/>
      <c r="I17" s="313"/>
      <c r="J17" s="352" t="s">
        <v>460</v>
      </c>
      <c r="K17" s="357">
        <f>K13</f>
        <v>6.6706132015976236E-2</v>
      </c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</row>
    <row r="18" spans="1:27" ht="14.25" customHeight="1" x14ac:dyDescent="0.2">
      <c r="A18" s="346">
        <v>42627</v>
      </c>
      <c r="B18" s="313">
        <v>213.14999399999999</v>
      </c>
      <c r="C18" s="313">
        <v>108.370003</v>
      </c>
      <c r="D18" s="345">
        <f t="shared" ref="D18:E18" si="17">B18/B17-1</f>
        <v>-3.7519111523132143E-4</v>
      </c>
      <c r="E18" s="345">
        <f t="shared" si="17"/>
        <v>2.4049763906670574E-3</v>
      </c>
      <c r="F18" s="313"/>
      <c r="G18" s="313"/>
      <c r="H18" s="313"/>
      <c r="I18" s="313"/>
      <c r="J18" s="352" t="s">
        <v>464</v>
      </c>
      <c r="K18" s="357">
        <v>0.1</v>
      </c>
      <c r="L18" s="313"/>
      <c r="M18" s="313"/>
      <c r="N18" s="352"/>
      <c r="O18" s="355"/>
      <c r="P18" s="352"/>
      <c r="Q18" s="352"/>
      <c r="R18" s="352" t="s">
        <v>460</v>
      </c>
      <c r="S18" s="313"/>
      <c r="T18" s="313"/>
      <c r="U18" s="313"/>
      <c r="V18" s="313"/>
      <c r="W18" s="313"/>
      <c r="X18" s="313"/>
      <c r="Y18" s="313"/>
      <c r="Z18" s="313"/>
      <c r="AA18" s="313"/>
    </row>
    <row r="19" spans="1:27" ht="14.25" customHeight="1" x14ac:dyDescent="0.2">
      <c r="A19" s="346">
        <v>42628</v>
      </c>
      <c r="B19" s="313">
        <v>215.279999</v>
      </c>
      <c r="C19" s="313">
        <v>109.08000199999999</v>
      </c>
      <c r="D19" s="345">
        <f t="shared" ref="D19:E19" si="18">B19/B18-1</f>
        <v>9.9929864412757752E-3</v>
      </c>
      <c r="E19" s="345">
        <f t="shared" si="18"/>
        <v>6.5516192705097342E-3</v>
      </c>
      <c r="F19" s="313"/>
      <c r="G19" s="313"/>
      <c r="H19" s="313"/>
      <c r="I19" s="313"/>
      <c r="J19" s="352" t="s">
        <v>465</v>
      </c>
      <c r="K19" s="357">
        <v>5.2499999999999998E-2</v>
      </c>
      <c r="L19" s="313"/>
      <c r="M19" s="313"/>
      <c r="N19" s="366" t="s">
        <v>466</v>
      </c>
      <c r="O19" s="367">
        <f>K11</f>
        <v>350.76402178975326</v>
      </c>
      <c r="P19" s="368">
        <f t="shared" ref="P19:Q19" si="19">Q19-0.005</f>
        <v>5.67E-2</v>
      </c>
      <c r="Q19" s="368">
        <f t="shared" si="19"/>
        <v>6.1699999999999998E-2</v>
      </c>
      <c r="R19" s="368">
        <v>6.6699999999999995E-2</v>
      </c>
      <c r="S19" s="368">
        <f t="shared" ref="S19:T19" si="20">R19+0.005</f>
        <v>7.17E-2</v>
      </c>
      <c r="T19" s="369">
        <f t="shared" si="20"/>
        <v>7.6700000000000004E-2</v>
      </c>
      <c r="U19" s="313"/>
      <c r="V19" s="313"/>
      <c r="W19" s="313"/>
      <c r="X19" s="313"/>
      <c r="Y19" s="313"/>
      <c r="Z19" s="313"/>
      <c r="AA19" s="313"/>
    </row>
    <row r="20" spans="1:27" ht="14.25" customHeight="1" x14ac:dyDescent="0.2">
      <c r="A20" s="346">
        <v>42629</v>
      </c>
      <c r="B20" s="313">
        <v>213.36999499999999</v>
      </c>
      <c r="C20" s="313">
        <v>108</v>
      </c>
      <c r="D20" s="345">
        <f t="shared" ref="D20:E20" si="21">B20/B19-1</f>
        <v>-8.872185102527852E-3</v>
      </c>
      <c r="E20" s="345">
        <f t="shared" si="21"/>
        <v>-9.9010082526400645E-3</v>
      </c>
      <c r="F20" s="313"/>
      <c r="G20" s="313"/>
      <c r="H20" s="313"/>
      <c r="I20" s="313"/>
      <c r="J20" s="352" t="s">
        <v>467</v>
      </c>
      <c r="K20" s="355">
        <v>4.53</v>
      </c>
      <c r="L20" s="355">
        <v>0</v>
      </c>
      <c r="M20" s="355">
        <f t="shared" ref="M20:M25" si="22">K20/(K$17+1)^L20</f>
        <v>4.53</v>
      </c>
      <c r="N20" s="352"/>
      <c r="O20" s="370">
        <v>4.7500000000000001E-2</v>
      </c>
      <c r="P20" s="371">
        <v>541.63043478260875</v>
      </c>
      <c r="Q20" s="371">
        <v>350.91549295774661</v>
      </c>
      <c r="R20" s="371">
        <v>259.53125000000011</v>
      </c>
      <c r="S20" s="371">
        <v>205.90909090909093</v>
      </c>
      <c r="T20" s="372">
        <v>170.65068493150685</v>
      </c>
      <c r="U20" s="313"/>
      <c r="V20" s="313"/>
      <c r="W20" s="313"/>
      <c r="X20" s="313"/>
      <c r="Y20" s="313"/>
      <c r="Z20" s="313"/>
      <c r="AA20" s="313"/>
    </row>
    <row r="21" spans="1:27" ht="14.25" customHeight="1" x14ac:dyDescent="0.2">
      <c r="A21" s="346">
        <v>42632</v>
      </c>
      <c r="B21" s="313">
        <v>213.41000399999999</v>
      </c>
      <c r="C21" s="313">
        <v>109.199997</v>
      </c>
      <c r="D21" s="345">
        <f t="shared" ref="D21:E21" si="23">B21/B20-1</f>
        <v>1.8750996361971417E-4</v>
      </c>
      <c r="E21" s="345">
        <f t="shared" si="23"/>
        <v>1.1111083333333216E-2</v>
      </c>
      <c r="F21" s="313"/>
      <c r="G21" s="313"/>
      <c r="H21" s="313"/>
      <c r="I21" s="313"/>
      <c r="J21" s="352" t="s">
        <v>468</v>
      </c>
      <c r="K21" s="355">
        <f t="shared" ref="K21:K25" si="24">K20*(1+$K$18)</f>
        <v>4.9830000000000005</v>
      </c>
      <c r="L21" s="355">
        <v>1</v>
      </c>
      <c r="M21" s="355">
        <f t="shared" si="22"/>
        <v>4.6713896643516897</v>
      </c>
      <c r="N21" s="352"/>
      <c r="O21" s="370">
        <v>0.05</v>
      </c>
      <c r="P21" s="371">
        <v>743.73134328358242</v>
      </c>
      <c r="Q21" s="373">
        <v>425.89743589743614</v>
      </c>
      <c r="R21" s="374">
        <v>298.3832335329343</v>
      </c>
      <c r="S21" s="375">
        <v>229.63133640553002</v>
      </c>
      <c r="T21" s="372">
        <v>186.62921348314609</v>
      </c>
      <c r="U21" s="313"/>
      <c r="V21" s="313"/>
      <c r="W21" s="313"/>
      <c r="X21" s="313"/>
      <c r="Y21" s="313"/>
      <c r="Z21" s="313"/>
      <c r="AA21" s="313"/>
    </row>
    <row r="22" spans="1:27" ht="14.25" customHeight="1" x14ac:dyDescent="0.2">
      <c r="A22" s="346">
        <v>42633</v>
      </c>
      <c r="B22" s="313">
        <v>213.41999799999999</v>
      </c>
      <c r="C22" s="313">
        <v>108.650002</v>
      </c>
      <c r="D22" s="345">
        <f t="shared" ref="D22:E22" si="25">B22/B21-1</f>
        <v>4.6830044574619478E-5</v>
      </c>
      <c r="E22" s="345">
        <f t="shared" si="25"/>
        <v>-5.0365843874519145E-3</v>
      </c>
      <c r="F22" s="313"/>
      <c r="G22" s="313"/>
      <c r="H22" s="313"/>
      <c r="I22" s="313"/>
      <c r="J22" s="352" t="s">
        <v>469</v>
      </c>
      <c r="K22" s="355">
        <f t="shared" si="24"/>
        <v>5.4813000000000009</v>
      </c>
      <c r="L22" s="355">
        <v>2</v>
      </c>
      <c r="M22" s="355">
        <f t="shared" si="22"/>
        <v>4.8171923611946559</v>
      </c>
      <c r="N22" s="352" t="s">
        <v>462</v>
      </c>
      <c r="O22" s="370">
        <v>5.2499999999999998E-2</v>
      </c>
      <c r="P22" s="371">
        <v>1186.4285714285709</v>
      </c>
      <c r="Q22" s="376">
        <v>541.63043478260875</v>
      </c>
      <c r="R22" s="377">
        <v>350.91549295774661</v>
      </c>
      <c r="S22" s="372">
        <v>259.53125</v>
      </c>
      <c r="T22" s="372">
        <v>205.90909090909088</v>
      </c>
      <c r="U22" s="313"/>
      <c r="V22" s="313"/>
      <c r="W22" s="313"/>
      <c r="X22" s="313"/>
      <c r="Y22" s="313"/>
      <c r="Z22" s="313"/>
      <c r="AA22" s="313"/>
    </row>
    <row r="23" spans="1:27" ht="14.25" customHeight="1" x14ac:dyDescent="0.2">
      <c r="A23" s="346">
        <v>42634</v>
      </c>
      <c r="B23" s="313">
        <v>215.820007</v>
      </c>
      <c r="C23" s="313">
        <v>110.099998</v>
      </c>
      <c r="D23" s="345">
        <f t="shared" ref="D23:E23" si="26">B23/B22-1</f>
        <v>1.124547381918739E-2</v>
      </c>
      <c r="E23" s="345">
        <f t="shared" si="26"/>
        <v>1.334556809304055E-2</v>
      </c>
      <c r="F23" s="313"/>
      <c r="G23" s="313"/>
      <c r="H23" s="313"/>
      <c r="I23" s="313"/>
      <c r="J23" s="352" t="s">
        <v>470</v>
      </c>
      <c r="K23" s="355">
        <f t="shared" si="24"/>
        <v>6.0294300000000014</v>
      </c>
      <c r="L23" s="355">
        <v>3</v>
      </c>
      <c r="M23" s="355">
        <f t="shared" si="22"/>
        <v>4.9675458294213302</v>
      </c>
      <c r="N23" s="352"/>
      <c r="O23" s="370">
        <v>5.5E-2</v>
      </c>
      <c r="P23" s="371">
        <v>2931.1764705882356</v>
      </c>
      <c r="Q23" s="378">
        <v>743.73134328358242</v>
      </c>
      <c r="R23" s="379">
        <v>425.89743589743614</v>
      </c>
      <c r="S23" s="380">
        <v>298.38323353293418</v>
      </c>
      <c r="T23" s="372">
        <v>229.63133640552994</v>
      </c>
      <c r="U23" s="313"/>
      <c r="V23" s="313"/>
      <c r="W23" s="313"/>
      <c r="X23" s="313"/>
      <c r="Y23" s="313"/>
      <c r="Z23" s="313"/>
      <c r="AA23" s="313"/>
    </row>
    <row r="24" spans="1:27" ht="14.25" customHeight="1" x14ac:dyDescent="0.2">
      <c r="A24" s="346">
        <v>42635</v>
      </c>
      <c r="B24" s="313">
        <v>217.179993</v>
      </c>
      <c r="C24" s="313">
        <v>112.279999</v>
      </c>
      <c r="D24" s="345">
        <f t="shared" ref="D24:E24" si="27">B24/B23-1</f>
        <v>6.3014825126939122E-3</v>
      </c>
      <c r="E24" s="345">
        <f t="shared" si="27"/>
        <v>1.9800191095371344E-2</v>
      </c>
      <c r="F24" s="313"/>
      <c r="G24" s="313"/>
      <c r="H24" s="313"/>
      <c r="I24" s="313"/>
      <c r="J24" s="352" t="s">
        <v>471</v>
      </c>
      <c r="K24" s="355">
        <f t="shared" si="24"/>
        <v>6.6323730000000021</v>
      </c>
      <c r="L24" s="355">
        <v>4</v>
      </c>
      <c r="M24" s="355">
        <f t="shared" si="22"/>
        <v>5.1225921070093028</v>
      </c>
      <c r="N24" s="352"/>
      <c r="O24" s="381">
        <v>5.7500000000000002E-2</v>
      </c>
      <c r="P24" s="379">
        <v>-6228.7499999999845</v>
      </c>
      <c r="Q24" s="379">
        <v>1186.4285714285729</v>
      </c>
      <c r="R24" s="379">
        <v>541.6304347826092</v>
      </c>
      <c r="S24" s="379">
        <v>350.91549295774661</v>
      </c>
      <c r="T24" s="380">
        <v>259.53125</v>
      </c>
      <c r="U24" s="313"/>
      <c r="V24" s="313"/>
      <c r="W24" s="313"/>
      <c r="X24" s="313"/>
      <c r="Y24" s="313"/>
      <c r="Z24" s="313"/>
      <c r="AA24" s="313"/>
    </row>
    <row r="25" spans="1:27" ht="14.25" customHeight="1" x14ac:dyDescent="0.2">
      <c r="A25" s="346">
        <v>42636</v>
      </c>
      <c r="B25" s="313">
        <v>215.990005</v>
      </c>
      <c r="C25" s="313">
        <v>112.989998</v>
      </c>
      <c r="D25" s="345">
        <f t="shared" ref="D25:E25" si="28">B25/B24-1</f>
        <v>-5.4792708276770741E-3</v>
      </c>
      <c r="E25" s="345">
        <f t="shared" si="28"/>
        <v>6.3234681717443397E-3</v>
      </c>
      <c r="F25" s="313"/>
      <c r="G25" s="313"/>
      <c r="H25" s="313"/>
      <c r="I25" s="313"/>
      <c r="J25" s="352" t="s">
        <v>472</v>
      </c>
      <c r="K25" s="355">
        <f t="shared" si="24"/>
        <v>7.2956103000000025</v>
      </c>
      <c r="L25" s="355">
        <v>5</v>
      </c>
      <c r="M25" s="355">
        <f t="shared" si="22"/>
        <v>5.2824776652037082</v>
      </c>
      <c r="N25" s="352"/>
      <c r="O25" s="352"/>
      <c r="P25" s="352"/>
      <c r="Q25" s="352"/>
      <c r="R25" s="352"/>
      <c r="S25" s="313"/>
      <c r="T25" s="313"/>
      <c r="U25" s="313"/>
      <c r="V25" s="313"/>
      <c r="W25" s="313"/>
      <c r="X25" s="313"/>
      <c r="Y25" s="313"/>
      <c r="Z25" s="313"/>
      <c r="AA25" s="313"/>
    </row>
    <row r="26" spans="1:27" ht="14.25" customHeight="1" x14ac:dyDescent="0.2">
      <c r="A26" s="346">
        <v>42639</v>
      </c>
      <c r="B26" s="313">
        <v>214.240005</v>
      </c>
      <c r="C26" s="313">
        <v>112.69000200000001</v>
      </c>
      <c r="D26" s="345">
        <f t="shared" ref="D26:E26" si="29">B26/B25-1</f>
        <v>-8.1022267673913628E-3</v>
      </c>
      <c r="E26" s="345">
        <f t="shared" si="29"/>
        <v>-2.6550668670689559E-3</v>
      </c>
      <c r="F26" s="313"/>
      <c r="G26" s="313"/>
      <c r="H26" s="313"/>
      <c r="I26" s="313"/>
      <c r="J26" s="313"/>
      <c r="K26" s="313"/>
      <c r="L26" s="355"/>
      <c r="M26" s="355">
        <f>K25*(1+K19)/(K17-K19)/(K17+1)^L25</f>
        <v>391.36675179241854</v>
      </c>
      <c r="N26" s="352"/>
      <c r="O26" s="352"/>
      <c r="P26" s="352"/>
      <c r="Q26" s="352"/>
      <c r="R26" s="352" t="s">
        <v>460</v>
      </c>
      <c r="S26" s="313"/>
      <c r="T26" s="313"/>
      <c r="U26" s="313"/>
      <c r="V26" s="313"/>
      <c r="W26" s="313"/>
      <c r="X26" s="313"/>
      <c r="Y26" s="313"/>
      <c r="Z26" s="313"/>
      <c r="AA26" s="313"/>
    </row>
    <row r="27" spans="1:27" ht="14.25" customHeight="1" x14ac:dyDescent="0.2">
      <c r="A27" s="346">
        <v>42640</v>
      </c>
      <c r="B27" s="313">
        <v>215.570007</v>
      </c>
      <c r="C27" s="313">
        <v>112.58000199999999</v>
      </c>
      <c r="D27" s="345">
        <f t="shared" ref="D27:E27" si="30">B27/B26-1</f>
        <v>6.2080002285287428E-3</v>
      </c>
      <c r="E27" s="345">
        <f t="shared" si="30"/>
        <v>-9.7612918668699145E-4</v>
      </c>
      <c r="F27" s="313"/>
      <c r="G27" s="313"/>
      <c r="H27" s="313"/>
      <c r="I27" s="313"/>
      <c r="J27" s="313"/>
      <c r="K27" s="313"/>
      <c r="L27" s="313"/>
      <c r="M27" s="313"/>
      <c r="N27" s="366" t="s">
        <v>473</v>
      </c>
      <c r="O27" s="367">
        <f>K16</f>
        <v>420.75794941959924</v>
      </c>
      <c r="P27" s="368">
        <f t="shared" ref="P27:Q27" si="31">Q27-0.005</f>
        <v>5.67E-2</v>
      </c>
      <c r="Q27" s="368">
        <f t="shared" si="31"/>
        <v>6.1699999999999998E-2</v>
      </c>
      <c r="R27" s="368">
        <v>6.6699999999999995E-2</v>
      </c>
      <c r="S27" s="368">
        <f t="shared" ref="S27:T27" si="32">R27+0.005</f>
        <v>7.17E-2</v>
      </c>
      <c r="T27" s="369">
        <f t="shared" si="32"/>
        <v>7.6700000000000004E-2</v>
      </c>
      <c r="U27" s="313"/>
      <c r="V27" s="313"/>
      <c r="W27" s="313"/>
      <c r="X27" s="313"/>
      <c r="Y27" s="313"/>
      <c r="Z27" s="313"/>
      <c r="AA27" s="313"/>
    </row>
    <row r="28" spans="1:27" ht="14.25" customHeight="1" x14ac:dyDescent="0.2">
      <c r="A28" s="346">
        <v>42641</v>
      </c>
      <c r="B28" s="313">
        <v>216.63999899999999</v>
      </c>
      <c r="C28" s="313">
        <v>112.629997</v>
      </c>
      <c r="D28" s="345">
        <f t="shared" ref="D28:E28" si="33">B28/B27-1</f>
        <v>4.9635476423210978E-3</v>
      </c>
      <c r="E28" s="345">
        <f t="shared" si="33"/>
        <v>4.4408419889707673E-4</v>
      </c>
      <c r="F28" s="313"/>
      <c r="G28" s="313"/>
      <c r="H28" s="313"/>
      <c r="I28" s="313"/>
      <c r="J28" s="313"/>
      <c r="K28" s="313"/>
      <c r="L28" s="313"/>
      <c r="M28" s="313"/>
      <c r="N28" s="352"/>
      <c r="O28" s="370">
        <v>4.7500000000000001E-2</v>
      </c>
      <c r="P28" s="371">
        <v>660.59830722010713</v>
      </c>
      <c r="Q28" s="371">
        <v>428.70216026304001</v>
      </c>
      <c r="R28" s="371">
        <v>317.59759360518285</v>
      </c>
      <c r="S28" s="371">
        <v>252.41355336771062</v>
      </c>
      <c r="T28" s="372">
        <v>209.56053531180569</v>
      </c>
      <c r="U28" s="313"/>
      <c r="V28" s="313"/>
      <c r="W28" s="313"/>
      <c r="X28" s="313"/>
      <c r="Y28" s="313"/>
      <c r="Z28" s="313"/>
      <c r="AA28" s="313"/>
    </row>
    <row r="29" spans="1:27" ht="14.25" customHeight="1" x14ac:dyDescent="0.2">
      <c r="A29" s="346">
        <v>42642</v>
      </c>
      <c r="B29" s="313">
        <v>214.679993</v>
      </c>
      <c r="C29" s="313">
        <v>113.480003</v>
      </c>
      <c r="D29" s="345">
        <f t="shared" ref="D29:E29" si="34">B29/B28-1</f>
        <v>-9.0472950934604723E-3</v>
      </c>
      <c r="E29" s="345">
        <f t="shared" si="34"/>
        <v>7.5468882415046235E-3</v>
      </c>
      <c r="F29" s="313"/>
      <c r="G29" s="313"/>
      <c r="H29" s="313"/>
      <c r="I29" s="313"/>
      <c r="J29" s="313"/>
      <c r="K29" s="313"/>
      <c r="L29" s="313"/>
      <c r="M29" s="313"/>
      <c r="N29" s="352"/>
      <c r="O29" s="370">
        <v>0.05</v>
      </c>
      <c r="P29" s="371">
        <v>897.91712529139852</v>
      </c>
      <c r="Q29" s="373">
        <v>515.10343717827993</v>
      </c>
      <c r="R29" s="374">
        <v>361.53301096204802</v>
      </c>
      <c r="S29" s="375">
        <v>278.74250785598406</v>
      </c>
      <c r="T29" s="372">
        <v>226.96772538272614</v>
      </c>
      <c r="U29" s="313"/>
      <c r="V29" s="313"/>
      <c r="W29" s="313"/>
      <c r="X29" s="313"/>
      <c r="Y29" s="313"/>
      <c r="Z29" s="313"/>
      <c r="AA29" s="313"/>
    </row>
    <row r="30" spans="1:27" ht="14.25" customHeight="1" x14ac:dyDescent="0.2">
      <c r="A30" s="346">
        <v>42643</v>
      </c>
      <c r="B30" s="313">
        <v>216.300003</v>
      </c>
      <c r="C30" s="313">
        <v>113.33000199999999</v>
      </c>
      <c r="D30" s="345">
        <f t="shared" ref="D30:E30" si="35">B30/B29-1</f>
        <v>7.5461619751404641E-3</v>
      </c>
      <c r="E30" s="345">
        <f t="shared" si="35"/>
        <v>-1.3218275998811979E-3</v>
      </c>
      <c r="F30" s="313"/>
      <c r="G30" s="313"/>
      <c r="H30" s="313"/>
      <c r="I30" s="313"/>
      <c r="J30" s="313"/>
      <c r="K30" s="313"/>
      <c r="L30" s="313"/>
      <c r="M30" s="313"/>
      <c r="N30" s="352"/>
      <c r="O30" s="370">
        <v>5.2499999999999998E-2</v>
      </c>
      <c r="P30" s="371">
        <v>1417.758345828511</v>
      </c>
      <c r="Q30" s="376">
        <v>648.46192980832382</v>
      </c>
      <c r="R30" s="377">
        <v>420.93864569809085</v>
      </c>
      <c r="S30" s="372">
        <v>311.92796090891198</v>
      </c>
      <c r="T30" s="372">
        <v>247.9714423278036</v>
      </c>
      <c r="U30" s="313"/>
      <c r="V30" s="313"/>
      <c r="W30" s="313"/>
      <c r="X30" s="313"/>
      <c r="Y30" s="313"/>
      <c r="Z30" s="313"/>
      <c r="AA30" s="313"/>
    </row>
    <row r="31" spans="1:27" ht="14.25" customHeight="1" x14ac:dyDescent="0.2">
      <c r="A31" s="346">
        <v>42646</v>
      </c>
      <c r="B31" s="313">
        <v>215.779999</v>
      </c>
      <c r="C31" s="313">
        <v>112.25</v>
      </c>
      <c r="D31" s="345">
        <f t="shared" ref="D31:E31" si="36">B31/B30-1</f>
        <v>-2.4040868829761086E-3</v>
      </c>
      <c r="E31" s="345">
        <f t="shared" si="36"/>
        <v>-9.5297095291676515E-3</v>
      </c>
      <c r="F31" s="313"/>
      <c r="G31" s="313"/>
      <c r="H31" s="313"/>
      <c r="I31" s="313"/>
      <c r="J31" s="313"/>
      <c r="K31" s="313"/>
      <c r="L31" s="313"/>
      <c r="M31" s="313"/>
      <c r="N31" s="352" t="s">
        <v>474</v>
      </c>
      <c r="O31" s="370">
        <v>5.5E-2</v>
      </c>
      <c r="P31" s="371">
        <v>3466.5443326512527</v>
      </c>
      <c r="Q31" s="378">
        <v>881.34168559511761</v>
      </c>
      <c r="R31" s="379">
        <v>505.73130382560527</v>
      </c>
      <c r="S31" s="380">
        <v>355.04917834894417</v>
      </c>
      <c r="T31" s="372">
        <v>273.8147253892584</v>
      </c>
      <c r="U31" s="313"/>
      <c r="V31" s="313"/>
      <c r="W31" s="313"/>
      <c r="X31" s="313"/>
      <c r="Y31" s="313"/>
      <c r="Z31" s="313"/>
      <c r="AA31" s="313"/>
    </row>
    <row r="32" spans="1:27" ht="14.25" customHeight="1" x14ac:dyDescent="0.2">
      <c r="A32" s="346">
        <v>42647</v>
      </c>
      <c r="B32" s="313">
        <v>214.679993</v>
      </c>
      <c r="C32" s="313">
        <v>110.610001</v>
      </c>
      <c r="D32" s="345">
        <f t="shared" ref="D32:E32" si="37">B32/B31-1</f>
        <v>-5.0978126105191146E-3</v>
      </c>
      <c r="E32" s="345">
        <f t="shared" si="37"/>
        <v>-1.4610236080178196E-2</v>
      </c>
      <c r="F32" s="313"/>
      <c r="G32" s="313"/>
      <c r="H32" s="313"/>
      <c r="I32" s="313"/>
      <c r="J32" s="313"/>
      <c r="K32" s="313"/>
      <c r="L32" s="313"/>
      <c r="M32" s="313"/>
      <c r="N32" s="352"/>
      <c r="O32" s="381">
        <v>5.7500000000000002E-2</v>
      </c>
      <c r="P32" s="379">
        <v>-7289.5820981681218</v>
      </c>
      <c r="Q32" s="379">
        <v>1391.4592458899997</v>
      </c>
      <c r="R32" s="379">
        <v>636.60692832676898</v>
      </c>
      <c r="S32" s="379">
        <v>413.35392305659343</v>
      </c>
      <c r="T32" s="380">
        <v>306.38803008130049</v>
      </c>
      <c r="U32" s="313"/>
      <c r="V32" s="313"/>
      <c r="W32" s="313"/>
      <c r="X32" s="313"/>
      <c r="Y32" s="313"/>
      <c r="Z32" s="313"/>
      <c r="AA32" s="313"/>
    </row>
    <row r="33" spans="1:27" ht="14.25" customHeight="1" x14ac:dyDescent="0.2">
      <c r="A33" s="346">
        <v>42648</v>
      </c>
      <c r="B33" s="313">
        <v>215.63000500000001</v>
      </c>
      <c r="C33" s="313">
        <v>107.44000200000001</v>
      </c>
      <c r="D33" s="345">
        <f t="shared" ref="D33:E33" si="38">B33/B32-1</f>
        <v>4.4252470233685504E-3</v>
      </c>
      <c r="E33" s="345">
        <f t="shared" si="38"/>
        <v>-2.8659243932200984E-2</v>
      </c>
      <c r="F33" s="313"/>
      <c r="G33" s="313"/>
      <c r="H33" s="313"/>
      <c r="I33" s="313"/>
      <c r="J33" s="313"/>
      <c r="K33" s="313"/>
      <c r="L33" s="313"/>
      <c r="M33" s="313"/>
      <c r="N33" s="352"/>
      <c r="O33" s="352"/>
      <c r="P33" s="352"/>
      <c r="Q33" s="352"/>
      <c r="R33" s="352"/>
      <c r="S33" s="313"/>
      <c r="T33" s="313"/>
      <c r="U33" s="313"/>
      <c r="V33" s="313"/>
      <c r="W33" s="313"/>
      <c r="X33" s="313"/>
      <c r="Y33" s="313"/>
      <c r="Z33" s="313"/>
      <c r="AA33" s="313"/>
    </row>
    <row r="34" spans="1:27" ht="14.25" customHeight="1" x14ac:dyDescent="0.2">
      <c r="A34" s="346">
        <v>42649</v>
      </c>
      <c r="B34" s="313">
        <v>215.779999</v>
      </c>
      <c r="C34" s="313">
        <v>108.510002</v>
      </c>
      <c r="D34" s="345">
        <f t="shared" ref="D34:E34" si="39">B34/B33-1</f>
        <v>6.9560820165071036E-4</v>
      </c>
      <c r="E34" s="345">
        <f t="shared" si="39"/>
        <v>9.959046724514975E-3</v>
      </c>
      <c r="F34" s="313"/>
      <c r="G34" s="313"/>
      <c r="H34" s="313"/>
      <c r="I34" s="313"/>
      <c r="J34" s="313"/>
      <c r="K34" s="313"/>
      <c r="L34" s="313"/>
      <c r="M34" s="313"/>
      <c r="N34" s="352"/>
      <c r="O34" s="352"/>
      <c r="P34" s="352"/>
      <c r="Q34" s="352"/>
      <c r="R34" s="352"/>
      <c r="S34" s="313"/>
      <c r="T34" s="313"/>
      <c r="U34" s="313"/>
      <c r="V34" s="313"/>
      <c r="W34" s="313"/>
      <c r="X34" s="313"/>
      <c r="Y34" s="313"/>
      <c r="Z34" s="313"/>
      <c r="AA34" s="313"/>
    </row>
    <row r="35" spans="1:27" ht="14.25" customHeight="1" x14ac:dyDescent="0.2">
      <c r="A35" s="346">
        <v>42650</v>
      </c>
      <c r="B35" s="313">
        <v>215.03999300000001</v>
      </c>
      <c r="C35" s="313">
        <v>108.510002</v>
      </c>
      <c r="D35" s="345">
        <f t="shared" ref="D35:E35" si="40">B35/B34-1</f>
        <v>-3.429446674527048E-3</v>
      </c>
      <c r="E35" s="345">
        <f t="shared" si="40"/>
        <v>0</v>
      </c>
      <c r="F35" s="313"/>
      <c r="G35" s="313"/>
      <c r="H35" s="313"/>
      <c r="I35" s="313"/>
      <c r="J35" s="313"/>
      <c r="K35" s="313"/>
      <c r="L35" s="313"/>
      <c r="M35" s="313"/>
      <c r="N35" s="352"/>
      <c r="O35" s="352"/>
      <c r="P35" s="352"/>
      <c r="Q35" s="352"/>
      <c r="R35" s="352" t="s">
        <v>460</v>
      </c>
      <c r="S35" s="313"/>
      <c r="T35" s="313"/>
      <c r="U35" s="313"/>
      <c r="V35" s="313"/>
      <c r="W35" s="313"/>
      <c r="X35" s="313"/>
      <c r="Y35" s="313"/>
      <c r="Z35" s="313"/>
      <c r="AA35" s="313"/>
    </row>
    <row r="36" spans="1:27" ht="14.25" customHeight="1" x14ac:dyDescent="0.2">
      <c r="A36" s="346">
        <v>42653</v>
      </c>
      <c r="B36" s="313">
        <v>216.16000399999999</v>
      </c>
      <c r="C36" s="313">
        <v>109.43</v>
      </c>
      <c r="D36" s="345">
        <f t="shared" ref="D36:E36" si="41">B36/B35-1</f>
        <v>5.2083846561508107E-3</v>
      </c>
      <c r="E36" s="345">
        <f t="shared" si="41"/>
        <v>8.4784626582166123E-3</v>
      </c>
      <c r="F36" s="313"/>
      <c r="G36" s="313"/>
      <c r="H36" s="313"/>
      <c r="I36" s="313"/>
      <c r="J36" s="313"/>
      <c r="K36" s="313"/>
      <c r="L36" s="313"/>
      <c r="M36" s="313"/>
      <c r="N36" s="366" t="s">
        <v>475</v>
      </c>
      <c r="O36" s="367">
        <f>K16</f>
        <v>420.75794941959924</v>
      </c>
      <c r="P36" s="368">
        <f t="shared" ref="P36:Q36" si="42">Q36-0.005</f>
        <v>5.67E-2</v>
      </c>
      <c r="Q36" s="368">
        <f t="shared" si="42"/>
        <v>6.1699999999999998E-2</v>
      </c>
      <c r="R36" s="368">
        <v>6.6699999999999995E-2</v>
      </c>
      <c r="S36" s="368">
        <f t="shared" ref="S36:T36" si="43">R36+0.005</f>
        <v>7.17E-2</v>
      </c>
      <c r="T36" s="369">
        <f t="shared" si="43"/>
        <v>7.6700000000000004E-2</v>
      </c>
      <c r="U36" s="313"/>
      <c r="V36" s="313"/>
      <c r="W36" s="313"/>
      <c r="X36" s="313"/>
      <c r="Y36" s="313"/>
      <c r="Z36" s="313"/>
      <c r="AA36" s="313"/>
    </row>
    <row r="37" spans="1:27" ht="14.25" customHeight="1" x14ac:dyDescent="0.2">
      <c r="A37" s="346">
        <v>42654</v>
      </c>
      <c r="B37" s="313">
        <v>213.429993</v>
      </c>
      <c r="C37" s="313">
        <v>108.94000200000001</v>
      </c>
      <c r="D37" s="345">
        <f t="shared" ref="D37:E37" si="44">B37/B36-1</f>
        <v>-1.262958433327932E-2</v>
      </c>
      <c r="E37" s="345">
        <f t="shared" si="44"/>
        <v>-4.4777300557433675E-3</v>
      </c>
      <c r="F37" s="313"/>
      <c r="G37" s="313"/>
      <c r="H37" s="313"/>
      <c r="I37" s="313"/>
      <c r="J37" s="313"/>
      <c r="K37" s="313"/>
      <c r="L37" s="313"/>
      <c r="M37" s="313"/>
      <c r="N37" s="352"/>
      <c r="O37" s="370">
        <f t="shared" ref="O37:O38" si="45">O38-0.005</f>
        <v>0.09</v>
      </c>
      <c r="P37" s="371">
        <v>1355.112570884221</v>
      </c>
      <c r="Q37" s="371">
        <v>620.14999432733828</v>
      </c>
      <c r="R37" s="371">
        <v>402.77826114872255</v>
      </c>
      <c r="S37" s="371">
        <v>298.62931583903224</v>
      </c>
      <c r="T37" s="372">
        <v>237.52358343037105</v>
      </c>
      <c r="U37" s="313"/>
      <c r="V37" s="313"/>
      <c r="W37" s="313"/>
      <c r="X37" s="313"/>
      <c r="Y37" s="313"/>
      <c r="Z37" s="313"/>
      <c r="AA37" s="313"/>
    </row>
    <row r="38" spans="1:27" ht="14.25" customHeight="1" x14ac:dyDescent="0.2">
      <c r="A38" s="346">
        <v>42655</v>
      </c>
      <c r="B38" s="313">
        <v>213.71000699999999</v>
      </c>
      <c r="C38" s="313">
        <v>111.540001</v>
      </c>
      <c r="D38" s="345">
        <f t="shared" ref="D38:E38" si="46">B38/B37-1</f>
        <v>1.3119711811075963E-3</v>
      </c>
      <c r="E38" s="345">
        <f t="shared" si="46"/>
        <v>2.3866338831166845E-2</v>
      </c>
      <c r="F38" s="313"/>
      <c r="G38" s="313"/>
      <c r="H38" s="313"/>
      <c r="I38" s="313"/>
      <c r="J38" s="313"/>
      <c r="K38" s="313"/>
      <c r="L38" s="313"/>
      <c r="M38" s="313"/>
      <c r="N38" s="352"/>
      <c r="O38" s="370">
        <f t="shared" si="45"/>
        <v>9.5000000000000001E-2</v>
      </c>
      <c r="P38" s="371">
        <v>1386.1504466201286</v>
      </c>
      <c r="Q38" s="373">
        <v>634.17770866292153</v>
      </c>
      <c r="R38" s="374">
        <v>411.77654062064312</v>
      </c>
      <c r="S38" s="375">
        <v>305.21891275944557</v>
      </c>
      <c r="T38" s="372">
        <v>242.70079252038707</v>
      </c>
      <c r="U38" s="313"/>
      <c r="V38" s="313"/>
      <c r="W38" s="313"/>
      <c r="X38" s="313"/>
      <c r="Y38" s="313"/>
      <c r="Z38" s="313"/>
      <c r="AA38" s="313"/>
    </row>
    <row r="39" spans="1:27" ht="14.25" customHeight="1" x14ac:dyDescent="0.2">
      <c r="A39" s="346">
        <v>42656</v>
      </c>
      <c r="B39" s="313">
        <v>213.009995</v>
      </c>
      <c r="C39" s="313">
        <v>112.699997</v>
      </c>
      <c r="D39" s="345">
        <f t="shared" ref="D39:E39" si="47">B39/B38-1</f>
        <v>-3.2755227975823642E-3</v>
      </c>
      <c r="E39" s="345">
        <f t="shared" si="47"/>
        <v>1.0399820598889775E-2</v>
      </c>
      <c r="F39" s="313"/>
      <c r="G39" s="313"/>
      <c r="H39" s="313"/>
      <c r="I39" s="313"/>
      <c r="J39" s="313"/>
      <c r="K39" s="313"/>
      <c r="L39" s="313"/>
      <c r="M39" s="313"/>
      <c r="N39" s="352"/>
      <c r="O39" s="370">
        <v>0.1</v>
      </c>
      <c r="P39" s="371">
        <v>1417.758345828511</v>
      </c>
      <c r="Q39" s="376">
        <v>648.46192980832382</v>
      </c>
      <c r="R39" s="377">
        <v>420.93864569809085</v>
      </c>
      <c r="S39" s="372">
        <v>311.92796090891198</v>
      </c>
      <c r="T39" s="372">
        <v>247.9714423278036</v>
      </c>
      <c r="U39" s="313"/>
      <c r="V39" s="313"/>
      <c r="W39" s="313"/>
      <c r="X39" s="313"/>
      <c r="Y39" s="313"/>
      <c r="Z39" s="313"/>
      <c r="AA39" s="313"/>
    </row>
    <row r="40" spans="1:27" ht="14.25" customHeight="1" x14ac:dyDescent="0.2">
      <c r="A40" s="346">
        <v>42657</v>
      </c>
      <c r="B40" s="313">
        <v>213.11999499999999</v>
      </c>
      <c r="C40" s="313">
        <v>113.349998</v>
      </c>
      <c r="D40" s="345">
        <f t="shared" ref="D40:E40" si="48">B40/B39-1</f>
        <v>5.1640769251215524E-4</v>
      </c>
      <c r="E40" s="345">
        <f t="shared" si="48"/>
        <v>5.7675334277071943E-3</v>
      </c>
      <c r="F40" s="313"/>
      <c r="G40" s="313"/>
      <c r="H40" s="313"/>
      <c r="I40" s="313"/>
      <c r="J40" s="313"/>
      <c r="K40" s="313"/>
      <c r="L40" s="313"/>
      <c r="M40" s="313"/>
      <c r="N40" s="352" t="s">
        <v>476</v>
      </c>
      <c r="O40" s="370">
        <f t="shared" ref="O40:O41" si="49">O39+0.005</f>
        <v>0.10500000000000001</v>
      </c>
      <c r="P40" s="371">
        <v>1449.9440980933659</v>
      </c>
      <c r="Q40" s="378">
        <v>663.00617320862932</v>
      </c>
      <c r="R40" s="379">
        <v>430.26681663928389</v>
      </c>
      <c r="S40" s="380">
        <v>318.75809011335537</v>
      </c>
      <c r="T40" s="372">
        <v>253.3368049504208</v>
      </c>
      <c r="U40" s="313"/>
      <c r="V40" s="313"/>
      <c r="W40" s="313"/>
      <c r="X40" s="313"/>
      <c r="Y40" s="313"/>
      <c r="Z40" s="313"/>
      <c r="AA40" s="313"/>
    </row>
    <row r="41" spans="1:27" ht="14.25" customHeight="1" x14ac:dyDescent="0.2">
      <c r="A41" s="346">
        <v>42660</v>
      </c>
      <c r="B41" s="313">
        <v>212.38000500000001</v>
      </c>
      <c r="C41" s="313">
        <v>113.339996</v>
      </c>
      <c r="D41" s="345">
        <f t="shared" ref="D41:E41" si="50">B41/B40-1</f>
        <v>-3.4721753817608114E-3</v>
      </c>
      <c r="E41" s="345">
        <f t="shared" si="50"/>
        <v>-8.8239966268055525E-5</v>
      </c>
      <c r="F41" s="313"/>
      <c r="G41" s="313"/>
      <c r="H41" s="313"/>
      <c r="I41" s="313"/>
      <c r="J41" s="313"/>
      <c r="K41" s="313"/>
      <c r="L41" s="313"/>
      <c r="M41" s="313"/>
      <c r="N41" s="352"/>
      <c r="O41" s="381">
        <f t="shared" si="49"/>
        <v>0.11000000000000001</v>
      </c>
      <c r="P41" s="379">
        <v>1482.7156044199626</v>
      </c>
      <c r="Q41" s="379">
        <v>677.81398633346339</v>
      </c>
      <c r="R41" s="379">
        <v>439.76331408292316</v>
      </c>
      <c r="S41" s="379">
        <v>325.71094500584923</v>
      </c>
      <c r="T41" s="380">
        <v>258.79816402760258</v>
      </c>
      <c r="U41" s="313"/>
      <c r="V41" s="313"/>
      <c r="W41" s="313"/>
      <c r="X41" s="313"/>
      <c r="Y41" s="313"/>
      <c r="Z41" s="313"/>
      <c r="AA41" s="313"/>
    </row>
    <row r="42" spans="1:27" ht="14.25" customHeight="1" x14ac:dyDescent="0.2">
      <c r="A42" s="346">
        <v>42661</v>
      </c>
      <c r="B42" s="313">
        <v>213.71000699999999</v>
      </c>
      <c r="C42" s="313">
        <v>114.150002</v>
      </c>
      <c r="D42" s="345">
        <f t="shared" ref="D42:E42" si="51">B42/B41-1</f>
        <v>6.2623691905459022E-3</v>
      </c>
      <c r="E42" s="345">
        <f t="shared" si="51"/>
        <v>7.1466916233171585E-3</v>
      </c>
      <c r="F42" s="313"/>
      <c r="G42" s="313"/>
      <c r="H42" s="313"/>
      <c r="I42" s="313"/>
      <c r="J42" s="313"/>
      <c r="K42" s="313"/>
      <c r="L42" s="313"/>
      <c r="M42" s="313"/>
      <c r="N42" s="352"/>
      <c r="O42" s="352"/>
      <c r="P42" s="352"/>
      <c r="Q42" s="352"/>
      <c r="R42" s="352"/>
      <c r="S42" s="313"/>
      <c r="T42" s="313"/>
      <c r="U42" s="313"/>
      <c r="V42" s="313"/>
      <c r="W42" s="313"/>
      <c r="X42" s="313"/>
      <c r="Y42" s="313"/>
      <c r="Z42" s="313"/>
      <c r="AA42" s="313"/>
    </row>
    <row r="43" spans="1:27" ht="14.25" customHeight="1" x14ac:dyDescent="0.2">
      <c r="A43" s="346">
        <v>42662</v>
      </c>
      <c r="B43" s="313">
        <v>214.279999</v>
      </c>
      <c r="C43" s="313">
        <v>115.32</v>
      </c>
      <c r="D43" s="345">
        <f t="shared" ref="D43:E43" si="52">B43/B42-1</f>
        <v>2.6671282641435035E-3</v>
      </c>
      <c r="E43" s="345">
        <f t="shared" si="52"/>
        <v>1.0249653784500046E-2</v>
      </c>
      <c r="F43" s="313"/>
      <c r="G43" s="313"/>
      <c r="H43" s="313"/>
      <c r="I43" s="313"/>
      <c r="J43" s="313"/>
      <c r="K43" s="313"/>
      <c r="L43" s="313"/>
      <c r="M43" s="313"/>
      <c r="N43" s="352"/>
      <c r="O43" s="352"/>
      <c r="P43" s="352"/>
      <c r="Q43" s="352"/>
      <c r="R43" s="352"/>
      <c r="S43" s="313"/>
      <c r="T43" s="313"/>
      <c r="U43" s="313"/>
      <c r="V43" s="313"/>
      <c r="W43" s="313"/>
      <c r="X43" s="313"/>
      <c r="Y43" s="313"/>
      <c r="Z43" s="313"/>
      <c r="AA43" s="313"/>
    </row>
    <row r="44" spans="1:27" ht="14.25" customHeight="1" x14ac:dyDescent="0.2">
      <c r="A44" s="346">
        <v>42663</v>
      </c>
      <c r="B44" s="313">
        <v>213.88000500000001</v>
      </c>
      <c r="C44" s="313">
        <v>114.83000199999999</v>
      </c>
      <c r="D44" s="345">
        <f t="shared" ref="D44:E44" si="53">B44/B43-1</f>
        <v>-1.8666884537366091E-3</v>
      </c>
      <c r="E44" s="345">
        <f t="shared" si="53"/>
        <v>-4.2490287894554335E-3</v>
      </c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</row>
    <row r="45" spans="1:27" ht="14.25" customHeight="1" x14ac:dyDescent="0.2">
      <c r="A45" s="346">
        <v>42664</v>
      </c>
      <c r="B45" s="313">
        <v>213.979996</v>
      </c>
      <c r="C45" s="313">
        <v>115.709999</v>
      </c>
      <c r="D45" s="345">
        <f t="shared" ref="D45:E45" si="54">B45/B44-1</f>
        <v>4.6750980766052663E-4</v>
      </c>
      <c r="E45" s="345">
        <f t="shared" si="54"/>
        <v>7.6634763099630021E-3</v>
      </c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</row>
    <row r="46" spans="1:27" ht="14.25" customHeight="1" x14ac:dyDescent="0.2">
      <c r="A46" s="346">
        <v>42667</v>
      </c>
      <c r="B46" s="313">
        <v>214.88999899999999</v>
      </c>
      <c r="C46" s="313">
        <v>116.75</v>
      </c>
      <c r="D46" s="345">
        <f t="shared" ref="D46:E46" si="55">B46/B45-1</f>
        <v>4.2527479998644147E-3</v>
      </c>
      <c r="E46" s="345">
        <f t="shared" si="55"/>
        <v>8.9879959293752698E-3</v>
      </c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</row>
    <row r="47" spans="1:27" ht="14.25" customHeight="1" x14ac:dyDescent="0.2">
      <c r="A47" s="346">
        <v>42668</v>
      </c>
      <c r="B47" s="313">
        <v>214.16999799999999</v>
      </c>
      <c r="C47" s="313">
        <v>116.75</v>
      </c>
      <c r="D47" s="345">
        <f t="shared" ref="D47:E47" si="56">B47/B46-1</f>
        <v>-3.3505561140608764E-3</v>
      </c>
      <c r="E47" s="345">
        <f t="shared" si="56"/>
        <v>0</v>
      </c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</row>
    <row r="48" spans="1:27" ht="14.25" customHeight="1" x14ac:dyDescent="0.2">
      <c r="A48" s="346">
        <v>42669</v>
      </c>
      <c r="B48" s="313">
        <v>213.740005</v>
      </c>
      <c r="C48" s="313">
        <v>115.66999800000001</v>
      </c>
      <c r="D48" s="345">
        <f t="shared" ref="D48:E48" si="57">B48/B47-1</f>
        <v>-2.0077181865594262E-3</v>
      </c>
      <c r="E48" s="345">
        <f t="shared" si="57"/>
        <v>-9.2505524625267066E-3</v>
      </c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</row>
    <row r="49" spans="1:27" ht="14.25" customHeight="1" x14ac:dyDescent="0.2">
      <c r="A49" s="346">
        <v>42670</v>
      </c>
      <c r="B49" s="313">
        <v>213.16999799999999</v>
      </c>
      <c r="C49" s="313">
        <v>115.400002</v>
      </c>
      <c r="D49" s="345">
        <f t="shared" ref="D49:E49" si="58">B49/B48-1</f>
        <v>-2.6668241165241913E-3</v>
      </c>
      <c r="E49" s="345">
        <f t="shared" si="58"/>
        <v>-2.3341921385700015E-3</v>
      </c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</row>
    <row r="50" spans="1:27" ht="14.25" customHeight="1" x14ac:dyDescent="0.2">
      <c r="A50" s="346">
        <v>42671</v>
      </c>
      <c r="B50" s="313">
        <v>212.53999300000001</v>
      </c>
      <c r="C50" s="313">
        <v>116.129997</v>
      </c>
      <c r="D50" s="345">
        <f t="shared" ref="D50:E50" si="59">B50/B49-1</f>
        <v>-2.9554112019083423E-3</v>
      </c>
      <c r="E50" s="345">
        <f t="shared" si="59"/>
        <v>6.3257797863816023E-3</v>
      </c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</row>
    <row r="51" spans="1:27" ht="14.25" customHeight="1" x14ac:dyDescent="0.2">
      <c r="A51" s="346">
        <v>42674</v>
      </c>
      <c r="B51" s="313">
        <v>212.550003</v>
      </c>
      <c r="C51" s="313">
        <v>117.19000200000001</v>
      </c>
      <c r="D51" s="345">
        <f t="shared" ref="D51:E51" si="60">B51/B50-1</f>
        <v>4.7097018583297512E-5</v>
      </c>
      <c r="E51" s="345">
        <f t="shared" si="60"/>
        <v>9.1277450045916808E-3</v>
      </c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</row>
    <row r="52" spans="1:27" ht="14.25" customHeight="1" x14ac:dyDescent="0.2">
      <c r="A52" s="346">
        <v>42675</v>
      </c>
      <c r="B52" s="313">
        <v>211.009995</v>
      </c>
      <c r="C52" s="313">
        <v>115.150002</v>
      </c>
      <c r="D52" s="345">
        <f t="shared" ref="D52:E52" si="61">B52/B51-1</f>
        <v>-7.2453915702838101E-3</v>
      </c>
      <c r="E52" s="345">
        <f t="shared" si="61"/>
        <v>-1.7407628340171954E-2</v>
      </c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</row>
    <row r="53" spans="1:27" ht="14.25" customHeight="1" x14ac:dyDescent="0.2">
      <c r="A53" s="346">
        <v>42676</v>
      </c>
      <c r="B53" s="313">
        <v>209.740005</v>
      </c>
      <c r="C53" s="313">
        <v>112.910004</v>
      </c>
      <c r="D53" s="345">
        <f t="shared" ref="D53:E53" si="62">B53/B52-1</f>
        <v>-6.0186248523441677E-3</v>
      </c>
      <c r="E53" s="345">
        <f t="shared" si="62"/>
        <v>-1.9452869831474207E-2</v>
      </c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</row>
    <row r="54" spans="1:27" ht="14.25" customHeight="1" x14ac:dyDescent="0.2">
      <c r="A54" s="346">
        <v>42677</v>
      </c>
      <c r="B54" s="313">
        <v>208.779999</v>
      </c>
      <c r="C54" s="313">
        <v>113.269997</v>
      </c>
      <c r="D54" s="345">
        <f t="shared" ref="D54:E54" si="63">B54/B53-1</f>
        <v>-4.5771239492436999E-3</v>
      </c>
      <c r="E54" s="345">
        <f t="shared" si="63"/>
        <v>3.188318016532854E-3</v>
      </c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</row>
    <row r="55" spans="1:27" ht="14.25" customHeight="1" x14ac:dyDescent="0.2">
      <c r="A55" s="346">
        <v>42678</v>
      </c>
      <c r="B55" s="313">
        <v>208.550003</v>
      </c>
      <c r="C55" s="313">
        <v>112.980003</v>
      </c>
      <c r="D55" s="345">
        <f t="shared" ref="D55:E55" si="64">B55/B54-1</f>
        <v>-1.1016189342926141E-3</v>
      </c>
      <c r="E55" s="345">
        <f t="shared" si="64"/>
        <v>-2.5602013567636028E-3</v>
      </c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</row>
    <row r="56" spans="1:27" ht="14.25" customHeight="1" x14ac:dyDescent="0.2">
      <c r="A56" s="346">
        <v>42681</v>
      </c>
      <c r="B56" s="313">
        <v>213.14999399999999</v>
      </c>
      <c r="C56" s="313">
        <v>115.19000200000001</v>
      </c>
      <c r="D56" s="345">
        <f t="shared" ref="D56:E56" si="65">B56/B55-1</f>
        <v>2.2057017184506922E-2</v>
      </c>
      <c r="E56" s="345">
        <f t="shared" si="65"/>
        <v>1.9560974874465176E-2</v>
      </c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</row>
    <row r="57" spans="1:27" ht="14.25" customHeight="1" x14ac:dyDescent="0.2">
      <c r="A57" s="346">
        <v>42682</v>
      </c>
      <c r="B57" s="313">
        <v>214.11000100000001</v>
      </c>
      <c r="C57" s="313">
        <v>115.93</v>
      </c>
      <c r="D57" s="345">
        <f t="shared" ref="D57:E57" si="66">B57/B56-1</f>
        <v>4.5039034812266454E-3</v>
      </c>
      <c r="E57" s="345">
        <f t="shared" si="66"/>
        <v>6.4241512904912312E-3</v>
      </c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</row>
    <row r="58" spans="1:27" ht="14.25" customHeight="1" x14ac:dyDescent="0.2">
      <c r="A58" s="346">
        <v>42683</v>
      </c>
      <c r="B58" s="313">
        <v>216.38000500000001</v>
      </c>
      <c r="C58" s="313">
        <v>109.220001</v>
      </c>
      <c r="D58" s="345">
        <f t="shared" ref="D58:E58" si="67">B58/B57-1</f>
        <v>1.0602045627938761E-2</v>
      </c>
      <c r="E58" s="345">
        <f t="shared" si="67"/>
        <v>-5.787974639868898E-2</v>
      </c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</row>
    <row r="59" spans="1:27" ht="14.25" customHeight="1" x14ac:dyDescent="0.2">
      <c r="A59" s="346">
        <v>42684</v>
      </c>
      <c r="B59" s="313">
        <v>216.91999799999999</v>
      </c>
      <c r="C59" s="313">
        <v>105.709999</v>
      </c>
      <c r="D59" s="345">
        <f t="shared" ref="D59:E59" si="68">B59/B58-1</f>
        <v>2.4955771675851945E-3</v>
      </c>
      <c r="E59" s="345">
        <f t="shared" si="68"/>
        <v>-3.2136989268110372E-2</v>
      </c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</row>
    <row r="60" spans="1:27" ht="14.25" customHeight="1" x14ac:dyDescent="0.2">
      <c r="A60" s="346">
        <v>42685</v>
      </c>
      <c r="B60" s="313">
        <v>216.41999799999999</v>
      </c>
      <c r="C60" s="313">
        <v>105.709999</v>
      </c>
      <c r="D60" s="345">
        <f t="shared" ref="D60:E60" si="69">B60/B59-1</f>
        <v>-2.3049972552553477E-3</v>
      </c>
      <c r="E60" s="345">
        <f t="shared" si="69"/>
        <v>0</v>
      </c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</row>
    <row r="61" spans="1:27" ht="14.25" customHeight="1" x14ac:dyDescent="0.2">
      <c r="A61" s="346">
        <v>42688</v>
      </c>
      <c r="B61" s="313">
        <v>216.58999600000001</v>
      </c>
      <c r="C61" s="313">
        <v>102.57</v>
      </c>
      <c r="D61" s="345">
        <f t="shared" ref="D61:E61" si="70">B61/B60-1</f>
        <v>7.8550042311720247E-4</v>
      </c>
      <c r="E61" s="345">
        <f t="shared" si="70"/>
        <v>-2.9703897736296447E-2</v>
      </c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</row>
    <row r="62" spans="1:27" ht="14.25" customHeight="1" x14ac:dyDescent="0.2">
      <c r="A62" s="346">
        <v>42689</v>
      </c>
      <c r="B62" s="313">
        <v>218.279999</v>
      </c>
      <c r="C62" s="313">
        <v>103.489998</v>
      </c>
      <c r="D62" s="345">
        <f t="shared" ref="D62:E62" si="71">B62/B61-1</f>
        <v>7.8027749721183426E-3</v>
      </c>
      <c r="E62" s="345">
        <f t="shared" si="71"/>
        <v>8.969464755776535E-3</v>
      </c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</row>
    <row r="63" spans="1:27" ht="14.25" customHeight="1" x14ac:dyDescent="0.2">
      <c r="A63" s="346">
        <v>42690</v>
      </c>
      <c r="B63" s="313">
        <v>217.86999499999999</v>
      </c>
      <c r="C63" s="313">
        <v>105.43</v>
      </c>
      <c r="D63" s="345">
        <f t="shared" ref="D63:E63" si="72">B63/B62-1</f>
        <v>-1.8783397557190495E-3</v>
      </c>
      <c r="E63" s="345">
        <f t="shared" si="72"/>
        <v>1.8745792226220859E-2</v>
      </c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</row>
    <row r="64" spans="1:27" ht="14.25" customHeight="1" x14ac:dyDescent="0.2">
      <c r="A64" s="346">
        <v>42691</v>
      </c>
      <c r="B64" s="313">
        <v>218.990005</v>
      </c>
      <c r="C64" s="313">
        <v>105.540001</v>
      </c>
      <c r="D64" s="345">
        <f t="shared" ref="D64:E64" si="73">B64/B63-1</f>
        <v>5.1407262390583686E-3</v>
      </c>
      <c r="E64" s="345">
        <f t="shared" si="73"/>
        <v>1.0433557810869409E-3</v>
      </c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</row>
    <row r="65" spans="1:27" ht="14.25" customHeight="1" x14ac:dyDescent="0.2">
      <c r="A65" s="346">
        <v>42692</v>
      </c>
      <c r="B65" s="313">
        <v>218.5</v>
      </c>
      <c r="C65" s="313">
        <v>105.089996</v>
      </c>
      <c r="D65" s="345">
        <f t="shared" ref="D65:E65" si="74">B65/B64-1</f>
        <v>-2.2375678743876692E-3</v>
      </c>
      <c r="E65" s="345">
        <f t="shared" si="74"/>
        <v>-4.2638335771856273E-3</v>
      </c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</row>
    <row r="66" spans="1:27" ht="14.25" customHeight="1" x14ac:dyDescent="0.2">
      <c r="A66" s="346">
        <v>42695</v>
      </c>
      <c r="B66" s="313">
        <v>220.14999399999999</v>
      </c>
      <c r="C66" s="313">
        <v>105.910004</v>
      </c>
      <c r="D66" s="345">
        <f t="shared" ref="D66:E66" si="75">B66/B65-1</f>
        <v>7.5514599542334526E-3</v>
      </c>
      <c r="E66" s="345">
        <f t="shared" si="75"/>
        <v>7.8029120868936541E-3</v>
      </c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</row>
    <row r="67" spans="1:27" ht="14.25" customHeight="1" x14ac:dyDescent="0.2">
      <c r="A67" s="346">
        <v>42696</v>
      </c>
      <c r="B67" s="313">
        <v>220.58000200000001</v>
      </c>
      <c r="C67" s="313">
        <v>107.980003</v>
      </c>
      <c r="D67" s="345">
        <f t="shared" ref="D67:E67" si="76">B67/B66-1</f>
        <v>1.9532501100136823E-3</v>
      </c>
      <c r="E67" s="345">
        <f t="shared" si="76"/>
        <v>1.9544886430180819E-2</v>
      </c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</row>
    <row r="68" spans="1:27" ht="14.25" customHeight="1" x14ac:dyDescent="0.2">
      <c r="A68" s="346">
        <v>42697</v>
      </c>
      <c r="B68" s="313">
        <v>220.699997</v>
      </c>
      <c r="C68" s="313">
        <v>106.779999</v>
      </c>
      <c r="D68" s="345">
        <f t="shared" ref="D68:E68" si="77">B68/B67-1</f>
        <v>5.4399763764623188E-4</v>
      </c>
      <c r="E68" s="345">
        <f t="shared" si="77"/>
        <v>-1.111320584052955E-2</v>
      </c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</row>
    <row r="69" spans="1:27" ht="14.25" customHeight="1" x14ac:dyDescent="0.2">
      <c r="A69" s="346">
        <v>42699</v>
      </c>
      <c r="B69" s="313">
        <v>221.520004</v>
      </c>
      <c r="C69" s="313">
        <v>107.300003</v>
      </c>
      <c r="D69" s="345">
        <f t="shared" ref="D69:E69" si="78">B69/B68-1</f>
        <v>3.7154826060101787E-3</v>
      </c>
      <c r="E69" s="345">
        <f t="shared" si="78"/>
        <v>4.869863315881906E-3</v>
      </c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</row>
    <row r="70" spans="1:27" ht="14.25" customHeight="1" x14ac:dyDescent="0.2">
      <c r="A70" s="346">
        <v>42702</v>
      </c>
      <c r="B70" s="313">
        <v>220.479996</v>
      </c>
      <c r="C70" s="313">
        <v>106.110001</v>
      </c>
      <c r="D70" s="345">
        <f t="shared" ref="D70:E70" si="79">B70/B69-1</f>
        <v>-4.6948717100961934E-3</v>
      </c>
      <c r="E70" s="345">
        <f t="shared" si="79"/>
        <v>-1.109041907482522E-2</v>
      </c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</row>
    <row r="71" spans="1:27" ht="14.25" customHeight="1" x14ac:dyDescent="0.2">
      <c r="A71" s="346">
        <v>42703</v>
      </c>
      <c r="B71" s="313">
        <v>220.91000399999999</v>
      </c>
      <c r="C71" s="313">
        <v>106.050003</v>
      </c>
      <c r="D71" s="345">
        <f t="shared" ref="D71:E71" si="80">B71/B70-1</f>
        <v>1.9503265956153371E-3</v>
      </c>
      <c r="E71" s="345">
        <f t="shared" si="80"/>
        <v>-5.6543209343662415E-4</v>
      </c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</row>
    <row r="72" spans="1:27" ht="14.25" customHeight="1" x14ac:dyDescent="0.2">
      <c r="A72" s="346">
        <v>42704</v>
      </c>
      <c r="B72" s="313">
        <v>220.38000500000001</v>
      </c>
      <c r="C72" s="313">
        <v>102.269997</v>
      </c>
      <c r="D72" s="345">
        <f t="shared" ref="D72:E72" si="81">B72/B71-1</f>
        <v>-2.3991625114450077E-3</v>
      </c>
      <c r="E72" s="345">
        <f t="shared" si="81"/>
        <v>-3.5643619925215808E-2</v>
      </c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</row>
    <row r="73" spans="1:27" ht="14.25" customHeight="1" x14ac:dyDescent="0.2">
      <c r="A73" s="346">
        <v>42705</v>
      </c>
      <c r="B73" s="313">
        <v>219.570007</v>
      </c>
      <c r="C73" s="313">
        <v>100.980003</v>
      </c>
      <c r="D73" s="345">
        <f t="shared" ref="D73:E73" si="82">B73/B72-1</f>
        <v>-3.6754604847204497E-3</v>
      </c>
      <c r="E73" s="345">
        <f t="shared" si="82"/>
        <v>-1.2613611399636682E-2</v>
      </c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</row>
    <row r="74" spans="1:27" ht="14.25" customHeight="1" x14ac:dyDescent="0.2">
      <c r="A74" s="346">
        <v>42706</v>
      </c>
      <c r="B74" s="313">
        <v>219.679993</v>
      </c>
      <c r="C74" s="313">
        <v>102.57</v>
      </c>
      <c r="D74" s="345">
        <f t="shared" ref="D74:E74" si="83">B74/B73-1</f>
        <v>5.009154096351498E-4</v>
      </c>
      <c r="E74" s="345">
        <f t="shared" si="83"/>
        <v>1.5745662039641672E-2</v>
      </c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</row>
    <row r="75" spans="1:27" ht="14.25" customHeight="1" x14ac:dyDescent="0.2">
      <c r="A75" s="346">
        <v>42709</v>
      </c>
      <c r="B75" s="313">
        <v>221</v>
      </c>
      <c r="C75" s="313">
        <v>102.040001</v>
      </c>
      <c r="D75" s="345">
        <f t="shared" ref="D75:E75" si="84">B75/B74-1</f>
        <v>6.0087720414303547E-3</v>
      </c>
      <c r="E75" s="345">
        <f t="shared" si="84"/>
        <v>-5.1671931363945767E-3</v>
      </c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</row>
    <row r="76" spans="1:27" ht="14.25" customHeight="1" x14ac:dyDescent="0.2">
      <c r="A76" s="346">
        <v>42710</v>
      </c>
      <c r="B76" s="313">
        <v>221.699997</v>
      </c>
      <c r="C76" s="313">
        <v>100.849998</v>
      </c>
      <c r="D76" s="345">
        <f t="shared" ref="D76:E76" si="85">B76/B75-1</f>
        <v>3.1674072398188979E-3</v>
      </c>
      <c r="E76" s="345">
        <f t="shared" si="85"/>
        <v>-1.1662122582691947E-2</v>
      </c>
      <c r="F76" s="313"/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  <c r="AA76" s="313"/>
    </row>
    <row r="77" spans="1:27" ht="14.25" customHeight="1" x14ac:dyDescent="0.2">
      <c r="A77" s="346">
        <v>42711</v>
      </c>
      <c r="B77" s="313">
        <v>224.60000600000001</v>
      </c>
      <c r="C77" s="313">
        <v>102.199997</v>
      </c>
      <c r="D77" s="345">
        <f t="shared" ref="D77:E77" si="86">B77/B76-1</f>
        <v>1.3080780510790868E-2</v>
      </c>
      <c r="E77" s="345">
        <f t="shared" si="86"/>
        <v>1.3386207503940595E-2</v>
      </c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</row>
    <row r="78" spans="1:27" ht="14.25" customHeight="1" x14ac:dyDescent="0.2">
      <c r="A78" s="346">
        <v>42712</v>
      </c>
      <c r="B78" s="313">
        <v>225.14999399999999</v>
      </c>
      <c r="C78" s="313">
        <v>102.389999</v>
      </c>
      <c r="D78" s="345">
        <f t="shared" ref="D78:E78" si="87">B78/B77-1</f>
        <v>2.4487443691341149E-3</v>
      </c>
      <c r="E78" s="345">
        <f t="shared" si="87"/>
        <v>1.8591194283499313E-3</v>
      </c>
      <c r="F78" s="313"/>
      <c r="G78" s="313"/>
      <c r="H78" s="313"/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</row>
    <row r="79" spans="1:27" ht="14.25" customHeight="1" x14ac:dyDescent="0.2">
      <c r="A79" s="346">
        <v>42713</v>
      </c>
      <c r="B79" s="313">
        <v>226.509995</v>
      </c>
      <c r="C79" s="313">
        <v>102.910004</v>
      </c>
      <c r="D79" s="345">
        <f t="shared" ref="D79:E79" si="88">B79/B78-1</f>
        <v>6.0404221018990345E-3</v>
      </c>
      <c r="E79" s="345">
        <f t="shared" si="88"/>
        <v>5.0786698415730136E-3</v>
      </c>
      <c r="F79" s="313"/>
      <c r="G79" s="313"/>
      <c r="H79" s="313"/>
      <c r="I79" s="313"/>
      <c r="J79" s="313"/>
      <c r="K79" s="313"/>
      <c r="L79" s="313"/>
      <c r="M79" s="313"/>
      <c r="N79" s="313"/>
      <c r="O79" s="313"/>
      <c r="P79" s="313"/>
      <c r="Q79" s="313"/>
      <c r="R79" s="313"/>
      <c r="S79" s="313"/>
      <c r="T79" s="313"/>
      <c r="U79" s="313"/>
      <c r="V79" s="313"/>
      <c r="W79" s="313"/>
      <c r="X79" s="313"/>
      <c r="Y79" s="313"/>
      <c r="Z79" s="313"/>
      <c r="AA79" s="313"/>
    </row>
    <row r="80" spans="1:27" ht="14.25" customHeight="1" x14ac:dyDescent="0.2">
      <c r="A80" s="346">
        <v>42716</v>
      </c>
      <c r="B80" s="313">
        <v>226.25</v>
      </c>
      <c r="C80" s="313">
        <v>103.889999</v>
      </c>
      <c r="D80" s="345">
        <f t="shared" ref="D80:E80" si="89">B80/B79-1</f>
        <v>-1.1478301432128468E-3</v>
      </c>
      <c r="E80" s="345">
        <f t="shared" si="89"/>
        <v>9.5228351171767756E-3</v>
      </c>
      <c r="F80" s="313"/>
      <c r="G80" s="313"/>
      <c r="H80" s="313"/>
      <c r="I80" s="313"/>
      <c r="J80" s="313"/>
      <c r="K80" s="313"/>
      <c r="L80" s="313"/>
      <c r="M80" s="313"/>
      <c r="N80" s="313"/>
      <c r="O80" s="313"/>
      <c r="P80" s="313"/>
      <c r="Q80" s="313"/>
      <c r="R80" s="313"/>
      <c r="S80" s="313"/>
      <c r="T80" s="313"/>
      <c r="U80" s="313"/>
      <c r="V80" s="313"/>
      <c r="W80" s="313"/>
      <c r="X80" s="313"/>
      <c r="Y80" s="313"/>
      <c r="Z80" s="313"/>
      <c r="AA80" s="313"/>
    </row>
    <row r="81" spans="1:27" ht="14.25" customHeight="1" x14ac:dyDescent="0.2">
      <c r="A81" s="346">
        <v>42717</v>
      </c>
      <c r="B81" s="313">
        <v>227.759995</v>
      </c>
      <c r="C81" s="313">
        <v>106.129997</v>
      </c>
      <c r="D81" s="345">
        <f t="shared" ref="D81:E81" si="90">B81/B80-1</f>
        <v>6.6740110497238714E-3</v>
      </c>
      <c r="E81" s="345">
        <f t="shared" si="90"/>
        <v>2.1561247680828233E-2</v>
      </c>
      <c r="F81" s="313"/>
      <c r="G81" s="313"/>
      <c r="H81" s="313"/>
      <c r="I81" s="313"/>
      <c r="J81" s="313"/>
      <c r="K81" s="313"/>
      <c r="L81" s="313"/>
      <c r="M81" s="313"/>
      <c r="N81" s="313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  <c r="AA81" s="313"/>
    </row>
    <row r="82" spans="1:27" ht="14.25" customHeight="1" x14ac:dyDescent="0.2">
      <c r="A82" s="346">
        <v>42718</v>
      </c>
      <c r="B82" s="313">
        <v>225.88000500000001</v>
      </c>
      <c r="C82" s="313">
        <v>106.5</v>
      </c>
      <c r="D82" s="345">
        <f t="shared" ref="D82:E82" si="91">B82/B81-1</f>
        <v>-8.2542590501900603E-3</v>
      </c>
      <c r="E82" s="345">
        <f t="shared" si="91"/>
        <v>3.4863187643356941E-3</v>
      </c>
      <c r="F82" s="313"/>
      <c r="G82" s="313"/>
      <c r="H82" s="313"/>
      <c r="I82" s="313"/>
      <c r="J82" s="313"/>
      <c r="K82" s="313"/>
      <c r="L82" s="313"/>
      <c r="M82" s="313"/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  <c r="AA82" s="313"/>
    </row>
    <row r="83" spans="1:27" ht="14.25" customHeight="1" x14ac:dyDescent="0.2">
      <c r="A83" s="346">
        <v>42719</v>
      </c>
      <c r="B83" s="313">
        <v>226.80999800000001</v>
      </c>
      <c r="C83" s="313">
        <v>106.05999799999999</v>
      </c>
      <c r="D83" s="345">
        <f t="shared" ref="D83:E83" si="92">B83/B82-1</f>
        <v>4.1171993067734558E-3</v>
      </c>
      <c r="E83" s="345">
        <f t="shared" si="92"/>
        <v>-4.1314741784038711E-3</v>
      </c>
      <c r="F83" s="313"/>
      <c r="G83" s="313"/>
      <c r="H83" s="313"/>
      <c r="I83" s="313"/>
      <c r="J83" s="313"/>
      <c r="K83" s="313"/>
      <c r="L83" s="313"/>
      <c r="M83" s="313"/>
      <c r="N83" s="313"/>
      <c r="O83" s="313"/>
      <c r="P83" s="313"/>
      <c r="Q83" s="313"/>
      <c r="R83" s="313"/>
      <c r="S83" s="313"/>
      <c r="T83" s="313"/>
      <c r="U83" s="313"/>
      <c r="V83" s="313"/>
      <c r="W83" s="313"/>
      <c r="X83" s="313"/>
      <c r="Y83" s="313"/>
      <c r="Z83" s="313"/>
      <c r="AA83" s="313"/>
    </row>
    <row r="84" spans="1:27" ht="14.25" customHeight="1" x14ac:dyDescent="0.2">
      <c r="A84" s="346">
        <v>42720</v>
      </c>
      <c r="B84" s="313">
        <v>225.03999300000001</v>
      </c>
      <c r="C84" s="313">
        <v>105.800003</v>
      </c>
      <c r="D84" s="345">
        <f t="shared" ref="D84:E84" si="93">B84/B83-1</f>
        <v>-7.8039108311265259E-3</v>
      </c>
      <c r="E84" s="345">
        <f t="shared" si="93"/>
        <v>-2.4513954827718454E-3</v>
      </c>
      <c r="F84" s="313"/>
      <c r="G84" s="313"/>
      <c r="H84" s="313"/>
      <c r="I84" s="313"/>
      <c r="J84" s="313"/>
      <c r="K84" s="313"/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  <c r="AA84" s="313"/>
    </row>
    <row r="85" spans="1:27" ht="14.25" customHeight="1" x14ac:dyDescent="0.2">
      <c r="A85" s="346">
        <v>42723</v>
      </c>
      <c r="B85" s="313">
        <v>225.529999</v>
      </c>
      <c r="C85" s="313">
        <v>106.949997</v>
      </c>
      <c r="D85" s="345">
        <f t="shared" ref="D85:E85" si="94">B85/B84-1</f>
        <v>2.1774174157567217E-3</v>
      </c>
      <c r="E85" s="345">
        <f t="shared" si="94"/>
        <v>1.0869508198407152E-2</v>
      </c>
      <c r="F85" s="313"/>
      <c r="G85" s="313"/>
      <c r="H85" s="313"/>
      <c r="I85" s="313"/>
      <c r="J85" s="313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313"/>
      <c r="Z85" s="313"/>
      <c r="AA85" s="313"/>
    </row>
    <row r="86" spans="1:27" ht="14.25" customHeight="1" x14ac:dyDescent="0.2">
      <c r="A86" s="346">
        <v>42724</v>
      </c>
      <c r="B86" s="313">
        <v>226.39999399999999</v>
      </c>
      <c r="C86" s="313">
        <v>106.980003</v>
      </c>
      <c r="D86" s="345">
        <f t="shared" ref="D86:E86" si="95">B86/B85-1</f>
        <v>3.8575577699531127E-3</v>
      </c>
      <c r="E86" s="345">
        <f t="shared" si="95"/>
        <v>2.805610176874751E-4</v>
      </c>
      <c r="F86" s="313"/>
      <c r="G86" s="313"/>
      <c r="H86" s="313"/>
      <c r="I86" s="313"/>
      <c r="J86" s="313"/>
      <c r="K86" s="313"/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13"/>
      <c r="X86" s="313"/>
      <c r="Y86" s="313"/>
      <c r="Z86" s="313"/>
      <c r="AA86" s="313"/>
    </row>
    <row r="87" spans="1:27" ht="14.25" customHeight="1" x14ac:dyDescent="0.2">
      <c r="A87" s="346">
        <v>42725</v>
      </c>
      <c r="B87" s="313">
        <v>225.770004</v>
      </c>
      <c r="C87" s="313">
        <v>106.599998</v>
      </c>
      <c r="D87" s="345">
        <f t="shared" ref="D87:E87" si="96">B87/B86-1</f>
        <v>-2.782641416501086E-3</v>
      </c>
      <c r="E87" s="345">
        <f t="shared" si="96"/>
        <v>-3.5521124447902563E-3</v>
      </c>
      <c r="F87" s="313"/>
      <c r="G87" s="313"/>
      <c r="H87" s="313"/>
      <c r="I87" s="313"/>
      <c r="J87" s="313"/>
      <c r="K87" s="313"/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  <c r="AA87" s="313"/>
    </row>
    <row r="88" spans="1:27" ht="14.25" customHeight="1" x14ac:dyDescent="0.2">
      <c r="A88" s="346">
        <v>42726</v>
      </c>
      <c r="B88" s="313">
        <v>225.38000500000001</v>
      </c>
      <c r="C88" s="313">
        <v>106.599998</v>
      </c>
      <c r="D88" s="345">
        <f t="shared" ref="D88:E88" si="97">B88/B87-1</f>
        <v>-1.7274172524707199E-3</v>
      </c>
      <c r="E88" s="345">
        <f t="shared" si="97"/>
        <v>0</v>
      </c>
      <c r="F88" s="313"/>
      <c r="G88" s="313"/>
      <c r="H88" s="313"/>
      <c r="I88" s="313"/>
      <c r="J88" s="313"/>
      <c r="K88" s="313"/>
      <c r="L88" s="313"/>
      <c r="M88" s="313"/>
      <c r="N88" s="313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  <c r="AA88" s="313"/>
    </row>
    <row r="89" spans="1:27" ht="14.25" customHeight="1" x14ac:dyDescent="0.2">
      <c r="A89" s="346">
        <v>42727</v>
      </c>
      <c r="B89" s="313">
        <v>225.71000699999999</v>
      </c>
      <c r="C89" s="313">
        <v>106.029999</v>
      </c>
      <c r="D89" s="345">
        <f t="shared" ref="D89:E89" si="98">B89/B88-1</f>
        <v>1.4642026474351866E-3</v>
      </c>
      <c r="E89" s="345">
        <f t="shared" si="98"/>
        <v>-5.3470826519151915E-3</v>
      </c>
      <c r="F89" s="313"/>
      <c r="G89" s="313"/>
      <c r="H89" s="313"/>
      <c r="I89" s="313"/>
      <c r="J89" s="313"/>
      <c r="K89" s="313"/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13"/>
      <c r="X89" s="313"/>
      <c r="Y89" s="313"/>
      <c r="Z89" s="313"/>
      <c r="AA89" s="313"/>
    </row>
    <row r="90" spans="1:27" ht="14.25" customHeight="1" x14ac:dyDescent="0.2">
      <c r="A90" s="346">
        <v>42731</v>
      </c>
      <c r="B90" s="313">
        <v>226.270004</v>
      </c>
      <c r="C90" s="313">
        <v>106.290001</v>
      </c>
      <c r="D90" s="345">
        <f t="shared" ref="D90:E90" si="99">B90/B89-1</f>
        <v>2.4810463986206788E-3</v>
      </c>
      <c r="E90" s="345">
        <f t="shared" si="99"/>
        <v>2.4521550735843167E-3</v>
      </c>
      <c r="F90" s="313"/>
      <c r="G90" s="313"/>
      <c r="H90" s="313"/>
      <c r="I90" s="313"/>
      <c r="J90" s="313"/>
      <c r="K90" s="313"/>
      <c r="L90" s="313"/>
      <c r="M90" s="313"/>
      <c r="N90" s="313"/>
      <c r="O90" s="313"/>
      <c r="P90" s="313"/>
      <c r="Q90" s="313"/>
      <c r="R90" s="313"/>
      <c r="S90" s="313"/>
      <c r="T90" s="313"/>
      <c r="U90" s="313"/>
      <c r="V90" s="313"/>
      <c r="W90" s="313"/>
      <c r="X90" s="313"/>
      <c r="Y90" s="313"/>
      <c r="Z90" s="313"/>
      <c r="AA90" s="313"/>
    </row>
    <row r="91" spans="1:27" ht="14.25" customHeight="1" x14ac:dyDescent="0.2">
      <c r="A91" s="346">
        <v>42732</v>
      </c>
      <c r="B91" s="313">
        <v>224.39999399999999</v>
      </c>
      <c r="C91" s="313">
        <v>105.839996</v>
      </c>
      <c r="D91" s="345">
        <f t="shared" ref="D91:E91" si="100">B91/B90-1</f>
        <v>-8.2645068588057535E-3</v>
      </c>
      <c r="E91" s="345">
        <f t="shared" si="100"/>
        <v>-4.2337472553038991E-3</v>
      </c>
      <c r="F91" s="313"/>
      <c r="G91" s="313"/>
      <c r="H91" s="313"/>
      <c r="I91" s="313"/>
      <c r="J91" s="313"/>
      <c r="K91" s="313"/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3"/>
      <c r="Y91" s="313"/>
      <c r="Z91" s="313"/>
      <c r="AA91" s="313"/>
    </row>
    <row r="92" spans="1:27" ht="14.25" customHeight="1" x14ac:dyDescent="0.2">
      <c r="A92" s="346">
        <v>42733</v>
      </c>
      <c r="B92" s="313">
        <v>224.35000600000001</v>
      </c>
      <c r="C92" s="313">
        <v>106.389999</v>
      </c>
      <c r="D92" s="345">
        <f t="shared" ref="D92:E92" si="101">B92/B91-1</f>
        <v>-2.2276292930734076E-4</v>
      </c>
      <c r="E92" s="345">
        <f t="shared" si="101"/>
        <v>5.1965515947298702E-3</v>
      </c>
      <c r="F92" s="313"/>
      <c r="G92" s="313"/>
      <c r="H92" s="313"/>
      <c r="I92" s="313"/>
      <c r="J92" s="313"/>
      <c r="K92" s="313"/>
      <c r="L92" s="313"/>
      <c r="M92" s="313"/>
      <c r="N92" s="313"/>
      <c r="O92" s="313"/>
      <c r="P92" s="313"/>
      <c r="Q92" s="313"/>
      <c r="R92" s="313"/>
      <c r="S92" s="313"/>
      <c r="T92" s="313"/>
      <c r="U92" s="313"/>
      <c r="V92" s="313"/>
      <c r="W92" s="313"/>
      <c r="X92" s="313"/>
      <c r="Y92" s="313"/>
      <c r="Z92" s="313"/>
      <c r="AA92" s="313"/>
    </row>
    <row r="93" spans="1:27" ht="14.25" customHeight="1" x14ac:dyDescent="0.2">
      <c r="A93" s="346">
        <v>42734</v>
      </c>
      <c r="B93" s="313">
        <v>223.529999</v>
      </c>
      <c r="C93" s="313">
        <v>105.68</v>
      </c>
      <c r="D93" s="345">
        <f t="shared" ref="D93:E93" si="102">B93/B92-1</f>
        <v>-3.6550344464889584E-3</v>
      </c>
      <c r="E93" s="345">
        <f t="shared" si="102"/>
        <v>-6.6735502084175335E-3</v>
      </c>
      <c r="F93" s="313"/>
      <c r="G93" s="313"/>
      <c r="H93" s="313"/>
      <c r="I93" s="313"/>
      <c r="J93" s="313"/>
      <c r="K93" s="313"/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13"/>
      <c r="X93" s="313"/>
      <c r="Y93" s="313"/>
      <c r="Z93" s="313"/>
      <c r="AA93" s="313"/>
    </row>
    <row r="94" spans="1:27" ht="14.25" customHeight="1" x14ac:dyDescent="0.2">
      <c r="A94" s="346">
        <v>42738</v>
      </c>
      <c r="B94" s="313">
        <v>225.240005</v>
      </c>
      <c r="C94" s="313">
        <v>106.150002</v>
      </c>
      <c r="D94" s="345">
        <f t="shared" ref="D94:E94" si="103">B94/B93-1</f>
        <v>7.6500067447322628E-3</v>
      </c>
      <c r="E94" s="345">
        <f t="shared" si="103"/>
        <v>4.4474072672218146E-3</v>
      </c>
      <c r="F94" s="313"/>
      <c r="G94" s="313"/>
      <c r="H94" s="313"/>
      <c r="I94" s="313"/>
      <c r="J94" s="313"/>
      <c r="K94" s="313"/>
      <c r="L94" s="313"/>
      <c r="M94" s="313"/>
      <c r="N94" s="313"/>
      <c r="O94" s="313"/>
      <c r="P94" s="313"/>
      <c r="Q94" s="313"/>
      <c r="R94" s="313"/>
      <c r="S94" s="313"/>
      <c r="T94" s="313"/>
      <c r="U94" s="313"/>
      <c r="V94" s="313"/>
      <c r="W94" s="313"/>
      <c r="X94" s="313"/>
      <c r="Y94" s="313"/>
      <c r="Z94" s="313"/>
      <c r="AA94" s="313"/>
    </row>
    <row r="95" spans="1:27" ht="14.25" customHeight="1" x14ac:dyDescent="0.2">
      <c r="A95" s="346">
        <v>42739</v>
      </c>
      <c r="B95" s="313">
        <v>226.58000200000001</v>
      </c>
      <c r="C95" s="313">
        <v>106.339996</v>
      </c>
      <c r="D95" s="345">
        <f t="shared" ref="D95:E95" si="104">B95/B94-1</f>
        <v>5.9491962806519361E-3</v>
      </c>
      <c r="E95" s="345">
        <f t="shared" si="104"/>
        <v>1.7898633671245001E-3</v>
      </c>
      <c r="F95" s="313"/>
      <c r="G95" s="313"/>
      <c r="H95" s="313"/>
      <c r="I95" s="313"/>
      <c r="J95" s="313"/>
      <c r="K95" s="313"/>
      <c r="L95" s="313"/>
      <c r="M95" s="313"/>
      <c r="N95" s="313"/>
      <c r="O95" s="313"/>
      <c r="P95" s="313"/>
      <c r="Q95" s="313"/>
      <c r="R95" s="313"/>
      <c r="S95" s="313"/>
      <c r="T95" s="313"/>
      <c r="U95" s="313"/>
      <c r="V95" s="313"/>
      <c r="W95" s="313"/>
      <c r="X95" s="313"/>
      <c r="Y95" s="313"/>
      <c r="Z95" s="313"/>
      <c r="AA95" s="313"/>
    </row>
    <row r="96" spans="1:27" ht="14.25" customHeight="1" x14ac:dyDescent="0.2">
      <c r="A96" s="346">
        <v>42740</v>
      </c>
      <c r="B96" s="313">
        <v>226.39999399999999</v>
      </c>
      <c r="C96" s="313">
        <v>105.970001</v>
      </c>
      <c r="D96" s="345">
        <f t="shared" ref="D96:E96" si="105">B96/B95-1</f>
        <v>-7.94456697021384E-4</v>
      </c>
      <c r="E96" s="345">
        <f t="shared" si="105"/>
        <v>-3.479358791775744E-3</v>
      </c>
      <c r="F96" s="313"/>
      <c r="G96" s="313"/>
      <c r="H96" s="313"/>
      <c r="I96" s="313"/>
      <c r="J96" s="313"/>
      <c r="K96" s="313"/>
      <c r="L96" s="313"/>
      <c r="M96" s="313"/>
      <c r="N96" s="313"/>
      <c r="O96" s="313"/>
      <c r="P96" s="313"/>
      <c r="Q96" s="313"/>
      <c r="R96" s="313"/>
      <c r="S96" s="313"/>
      <c r="T96" s="313"/>
      <c r="U96" s="313"/>
      <c r="V96" s="313"/>
      <c r="W96" s="313"/>
      <c r="X96" s="313"/>
      <c r="Y96" s="313"/>
      <c r="Z96" s="313"/>
      <c r="AA96" s="313"/>
    </row>
    <row r="97" spans="1:27" ht="14.25" customHeight="1" x14ac:dyDescent="0.2">
      <c r="A97" s="346">
        <v>42741</v>
      </c>
      <c r="B97" s="313">
        <v>227.21000699999999</v>
      </c>
      <c r="C97" s="313">
        <v>105.269997</v>
      </c>
      <c r="D97" s="345">
        <f t="shared" ref="D97:E97" si="106">B97/B96-1</f>
        <v>3.5777960312137758E-3</v>
      </c>
      <c r="E97" s="345">
        <f t="shared" si="106"/>
        <v>-6.6056807907362014E-3</v>
      </c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13"/>
      <c r="X97" s="313"/>
      <c r="Y97" s="313"/>
      <c r="Z97" s="313"/>
      <c r="AA97" s="313"/>
    </row>
    <row r="98" spans="1:27" ht="14.25" customHeight="1" x14ac:dyDescent="0.2">
      <c r="A98" s="346">
        <v>42744</v>
      </c>
      <c r="B98" s="313">
        <v>226.46000699999999</v>
      </c>
      <c r="C98" s="313">
        <v>105.019997</v>
      </c>
      <c r="D98" s="345">
        <f t="shared" ref="D98:E98" si="107">B98/B97-1</f>
        <v>-3.3009109497540434E-3</v>
      </c>
      <c r="E98" s="345">
        <f t="shared" si="107"/>
        <v>-2.3748457027124026E-3</v>
      </c>
      <c r="F98" s="313"/>
      <c r="G98" s="313"/>
      <c r="H98" s="313"/>
      <c r="I98" s="313"/>
      <c r="J98" s="313"/>
      <c r="K98" s="313"/>
      <c r="L98" s="313"/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13"/>
      <c r="X98" s="313"/>
      <c r="Y98" s="313"/>
      <c r="Z98" s="313"/>
      <c r="AA98" s="313"/>
    </row>
    <row r="99" spans="1:27" ht="14.25" customHeight="1" x14ac:dyDescent="0.2">
      <c r="A99" s="346">
        <v>42745</v>
      </c>
      <c r="B99" s="313">
        <v>226.46000699999999</v>
      </c>
      <c r="C99" s="313">
        <v>103.5</v>
      </c>
      <c r="D99" s="345">
        <f t="shared" ref="D99:E99" si="108">B99/B98-1</f>
        <v>0</v>
      </c>
      <c r="E99" s="345">
        <f t="shared" si="108"/>
        <v>-1.4473405479148882E-2</v>
      </c>
      <c r="F99" s="313"/>
      <c r="G99" s="313"/>
      <c r="H99" s="313"/>
      <c r="I99" s="313"/>
      <c r="J99" s="313"/>
      <c r="K99" s="313"/>
      <c r="L99" s="313"/>
      <c r="M99" s="313"/>
      <c r="N99" s="313"/>
      <c r="O99" s="313"/>
      <c r="P99" s="313"/>
      <c r="Q99" s="313"/>
      <c r="R99" s="313"/>
      <c r="S99" s="313"/>
      <c r="T99" s="313"/>
      <c r="U99" s="313"/>
      <c r="V99" s="313"/>
      <c r="W99" s="313"/>
      <c r="X99" s="313"/>
      <c r="Y99" s="313"/>
      <c r="Z99" s="313"/>
      <c r="AA99" s="313"/>
    </row>
    <row r="100" spans="1:27" ht="14.25" customHeight="1" x14ac:dyDescent="0.2">
      <c r="A100" s="346">
        <v>42746</v>
      </c>
      <c r="B100" s="313">
        <v>227.10000600000001</v>
      </c>
      <c r="C100" s="313">
        <v>103.83000199999999</v>
      </c>
      <c r="D100" s="345">
        <f t="shared" ref="D100:E100" si="109">B100/B99-1</f>
        <v>2.8261016524653293E-3</v>
      </c>
      <c r="E100" s="345">
        <f t="shared" si="109"/>
        <v>3.1884251207727754E-3</v>
      </c>
      <c r="F100" s="313"/>
      <c r="G100" s="313"/>
      <c r="H100" s="313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  <c r="AA100" s="313"/>
    </row>
    <row r="101" spans="1:27" ht="14.25" customHeight="1" x14ac:dyDescent="0.2">
      <c r="A101" s="346">
        <v>42747</v>
      </c>
      <c r="B101" s="313">
        <v>226.529999</v>
      </c>
      <c r="C101" s="313">
        <v>104.199997</v>
      </c>
      <c r="D101" s="345">
        <f t="shared" ref="D101:E101" si="110">B101/B100-1</f>
        <v>-2.5099382868356557E-3</v>
      </c>
      <c r="E101" s="345">
        <f t="shared" si="110"/>
        <v>3.5634690635950594E-3</v>
      </c>
      <c r="F101" s="313"/>
      <c r="G101" s="313"/>
      <c r="H101" s="313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  <c r="AA101" s="313"/>
    </row>
    <row r="102" spans="1:27" ht="14.25" customHeight="1" x14ac:dyDescent="0.2">
      <c r="A102" s="346">
        <v>42748</v>
      </c>
      <c r="B102" s="313">
        <v>227.050003</v>
      </c>
      <c r="C102" s="313">
        <v>103.449997</v>
      </c>
      <c r="D102" s="345">
        <f t="shared" ref="D102:E102" si="111">B102/B101-1</f>
        <v>2.2955193673930285E-3</v>
      </c>
      <c r="E102" s="345">
        <f t="shared" si="111"/>
        <v>-7.1976969442715255E-3</v>
      </c>
      <c r="F102" s="313"/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  <c r="AA102" s="313"/>
    </row>
    <row r="103" spans="1:27" ht="14.25" customHeight="1" x14ac:dyDescent="0.2">
      <c r="A103" s="346">
        <v>42752</v>
      </c>
      <c r="B103" s="313">
        <v>226.25</v>
      </c>
      <c r="C103" s="313">
        <v>105.16999800000001</v>
      </c>
      <c r="D103" s="345">
        <f t="shared" ref="D103:E103" si="112">B103/B102-1</f>
        <v>-3.5234661503176223E-3</v>
      </c>
      <c r="E103" s="345">
        <f t="shared" si="112"/>
        <v>1.662639970883717E-2</v>
      </c>
      <c r="F103" s="313"/>
      <c r="G103" s="313"/>
      <c r="H103" s="313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  <c r="AA103" s="313"/>
    </row>
    <row r="104" spans="1:27" ht="14.25" customHeight="1" x14ac:dyDescent="0.2">
      <c r="A104" s="346">
        <v>42753</v>
      </c>
      <c r="B104" s="313">
        <v>226.75</v>
      </c>
      <c r="C104" s="313">
        <v>105.66999800000001</v>
      </c>
      <c r="D104" s="345">
        <f t="shared" ref="D104:E104" si="113">B104/B103-1</f>
        <v>2.2099447513812542E-3</v>
      </c>
      <c r="E104" s="345">
        <f t="shared" si="113"/>
        <v>4.7542075640241155E-3</v>
      </c>
      <c r="F104" s="313"/>
      <c r="G104" s="313"/>
      <c r="H104" s="313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  <c r="AA104" s="313"/>
    </row>
    <row r="105" spans="1:27" ht="14.25" customHeight="1" x14ac:dyDescent="0.2">
      <c r="A105" s="346">
        <v>42754</v>
      </c>
      <c r="B105" s="313">
        <v>225.91000399999999</v>
      </c>
      <c r="C105" s="313">
        <v>104.44000200000001</v>
      </c>
      <c r="D105" s="345">
        <f t="shared" ref="D105:E105" si="114">B105/B104-1</f>
        <v>-3.7045027563396005E-3</v>
      </c>
      <c r="E105" s="345">
        <f t="shared" si="114"/>
        <v>-1.1639973722721186E-2</v>
      </c>
      <c r="F105" s="313"/>
      <c r="G105" s="313"/>
      <c r="H105" s="313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  <c r="S105" s="313"/>
      <c r="T105" s="313"/>
      <c r="U105" s="313"/>
      <c r="V105" s="313"/>
      <c r="W105" s="313"/>
      <c r="X105" s="313"/>
      <c r="Y105" s="313"/>
      <c r="Z105" s="313"/>
      <c r="AA105" s="313"/>
    </row>
    <row r="106" spans="1:27" ht="14.25" customHeight="1" x14ac:dyDescent="0.2">
      <c r="A106" s="346">
        <v>42755</v>
      </c>
      <c r="B106" s="313">
        <v>226.740005</v>
      </c>
      <c r="C106" s="313">
        <v>104.199997</v>
      </c>
      <c r="D106" s="345">
        <f t="shared" ref="D106:E106" si="115">B106/B105-1</f>
        <v>3.6740338422551755E-3</v>
      </c>
      <c r="E106" s="345">
        <f t="shared" si="115"/>
        <v>-2.298017956759657E-3</v>
      </c>
      <c r="F106" s="313"/>
      <c r="G106" s="313"/>
      <c r="H106" s="313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  <c r="S106" s="313"/>
      <c r="T106" s="313"/>
      <c r="U106" s="313"/>
      <c r="V106" s="313"/>
      <c r="W106" s="313"/>
      <c r="X106" s="313"/>
      <c r="Y106" s="313"/>
      <c r="Z106" s="313"/>
      <c r="AA106" s="313"/>
    </row>
    <row r="107" spans="1:27" ht="14.25" customHeight="1" x14ac:dyDescent="0.2">
      <c r="A107" s="346">
        <v>42758</v>
      </c>
      <c r="B107" s="313">
        <v>226.14999399999999</v>
      </c>
      <c r="C107" s="313">
        <v>104.779999</v>
      </c>
      <c r="D107" s="345">
        <f t="shared" ref="D107:E107" si="116">B107/B106-1</f>
        <v>-2.6021477771424051E-3</v>
      </c>
      <c r="E107" s="345">
        <f t="shared" si="116"/>
        <v>5.566238164095294E-3</v>
      </c>
      <c r="F107" s="313"/>
      <c r="G107" s="313"/>
      <c r="H107" s="313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  <c r="AA107" s="313"/>
    </row>
    <row r="108" spans="1:27" ht="14.25" customHeight="1" x14ac:dyDescent="0.2">
      <c r="A108" s="346">
        <v>42759</v>
      </c>
      <c r="B108" s="313">
        <v>227.60000600000001</v>
      </c>
      <c r="C108" s="313">
        <v>104.57</v>
      </c>
      <c r="D108" s="345">
        <f t="shared" ref="D108:E108" si="117">B108/B107-1</f>
        <v>6.4117269001564559E-3</v>
      </c>
      <c r="E108" s="345">
        <f t="shared" si="117"/>
        <v>-2.0041897499923911E-3</v>
      </c>
      <c r="F108" s="313"/>
      <c r="G108" s="313"/>
      <c r="H108" s="313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  <c r="AA108" s="313"/>
    </row>
    <row r="109" spans="1:27" ht="14.25" customHeight="1" x14ac:dyDescent="0.2">
      <c r="A109" s="346">
        <v>42760</v>
      </c>
      <c r="B109" s="313">
        <v>229.570007</v>
      </c>
      <c r="C109" s="313">
        <v>103.91999800000001</v>
      </c>
      <c r="D109" s="345">
        <f t="shared" ref="D109:E109" si="118">B109/B108-1</f>
        <v>8.655540193614808E-3</v>
      </c>
      <c r="E109" s="345">
        <f t="shared" si="118"/>
        <v>-6.2159510375823235E-3</v>
      </c>
      <c r="F109" s="313"/>
      <c r="G109" s="313"/>
      <c r="H109" s="313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  <c r="S109" s="313"/>
      <c r="T109" s="313"/>
      <c r="U109" s="313"/>
      <c r="V109" s="313"/>
      <c r="W109" s="313"/>
      <c r="X109" s="313"/>
      <c r="Y109" s="313"/>
      <c r="Z109" s="313"/>
      <c r="AA109" s="313"/>
    </row>
    <row r="110" spans="1:27" ht="14.25" customHeight="1" x14ac:dyDescent="0.2">
      <c r="A110" s="346">
        <v>42761</v>
      </c>
      <c r="B110" s="313">
        <v>229.33000200000001</v>
      </c>
      <c r="C110" s="313">
        <v>104.300003</v>
      </c>
      <c r="D110" s="345">
        <f t="shared" ref="D110:E110" si="119">B110/B109-1</f>
        <v>-1.0454545135767379E-3</v>
      </c>
      <c r="E110" s="345">
        <f t="shared" si="119"/>
        <v>3.6567071527464634E-3</v>
      </c>
      <c r="F110" s="313"/>
      <c r="G110" s="313"/>
      <c r="H110" s="313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3"/>
      <c r="Z110" s="313"/>
      <c r="AA110" s="313"/>
    </row>
    <row r="111" spans="1:27" ht="14.25" customHeight="1" x14ac:dyDescent="0.2">
      <c r="A111" s="346">
        <v>42762</v>
      </c>
      <c r="B111" s="313">
        <v>228.970001</v>
      </c>
      <c r="C111" s="313">
        <v>103.82</v>
      </c>
      <c r="D111" s="345">
        <f t="shared" ref="D111:E111" si="120">B111/B110-1</f>
        <v>-1.5697946054176182E-3</v>
      </c>
      <c r="E111" s="345">
        <f t="shared" si="120"/>
        <v>-4.6021379309069133E-3</v>
      </c>
      <c r="F111" s="313"/>
      <c r="G111" s="313"/>
      <c r="H111" s="313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3"/>
      <c r="Z111" s="313"/>
      <c r="AA111" s="313"/>
    </row>
    <row r="112" spans="1:27" ht="14.25" customHeight="1" x14ac:dyDescent="0.2">
      <c r="A112" s="346">
        <v>42765</v>
      </c>
      <c r="B112" s="313">
        <v>227.550003</v>
      </c>
      <c r="C112" s="313">
        <v>103.010002</v>
      </c>
      <c r="D112" s="345">
        <f t="shared" ref="D112:E112" si="121">B112/B111-1</f>
        <v>-6.2016770485142647E-3</v>
      </c>
      <c r="E112" s="345">
        <f t="shared" si="121"/>
        <v>-7.8019456752069782E-3</v>
      </c>
      <c r="F112" s="313"/>
      <c r="G112" s="313"/>
      <c r="H112" s="313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</row>
    <row r="113" spans="1:27" ht="14.25" customHeight="1" x14ac:dyDescent="0.2">
      <c r="A113" s="346">
        <v>42766</v>
      </c>
      <c r="B113" s="313">
        <v>227.529999</v>
      </c>
      <c r="C113" s="313">
        <v>103.5</v>
      </c>
      <c r="D113" s="345">
        <f t="shared" ref="D113:E113" si="122">B113/B112-1</f>
        <v>-8.7910348214759182E-5</v>
      </c>
      <c r="E113" s="345">
        <f t="shared" si="122"/>
        <v>4.7568002182933888E-3</v>
      </c>
      <c r="F113" s="313"/>
      <c r="G113" s="313"/>
      <c r="H113" s="313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</row>
    <row r="114" spans="1:27" ht="14.25" customHeight="1" x14ac:dyDescent="0.2">
      <c r="A114" s="346">
        <v>42767</v>
      </c>
      <c r="B114" s="313">
        <v>227.61999499999999</v>
      </c>
      <c r="C114" s="313">
        <v>103.279999</v>
      </c>
      <c r="D114" s="345">
        <f t="shared" ref="D114:E114" si="123">B114/B113-1</f>
        <v>3.9553465650921105E-4</v>
      </c>
      <c r="E114" s="345">
        <f t="shared" si="123"/>
        <v>-2.125613526570036E-3</v>
      </c>
      <c r="F114" s="313"/>
      <c r="G114" s="313"/>
      <c r="H114" s="313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  <c r="AA114" s="313"/>
    </row>
    <row r="115" spans="1:27" ht="14.25" customHeight="1" x14ac:dyDescent="0.2">
      <c r="A115" s="346">
        <v>42768</v>
      </c>
      <c r="B115" s="313">
        <v>227.770004</v>
      </c>
      <c r="C115" s="313">
        <v>104.110001</v>
      </c>
      <c r="D115" s="345">
        <f t="shared" ref="D115:E115" si="124">B115/B114-1</f>
        <v>6.5903261266653246E-4</v>
      </c>
      <c r="E115" s="345">
        <f t="shared" si="124"/>
        <v>8.0364253295548416E-3</v>
      </c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  <c r="AA115" s="313"/>
    </row>
    <row r="116" spans="1:27" ht="14.25" customHeight="1" x14ac:dyDescent="0.2">
      <c r="A116" s="346">
        <v>42769</v>
      </c>
      <c r="B116" s="313">
        <v>229.33999600000001</v>
      </c>
      <c r="C116" s="313">
        <v>105.25</v>
      </c>
      <c r="D116" s="345">
        <f t="shared" ref="D116:E116" si="125">B116/B115-1</f>
        <v>6.8928830505705641E-3</v>
      </c>
      <c r="E116" s="345">
        <f t="shared" si="125"/>
        <v>1.0949947066084542E-2</v>
      </c>
      <c r="F116" s="313"/>
      <c r="G116" s="313"/>
      <c r="H116" s="313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  <c r="AA116" s="313"/>
    </row>
    <row r="117" spans="1:27" ht="14.25" customHeight="1" x14ac:dyDescent="0.2">
      <c r="A117" s="346">
        <v>42772</v>
      </c>
      <c r="B117" s="313">
        <v>228.929993</v>
      </c>
      <c r="C117" s="313">
        <v>103.639999</v>
      </c>
      <c r="D117" s="345">
        <f t="shared" ref="D117:E117" si="126">B117/B116-1</f>
        <v>-1.78775184072133E-3</v>
      </c>
      <c r="E117" s="345">
        <f t="shared" si="126"/>
        <v>-1.5296921615201908E-2</v>
      </c>
      <c r="F117" s="313"/>
      <c r="G117" s="313"/>
      <c r="H117" s="313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  <c r="AA117" s="313"/>
    </row>
    <row r="118" spans="1:27" ht="14.25" customHeight="1" x14ac:dyDescent="0.2">
      <c r="A118" s="346">
        <v>42773</v>
      </c>
      <c r="B118" s="313">
        <v>228.94000199999999</v>
      </c>
      <c r="C118" s="313">
        <v>103.470001</v>
      </c>
      <c r="D118" s="345">
        <f t="shared" ref="D118:E118" si="127">B118/B117-1</f>
        <v>4.3720789350665257E-5</v>
      </c>
      <c r="E118" s="345">
        <f t="shared" si="127"/>
        <v>-1.6402740412995165E-3</v>
      </c>
      <c r="F118" s="313"/>
      <c r="G118" s="313"/>
      <c r="H118" s="313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3"/>
      <c r="Z118" s="313"/>
      <c r="AA118" s="313"/>
    </row>
    <row r="119" spans="1:27" ht="14.25" customHeight="1" x14ac:dyDescent="0.2">
      <c r="A119" s="346">
        <v>42774</v>
      </c>
      <c r="B119" s="313">
        <v>229.240005</v>
      </c>
      <c r="C119" s="313">
        <v>104.300003</v>
      </c>
      <c r="D119" s="345">
        <f t="shared" ref="D119:E119" si="128">B119/B118-1</f>
        <v>1.310400093383457E-3</v>
      </c>
      <c r="E119" s="345">
        <f t="shared" si="128"/>
        <v>8.0216680388358608E-3</v>
      </c>
      <c r="F119" s="313"/>
      <c r="G119" s="313"/>
      <c r="H119" s="313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  <c r="S119" s="313"/>
      <c r="T119" s="313"/>
      <c r="U119" s="313"/>
      <c r="V119" s="313"/>
      <c r="W119" s="313"/>
      <c r="X119" s="313"/>
      <c r="Y119" s="313"/>
      <c r="Z119" s="313"/>
      <c r="AA119" s="313"/>
    </row>
    <row r="120" spans="1:27" ht="14.25" customHeight="1" x14ac:dyDescent="0.2">
      <c r="A120" s="346">
        <v>42775</v>
      </c>
      <c r="B120" s="313">
        <v>230.60000600000001</v>
      </c>
      <c r="C120" s="313">
        <v>105.779999</v>
      </c>
      <c r="D120" s="345">
        <f t="shared" ref="D120:E120" si="129">B120/B119-1</f>
        <v>5.9326512403452547E-3</v>
      </c>
      <c r="E120" s="345">
        <f t="shared" si="129"/>
        <v>1.4189798249574448E-2</v>
      </c>
      <c r="F120" s="313"/>
      <c r="G120" s="313"/>
      <c r="H120" s="313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  <c r="S120" s="313"/>
      <c r="T120" s="313"/>
      <c r="U120" s="313"/>
      <c r="V120" s="313"/>
      <c r="W120" s="313"/>
      <c r="X120" s="313"/>
      <c r="Y120" s="313"/>
      <c r="Z120" s="313"/>
      <c r="AA120" s="313"/>
    </row>
    <row r="121" spans="1:27" ht="14.25" customHeight="1" x14ac:dyDescent="0.2">
      <c r="A121" s="346">
        <v>42776</v>
      </c>
      <c r="B121" s="313">
        <v>231.509995</v>
      </c>
      <c r="C121" s="313">
        <v>105.489998</v>
      </c>
      <c r="D121" s="345">
        <f t="shared" ref="D121:E121" si="130">B121/B120-1</f>
        <v>3.9461794289805674E-3</v>
      </c>
      <c r="E121" s="345">
        <f t="shared" si="130"/>
        <v>-2.7415485227978431E-3</v>
      </c>
      <c r="F121" s="313"/>
      <c r="G121" s="313"/>
      <c r="H121" s="313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  <c r="AA121" s="313"/>
    </row>
    <row r="122" spans="1:27" ht="14.25" customHeight="1" x14ac:dyDescent="0.2">
      <c r="A122" s="346">
        <v>42779</v>
      </c>
      <c r="B122" s="313">
        <v>232.770004</v>
      </c>
      <c r="C122" s="313">
        <v>107.550003</v>
      </c>
      <c r="D122" s="345">
        <f t="shared" ref="D122:E122" si="131">B122/B121-1</f>
        <v>5.4425684731236323E-3</v>
      </c>
      <c r="E122" s="345">
        <f t="shared" si="131"/>
        <v>1.9527965106227452E-2</v>
      </c>
      <c r="F122" s="313"/>
      <c r="G122" s="313"/>
      <c r="H122" s="313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  <c r="S122" s="313"/>
      <c r="T122" s="313"/>
      <c r="U122" s="313"/>
      <c r="V122" s="313"/>
      <c r="W122" s="313"/>
      <c r="X122" s="313"/>
      <c r="Y122" s="313"/>
      <c r="Z122" s="313"/>
      <c r="AA122" s="313"/>
    </row>
    <row r="123" spans="1:27" ht="14.25" customHeight="1" x14ac:dyDescent="0.2">
      <c r="A123" s="346">
        <v>42780</v>
      </c>
      <c r="B123" s="313">
        <v>233.699997</v>
      </c>
      <c r="C123" s="313">
        <v>106.779999</v>
      </c>
      <c r="D123" s="345">
        <f t="shared" ref="D123:E123" si="132">B123/B122-1</f>
        <v>3.9953300855724017E-3</v>
      </c>
      <c r="E123" s="345">
        <f t="shared" si="132"/>
        <v>-7.1594977082427569E-3</v>
      </c>
      <c r="F123" s="313"/>
      <c r="G123" s="313"/>
      <c r="H123" s="313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  <c r="AA123" s="313"/>
    </row>
    <row r="124" spans="1:27" ht="14.25" customHeight="1" x14ac:dyDescent="0.2">
      <c r="A124" s="346">
        <v>42781</v>
      </c>
      <c r="B124" s="313">
        <v>234.91999799999999</v>
      </c>
      <c r="C124" s="313">
        <v>107.110001</v>
      </c>
      <c r="D124" s="345">
        <f t="shared" ref="D124:E124" si="133">B124/B123-1</f>
        <v>5.2203723391575085E-3</v>
      </c>
      <c r="E124" s="345">
        <f t="shared" si="133"/>
        <v>3.0904851385136212E-3</v>
      </c>
      <c r="F124" s="313"/>
      <c r="G124" s="313"/>
      <c r="H124" s="313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3"/>
      <c r="Z124" s="313"/>
      <c r="AA124" s="313"/>
    </row>
    <row r="125" spans="1:27" ht="14.25" customHeight="1" x14ac:dyDescent="0.2">
      <c r="A125" s="346">
        <v>42782</v>
      </c>
      <c r="B125" s="313">
        <v>234.720001</v>
      </c>
      <c r="C125" s="313">
        <v>107.709999</v>
      </c>
      <c r="D125" s="345">
        <f t="shared" ref="D125:E125" si="134">B125/B124-1</f>
        <v>-8.5134088925031826E-4</v>
      </c>
      <c r="E125" s="345">
        <f t="shared" si="134"/>
        <v>5.6016991354523871E-3</v>
      </c>
      <c r="F125" s="313"/>
      <c r="G125" s="313"/>
      <c r="H125" s="313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  <c r="S125" s="313"/>
      <c r="T125" s="313"/>
      <c r="U125" s="313"/>
      <c r="V125" s="313"/>
      <c r="W125" s="313"/>
      <c r="X125" s="313"/>
      <c r="Y125" s="313"/>
      <c r="Z125" s="313"/>
      <c r="AA125" s="313"/>
    </row>
    <row r="126" spans="1:27" ht="14.25" customHeight="1" x14ac:dyDescent="0.2">
      <c r="A126" s="346">
        <v>42783</v>
      </c>
      <c r="B126" s="313">
        <v>235.08999600000001</v>
      </c>
      <c r="C126" s="313">
        <v>108.110001</v>
      </c>
      <c r="D126" s="345">
        <f t="shared" ref="D126:E126" si="135">B126/B125-1</f>
        <v>1.5763249762428266E-3</v>
      </c>
      <c r="E126" s="345">
        <f t="shared" si="135"/>
        <v>3.7136942132920403E-3</v>
      </c>
      <c r="F126" s="313"/>
      <c r="G126" s="313"/>
      <c r="H126" s="313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  <c r="S126" s="313"/>
      <c r="T126" s="313"/>
      <c r="U126" s="313"/>
      <c r="V126" s="313"/>
      <c r="W126" s="313"/>
      <c r="X126" s="313"/>
      <c r="Y126" s="313"/>
      <c r="Z126" s="313"/>
      <c r="AA126" s="313"/>
    </row>
    <row r="127" spans="1:27" ht="14.25" customHeight="1" x14ac:dyDescent="0.2">
      <c r="A127" s="346">
        <v>42787</v>
      </c>
      <c r="B127" s="313">
        <v>236.490005</v>
      </c>
      <c r="C127" s="313">
        <v>111.18</v>
      </c>
      <c r="D127" s="345">
        <f t="shared" ref="D127:E127" si="136">B127/B126-1</f>
        <v>5.9552044911344026E-3</v>
      </c>
      <c r="E127" s="345">
        <f t="shared" si="136"/>
        <v>2.8396993539940851E-2</v>
      </c>
      <c r="F127" s="313"/>
      <c r="G127" s="313"/>
      <c r="H127" s="313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  <c r="S127" s="313"/>
      <c r="T127" s="313"/>
      <c r="U127" s="313"/>
      <c r="V127" s="313"/>
      <c r="W127" s="313"/>
      <c r="X127" s="313"/>
      <c r="Y127" s="313"/>
      <c r="Z127" s="313"/>
      <c r="AA127" s="313"/>
    </row>
    <row r="128" spans="1:27" ht="14.25" customHeight="1" x14ac:dyDescent="0.2">
      <c r="A128" s="346">
        <v>42788</v>
      </c>
      <c r="B128" s="313">
        <v>236.279999</v>
      </c>
      <c r="C128" s="313">
        <v>111.019997</v>
      </c>
      <c r="D128" s="345">
        <f t="shared" ref="D128:E128" si="137">B128/B127-1</f>
        <v>-8.8801215932987621E-4</v>
      </c>
      <c r="E128" s="345">
        <f t="shared" si="137"/>
        <v>-1.4391347364633988E-3</v>
      </c>
      <c r="F128" s="313"/>
      <c r="G128" s="313"/>
      <c r="H128" s="313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  <c r="AA128" s="313"/>
    </row>
    <row r="129" spans="1:27" ht="14.25" customHeight="1" x14ac:dyDescent="0.2">
      <c r="A129" s="346">
        <v>42789</v>
      </c>
      <c r="B129" s="313">
        <v>236.44000199999999</v>
      </c>
      <c r="C129" s="313">
        <v>112.199997</v>
      </c>
      <c r="D129" s="345">
        <f t="shared" ref="D129:E129" si="138">B129/B128-1</f>
        <v>6.7717538800216026E-4</v>
      </c>
      <c r="E129" s="345">
        <f t="shared" si="138"/>
        <v>1.0628715833959079E-2</v>
      </c>
      <c r="F129" s="313"/>
      <c r="G129" s="313"/>
      <c r="H129" s="313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  <c r="S129" s="313"/>
      <c r="T129" s="313"/>
      <c r="U129" s="313"/>
      <c r="V129" s="313"/>
      <c r="W129" s="313"/>
      <c r="X129" s="313"/>
      <c r="Y129" s="313"/>
      <c r="Z129" s="313"/>
      <c r="AA129" s="313"/>
    </row>
    <row r="130" spans="1:27" ht="14.25" customHeight="1" x14ac:dyDescent="0.2">
      <c r="A130" s="346">
        <v>42790</v>
      </c>
      <c r="B130" s="313">
        <v>236.740005</v>
      </c>
      <c r="C130" s="313">
        <v>112.889999</v>
      </c>
      <c r="D130" s="345">
        <f t="shared" ref="D130:E130" si="139">B130/B129-1</f>
        <v>1.2688335199726453E-3</v>
      </c>
      <c r="E130" s="345">
        <f t="shared" si="139"/>
        <v>6.1497506100647303E-3</v>
      </c>
      <c r="F130" s="313"/>
      <c r="G130" s="313"/>
      <c r="H130" s="313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  <c r="S130" s="313"/>
      <c r="T130" s="313"/>
      <c r="U130" s="313"/>
      <c r="V130" s="313"/>
      <c r="W130" s="313"/>
      <c r="X130" s="313"/>
      <c r="Y130" s="313"/>
      <c r="Z130" s="313"/>
      <c r="AA130" s="313"/>
    </row>
    <row r="131" spans="1:27" ht="14.25" customHeight="1" x14ac:dyDescent="0.2">
      <c r="A131" s="346">
        <v>42793</v>
      </c>
      <c r="B131" s="313">
        <v>237.11000100000001</v>
      </c>
      <c r="C131" s="313">
        <v>113.339996</v>
      </c>
      <c r="D131" s="345">
        <f t="shared" ref="D131:E131" si="140">B131/B130-1</f>
        <v>1.5628790748738464E-3</v>
      </c>
      <c r="E131" s="345">
        <f t="shared" si="140"/>
        <v>3.9861546991419861E-3</v>
      </c>
      <c r="F131" s="313"/>
      <c r="G131" s="313"/>
      <c r="H131" s="313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  <c r="S131" s="313"/>
      <c r="T131" s="313"/>
      <c r="U131" s="313"/>
      <c r="V131" s="313"/>
      <c r="W131" s="313"/>
      <c r="X131" s="313"/>
      <c r="Y131" s="313"/>
      <c r="Z131" s="313"/>
      <c r="AA131" s="313"/>
    </row>
    <row r="132" spans="1:27" ht="14.25" customHeight="1" x14ac:dyDescent="0.2">
      <c r="A132" s="346">
        <v>42794</v>
      </c>
      <c r="B132" s="313">
        <v>236.470001</v>
      </c>
      <c r="C132" s="313">
        <v>114.790001</v>
      </c>
      <c r="D132" s="345">
        <f t="shared" ref="D132:E132" si="141">B132/B131-1</f>
        <v>-2.699169150608749E-3</v>
      </c>
      <c r="E132" s="345">
        <f t="shared" si="141"/>
        <v>1.2793409662728461E-2</v>
      </c>
      <c r="F132" s="313"/>
      <c r="G132" s="313"/>
      <c r="H132" s="313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  <c r="S132" s="313"/>
      <c r="T132" s="313"/>
      <c r="U132" s="313"/>
      <c r="V132" s="313"/>
      <c r="W132" s="313"/>
      <c r="X132" s="313"/>
      <c r="Y132" s="313"/>
      <c r="Z132" s="313"/>
      <c r="AA132" s="313"/>
    </row>
    <row r="133" spans="1:27" ht="14.25" customHeight="1" x14ac:dyDescent="0.2">
      <c r="A133" s="346">
        <v>42795</v>
      </c>
      <c r="B133" s="313">
        <v>239.779999</v>
      </c>
      <c r="C133" s="313">
        <v>113.839996</v>
      </c>
      <c r="D133" s="345">
        <f t="shared" ref="D133:E133" si="142">B133/B132-1</f>
        <v>1.3997538740654125E-2</v>
      </c>
      <c r="E133" s="345">
        <f t="shared" si="142"/>
        <v>-8.2760257141212268E-3</v>
      </c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</row>
    <row r="134" spans="1:27" ht="14.25" customHeight="1" x14ac:dyDescent="0.2">
      <c r="A134" s="346">
        <v>42796</v>
      </c>
      <c r="B134" s="313">
        <v>238.270004</v>
      </c>
      <c r="C134" s="313">
        <v>114.80999799999999</v>
      </c>
      <c r="D134" s="345">
        <f t="shared" ref="D134:E134" si="143">B134/B133-1</f>
        <v>-6.2974184931913202E-3</v>
      </c>
      <c r="E134" s="345">
        <f t="shared" si="143"/>
        <v>8.5207487182272779E-3</v>
      </c>
      <c r="F134" s="313"/>
      <c r="G134" s="313"/>
      <c r="H134" s="313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  <c r="S134" s="313"/>
      <c r="T134" s="313"/>
      <c r="U134" s="313"/>
      <c r="V134" s="313"/>
      <c r="W134" s="313"/>
      <c r="X134" s="313"/>
      <c r="Y134" s="313"/>
      <c r="Z134" s="313"/>
      <c r="AA134" s="313"/>
    </row>
    <row r="135" spans="1:27" ht="14.25" customHeight="1" x14ac:dyDescent="0.2">
      <c r="A135" s="346">
        <v>42797</v>
      </c>
      <c r="B135" s="313">
        <v>238.41999799999999</v>
      </c>
      <c r="C135" s="313">
        <v>115.66999800000001</v>
      </c>
      <c r="D135" s="345">
        <f t="shared" ref="D135:E135" si="144">B135/B134-1</f>
        <v>6.2951272708255956E-4</v>
      </c>
      <c r="E135" s="345">
        <f t="shared" si="144"/>
        <v>7.4906368346074892E-3</v>
      </c>
      <c r="F135" s="313"/>
      <c r="G135" s="313"/>
      <c r="H135" s="313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  <c r="S135" s="313"/>
      <c r="T135" s="313"/>
      <c r="U135" s="313"/>
      <c r="V135" s="313"/>
      <c r="W135" s="313"/>
      <c r="X135" s="313"/>
      <c r="Y135" s="313"/>
      <c r="Z135" s="313"/>
      <c r="AA135" s="313"/>
    </row>
    <row r="136" spans="1:27" ht="14.25" customHeight="1" x14ac:dyDescent="0.2">
      <c r="A136" s="346">
        <v>42800</v>
      </c>
      <c r="B136" s="313">
        <v>237.71000699999999</v>
      </c>
      <c r="C136" s="313">
        <v>114.709999</v>
      </c>
      <c r="D136" s="345">
        <f t="shared" ref="D136:E136" si="145">B136/B135-1</f>
        <v>-2.9779003689112127E-3</v>
      </c>
      <c r="E136" s="345">
        <f t="shared" si="145"/>
        <v>-8.299464135894663E-3</v>
      </c>
      <c r="F136" s="313"/>
      <c r="G136" s="313"/>
      <c r="H136" s="313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  <c r="S136" s="313"/>
      <c r="T136" s="313"/>
      <c r="U136" s="313"/>
      <c r="V136" s="313"/>
      <c r="W136" s="313"/>
      <c r="X136" s="313"/>
      <c r="Y136" s="313"/>
      <c r="Z136" s="313"/>
      <c r="AA136" s="313"/>
    </row>
    <row r="137" spans="1:27" ht="14.25" customHeight="1" x14ac:dyDescent="0.2">
      <c r="A137" s="346">
        <v>42801</v>
      </c>
      <c r="B137" s="313">
        <v>237</v>
      </c>
      <c r="C137" s="313">
        <v>114.699997</v>
      </c>
      <c r="D137" s="345">
        <f t="shared" ref="D137:E137" si="146">B137/B136-1</f>
        <v>-2.9868620549912128E-3</v>
      </c>
      <c r="E137" s="345">
        <f t="shared" si="146"/>
        <v>-8.7193793803397313E-5</v>
      </c>
      <c r="F137" s="313"/>
      <c r="G137" s="313"/>
      <c r="H137" s="313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  <c r="S137" s="313"/>
      <c r="T137" s="313"/>
      <c r="U137" s="313"/>
      <c r="V137" s="313"/>
      <c r="W137" s="313"/>
      <c r="X137" s="313"/>
      <c r="Y137" s="313"/>
      <c r="Z137" s="313"/>
      <c r="AA137" s="313"/>
    </row>
    <row r="138" spans="1:27" ht="14.25" customHeight="1" x14ac:dyDescent="0.2">
      <c r="A138" s="346">
        <v>42802</v>
      </c>
      <c r="B138" s="313">
        <v>236.55999800000001</v>
      </c>
      <c r="C138" s="313">
        <v>113.239998</v>
      </c>
      <c r="D138" s="345">
        <f t="shared" ref="D138:E138" si="147">B138/B137-1</f>
        <v>-1.8565485232067136E-3</v>
      </c>
      <c r="E138" s="345">
        <f t="shared" si="147"/>
        <v>-1.2728849504677786E-2</v>
      </c>
      <c r="F138" s="313"/>
      <c r="G138" s="313"/>
      <c r="H138" s="313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  <c r="S138" s="313"/>
      <c r="T138" s="313"/>
      <c r="U138" s="313"/>
      <c r="V138" s="313"/>
      <c r="W138" s="313"/>
      <c r="X138" s="313"/>
      <c r="Y138" s="313"/>
      <c r="Z138" s="313"/>
      <c r="AA138" s="313"/>
    </row>
    <row r="139" spans="1:27" ht="14.25" customHeight="1" x14ac:dyDescent="0.2">
      <c r="A139" s="346">
        <v>42803</v>
      </c>
      <c r="B139" s="313">
        <v>236.86000100000001</v>
      </c>
      <c r="C139" s="313">
        <v>113</v>
      </c>
      <c r="D139" s="345">
        <f t="shared" ref="D139:E139" si="148">B139/B138-1</f>
        <v>1.2681898991222518E-3</v>
      </c>
      <c r="E139" s="345">
        <f t="shared" si="148"/>
        <v>-2.1193748166614679E-3</v>
      </c>
      <c r="F139" s="313"/>
      <c r="G139" s="313"/>
      <c r="H139" s="313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  <c r="AA139" s="313"/>
    </row>
    <row r="140" spans="1:27" ht="14.25" customHeight="1" x14ac:dyDescent="0.2">
      <c r="A140" s="346">
        <v>42804</v>
      </c>
      <c r="B140" s="313">
        <v>237.69000199999999</v>
      </c>
      <c r="C140" s="313">
        <v>113.58000199999999</v>
      </c>
      <c r="D140" s="345">
        <f t="shared" ref="D140:E140" si="149">B140/B139-1</f>
        <v>3.5041838913105749E-3</v>
      </c>
      <c r="E140" s="345">
        <f t="shared" si="149"/>
        <v>5.1327610619469333E-3</v>
      </c>
      <c r="F140" s="313"/>
      <c r="G140" s="313"/>
      <c r="H140" s="313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  <c r="S140" s="313"/>
      <c r="T140" s="313"/>
      <c r="U140" s="313"/>
      <c r="V140" s="313"/>
      <c r="W140" s="313"/>
      <c r="X140" s="313"/>
      <c r="Y140" s="313"/>
      <c r="Z140" s="313"/>
      <c r="AA140" s="313"/>
    </row>
    <row r="141" spans="1:27" ht="14.25" customHeight="1" x14ac:dyDescent="0.2">
      <c r="A141" s="346">
        <v>42807</v>
      </c>
      <c r="B141" s="313">
        <v>237.80999800000001</v>
      </c>
      <c r="C141" s="313">
        <v>114.260002</v>
      </c>
      <c r="D141" s="345">
        <f t="shared" ref="D141:E141" si="150">B141/B140-1</f>
        <v>5.0484243758819325E-4</v>
      </c>
      <c r="E141" s="345">
        <f t="shared" si="150"/>
        <v>5.9869694314673705E-3</v>
      </c>
      <c r="F141" s="313"/>
      <c r="G141" s="313"/>
      <c r="H141" s="313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  <c r="S141" s="313"/>
      <c r="T141" s="313"/>
      <c r="U141" s="313"/>
      <c r="V141" s="313"/>
      <c r="W141" s="313"/>
      <c r="X141" s="313"/>
      <c r="Y141" s="313"/>
      <c r="Z141" s="313"/>
      <c r="AA141" s="313"/>
    </row>
    <row r="142" spans="1:27" ht="14.25" customHeight="1" x14ac:dyDescent="0.2">
      <c r="A142" s="346">
        <v>42808</v>
      </c>
      <c r="B142" s="313">
        <v>236.89999399999999</v>
      </c>
      <c r="C142" s="313">
        <v>114.019997</v>
      </c>
      <c r="D142" s="345">
        <f t="shared" ref="D142:E142" si="151">B142/B141-1</f>
        <v>-3.8266011002616729E-3</v>
      </c>
      <c r="E142" s="345">
        <f t="shared" si="151"/>
        <v>-2.100516329415103E-3</v>
      </c>
      <c r="F142" s="313"/>
      <c r="G142" s="313"/>
      <c r="H142" s="313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  <c r="S142" s="313"/>
      <c r="T142" s="313"/>
      <c r="U142" s="313"/>
      <c r="V142" s="313"/>
      <c r="W142" s="313"/>
      <c r="X142" s="313"/>
      <c r="Y142" s="313"/>
      <c r="Z142" s="313"/>
      <c r="AA142" s="313"/>
    </row>
    <row r="143" spans="1:27" ht="14.25" customHeight="1" x14ac:dyDescent="0.2">
      <c r="A143" s="346">
        <v>42809</v>
      </c>
      <c r="B143" s="313">
        <v>238.949997</v>
      </c>
      <c r="C143" s="313">
        <v>115.279999</v>
      </c>
      <c r="D143" s="345">
        <f t="shared" ref="D143:E143" si="152">B143/B142-1</f>
        <v>8.6534531528945635E-3</v>
      </c>
      <c r="E143" s="345">
        <f t="shared" si="152"/>
        <v>1.1050710692441124E-2</v>
      </c>
      <c r="F143" s="313"/>
      <c r="G143" s="313"/>
      <c r="H143" s="313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  <c r="S143" s="313"/>
      <c r="T143" s="313"/>
      <c r="U143" s="313"/>
      <c r="V143" s="313"/>
      <c r="W143" s="313"/>
      <c r="X143" s="313"/>
      <c r="Y143" s="313"/>
      <c r="Z143" s="313"/>
      <c r="AA143" s="313"/>
    </row>
    <row r="144" spans="1:27" ht="14.25" customHeight="1" x14ac:dyDescent="0.2">
      <c r="A144" s="346">
        <v>42810</v>
      </c>
      <c r="B144" s="313">
        <v>238.479996</v>
      </c>
      <c r="C144" s="313">
        <v>115.089996</v>
      </c>
      <c r="D144" s="345">
        <f t="shared" ref="D144:E144" si="153">B144/B143-1</f>
        <v>-1.966942899773283E-3</v>
      </c>
      <c r="E144" s="345">
        <f t="shared" si="153"/>
        <v>-1.6481870371980456E-3</v>
      </c>
      <c r="F144" s="313"/>
      <c r="G144" s="313"/>
      <c r="H144" s="313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  <c r="S144" s="313"/>
      <c r="T144" s="313"/>
      <c r="U144" s="313"/>
      <c r="V144" s="313"/>
      <c r="W144" s="313"/>
      <c r="X144" s="313"/>
      <c r="Y144" s="313"/>
      <c r="Z144" s="313"/>
      <c r="AA144" s="313"/>
    </row>
    <row r="145" spans="1:27" ht="14.25" customHeight="1" x14ac:dyDescent="0.2">
      <c r="A145" s="346">
        <v>42811</v>
      </c>
      <c r="B145" s="313">
        <v>237.029999</v>
      </c>
      <c r="C145" s="313">
        <v>116.010002</v>
      </c>
      <c r="D145" s="345">
        <f t="shared" ref="D145:E145" si="154">B145/B144-1</f>
        <v>-6.0801619604187174E-3</v>
      </c>
      <c r="E145" s="345">
        <f t="shared" si="154"/>
        <v>7.993796437355094E-3</v>
      </c>
      <c r="F145" s="313"/>
      <c r="G145" s="313"/>
      <c r="H145" s="313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  <c r="S145" s="313"/>
      <c r="T145" s="313"/>
      <c r="U145" s="313"/>
      <c r="V145" s="313"/>
      <c r="W145" s="313"/>
      <c r="X145" s="313"/>
      <c r="Y145" s="313"/>
      <c r="Z145" s="313"/>
      <c r="AA145" s="313"/>
    </row>
    <row r="146" spans="1:27" ht="14.25" customHeight="1" x14ac:dyDescent="0.2">
      <c r="A146" s="346">
        <v>42814</v>
      </c>
      <c r="B146" s="313">
        <v>236.770004</v>
      </c>
      <c r="C146" s="313">
        <v>115.980003</v>
      </c>
      <c r="D146" s="345">
        <f t="shared" ref="D146:E146" si="155">B146/B145-1</f>
        <v>-1.0968864746947471E-3</v>
      </c>
      <c r="E146" s="345">
        <f t="shared" si="155"/>
        <v>-2.5858977228532254E-4</v>
      </c>
      <c r="F146" s="313"/>
      <c r="G146" s="313"/>
      <c r="H146" s="313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  <c r="S146" s="313"/>
      <c r="T146" s="313"/>
      <c r="U146" s="313"/>
      <c r="V146" s="313"/>
      <c r="W146" s="313"/>
      <c r="X146" s="313"/>
      <c r="Y146" s="313"/>
      <c r="Z146" s="313"/>
      <c r="AA146" s="313"/>
    </row>
    <row r="147" spans="1:27" ht="14.25" customHeight="1" x14ac:dyDescent="0.2">
      <c r="A147" s="346">
        <v>42815</v>
      </c>
      <c r="B147" s="313">
        <v>233.729996</v>
      </c>
      <c r="C147" s="313">
        <v>116.739998</v>
      </c>
      <c r="D147" s="345">
        <f t="shared" ref="D147:E147" si="156">B147/B146-1</f>
        <v>-1.2839498030333241E-2</v>
      </c>
      <c r="E147" s="345">
        <f t="shared" si="156"/>
        <v>6.552810659954833E-3</v>
      </c>
      <c r="F147" s="313"/>
      <c r="G147" s="313"/>
      <c r="H147" s="313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  <c r="S147" s="313"/>
      <c r="T147" s="313"/>
      <c r="U147" s="313"/>
      <c r="V147" s="313"/>
      <c r="W147" s="313"/>
      <c r="X147" s="313"/>
      <c r="Y147" s="313"/>
      <c r="Z147" s="313"/>
      <c r="AA147" s="313"/>
    </row>
    <row r="148" spans="1:27" ht="14.25" customHeight="1" x14ac:dyDescent="0.2">
      <c r="A148" s="346">
        <v>42816</v>
      </c>
      <c r="B148" s="313">
        <v>234.279999</v>
      </c>
      <c r="C148" s="313">
        <v>118.30999799999999</v>
      </c>
      <c r="D148" s="345">
        <f t="shared" ref="D148:E148" si="157">B148/B147-1</f>
        <v>2.3531553904616587E-3</v>
      </c>
      <c r="E148" s="345">
        <f t="shared" si="157"/>
        <v>1.3448689625641386E-2</v>
      </c>
      <c r="F148" s="313"/>
      <c r="G148" s="313"/>
      <c r="H148" s="313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  <c r="S148" s="313"/>
      <c r="T148" s="313"/>
      <c r="U148" s="313"/>
      <c r="V148" s="313"/>
      <c r="W148" s="313"/>
      <c r="X148" s="313"/>
      <c r="Y148" s="313"/>
      <c r="Z148" s="313"/>
      <c r="AA148" s="313"/>
    </row>
    <row r="149" spans="1:27" ht="14.25" customHeight="1" x14ac:dyDescent="0.2">
      <c r="A149" s="346">
        <v>42817</v>
      </c>
      <c r="B149" s="313">
        <v>234.029999</v>
      </c>
      <c r="C149" s="313">
        <v>118.949997</v>
      </c>
      <c r="D149" s="345">
        <f t="shared" ref="D149:E149" si="158">B149/B148-1</f>
        <v>-1.0670992020962444E-3</v>
      </c>
      <c r="E149" s="345">
        <f t="shared" si="158"/>
        <v>5.4095090086976327E-3</v>
      </c>
      <c r="F149" s="313"/>
      <c r="G149" s="313"/>
      <c r="H149" s="313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  <c r="S149" s="313"/>
      <c r="T149" s="313"/>
      <c r="U149" s="313"/>
      <c r="V149" s="313"/>
      <c r="W149" s="313"/>
      <c r="X149" s="313"/>
      <c r="Y149" s="313"/>
      <c r="Z149" s="313"/>
      <c r="AA149" s="313"/>
    </row>
    <row r="150" spans="1:27" ht="14.25" customHeight="1" x14ac:dyDescent="0.2">
      <c r="A150" s="346">
        <v>42818</v>
      </c>
      <c r="B150" s="313">
        <v>233.86000100000001</v>
      </c>
      <c r="C150" s="313">
        <v>119.32</v>
      </c>
      <c r="D150" s="345">
        <f t="shared" ref="D150:E150" si="159">B150/B149-1</f>
        <v>-7.2639405514840494E-4</v>
      </c>
      <c r="E150" s="345">
        <f t="shared" si="159"/>
        <v>3.1105759506659947E-3</v>
      </c>
      <c r="F150" s="313"/>
      <c r="G150" s="313"/>
      <c r="H150" s="313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  <c r="S150" s="313"/>
      <c r="T150" s="313"/>
      <c r="U150" s="313"/>
      <c r="V150" s="313"/>
      <c r="W150" s="313"/>
      <c r="X150" s="313"/>
      <c r="Y150" s="313"/>
      <c r="Z150" s="313"/>
      <c r="AA150" s="313"/>
    </row>
    <row r="151" spans="1:27" ht="14.25" customHeight="1" x14ac:dyDescent="0.2">
      <c r="A151" s="346">
        <v>42821</v>
      </c>
      <c r="B151" s="313">
        <v>233.61999499999999</v>
      </c>
      <c r="C151" s="313">
        <v>120.010002</v>
      </c>
      <c r="D151" s="345">
        <f t="shared" ref="D151:E151" si="160">B151/B150-1</f>
        <v>-1.0262806763607912E-3</v>
      </c>
      <c r="E151" s="345">
        <f t="shared" si="160"/>
        <v>5.7827857861214582E-3</v>
      </c>
      <c r="F151" s="313"/>
      <c r="G151" s="313"/>
      <c r="H151" s="313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  <c r="S151" s="313"/>
      <c r="T151" s="313"/>
      <c r="U151" s="313"/>
      <c r="V151" s="313"/>
      <c r="W151" s="313"/>
      <c r="X151" s="313"/>
      <c r="Y151" s="313"/>
      <c r="Z151" s="313"/>
      <c r="AA151" s="313"/>
    </row>
    <row r="152" spans="1:27" ht="14.25" customHeight="1" x14ac:dyDescent="0.2">
      <c r="A152" s="346">
        <v>42822</v>
      </c>
      <c r="B152" s="313">
        <v>235.320007</v>
      </c>
      <c r="C152" s="313">
        <v>120.389999</v>
      </c>
      <c r="D152" s="345">
        <f t="shared" ref="D152:E152" si="161">B152/B151-1</f>
        <v>7.2768257699860062E-3</v>
      </c>
      <c r="E152" s="345">
        <f t="shared" si="161"/>
        <v>3.1663777490813505E-3</v>
      </c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  <c r="AA152" s="313"/>
    </row>
    <row r="153" spans="1:27" ht="14.25" customHeight="1" x14ac:dyDescent="0.2">
      <c r="A153" s="346">
        <v>42823</v>
      </c>
      <c r="B153" s="313">
        <v>235.53999300000001</v>
      </c>
      <c r="C153" s="313">
        <v>121.040001</v>
      </c>
      <c r="D153" s="345">
        <f t="shared" ref="D153:E153" si="162">B153/B152-1</f>
        <v>9.348376400482028E-4</v>
      </c>
      <c r="E153" s="345">
        <f t="shared" si="162"/>
        <v>5.3991361857226305E-3</v>
      </c>
      <c r="F153" s="313"/>
      <c r="G153" s="313"/>
      <c r="H153" s="313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  <c r="AA153" s="313"/>
    </row>
    <row r="154" spans="1:27" ht="14.25" customHeight="1" x14ac:dyDescent="0.2">
      <c r="A154" s="346">
        <v>42824</v>
      </c>
      <c r="B154" s="313">
        <v>236.28999300000001</v>
      </c>
      <c r="C154" s="313">
        <v>120.910004</v>
      </c>
      <c r="D154" s="345">
        <f t="shared" ref="D154:E154" si="163">B154/B153-1</f>
        <v>3.1841726343262433E-3</v>
      </c>
      <c r="E154" s="345">
        <f t="shared" si="163"/>
        <v>-1.0740003215962135E-3</v>
      </c>
      <c r="F154" s="313"/>
      <c r="G154" s="313"/>
      <c r="H154" s="313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  <c r="AA154" s="313"/>
    </row>
    <row r="155" spans="1:27" ht="14.25" customHeight="1" x14ac:dyDescent="0.2">
      <c r="A155" s="346">
        <v>42825</v>
      </c>
      <c r="B155" s="313">
        <v>235.740005</v>
      </c>
      <c r="C155" s="313">
        <v>121.540001</v>
      </c>
      <c r="D155" s="345">
        <f t="shared" ref="D155:E155" si="164">B155/B154-1</f>
        <v>-2.3275975127732274E-3</v>
      </c>
      <c r="E155" s="345">
        <f t="shared" si="164"/>
        <v>5.2104621549760033E-3</v>
      </c>
      <c r="F155" s="313"/>
      <c r="G155" s="313"/>
      <c r="H155" s="313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  <c r="S155" s="313"/>
      <c r="T155" s="313"/>
      <c r="U155" s="313"/>
      <c r="V155" s="313"/>
      <c r="W155" s="313"/>
      <c r="X155" s="313"/>
      <c r="Y155" s="313"/>
      <c r="Z155" s="313"/>
      <c r="AA155" s="313"/>
    </row>
    <row r="156" spans="1:27" ht="14.25" customHeight="1" x14ac:dyDescent="0.2">
      <c r="A156" s="346">
        <v>42828</v>
      </c>
      <c r="B156" s="313">
        <v>235.33000200000001</v>
      </c>
      <c r="C156" s="313">
        <v>121.150002</v>
      </c>
      <c r="D156" s="345">
        <f t="shared" ref="D156:E156" si="165">B156/B155-1</f>
        <v>-1.7392168970217226E-3</v>
      </c>
      <c r="E156" s="345">
        <f t="shared" si="165"/>
        <v>-3.2088118873719873E-3</v>
      </c>
      <c r="F156" s="313"/>
      <c r="G156" s="313"/>
      <c r="H156" s="313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  <c r="S156" s="313"/>
      <c r="T156" s="313"/>
      <c r="U156" s="313"/>
      <c r="V156" s="313"/>
      <c r="W156" s="313"/>
      <c r="X156" s="313"/>
      <c r="Y156" s="313"/>
      <c r="Z156" s="313"/>
      <c r="AA156" s="313"/>
    </row>
    <row r="157" spans="1:27" ht="14.25" customHeight="1" x14ac:dyDescent="0.2">
      <c r="A157" s="346">
        <v>42829</v>
      </c>
      <c r="B157" s="313">
        <v>235.479996</v>
      </c>
      <c r="C157" s="313">
        <v>120.739998</v>
      </c>
      <c r="D157" s="345">
        <f t="shared" ref="D157:E157" si="166">B157/B156-1</f>
        <v>6.3737729454493852E-4</v>
      </c>
      <c r="E157" s="345">
        <f t="shared" si="166"/>
        <v>-3.3842673811924628E-3</v>
      </c>
      <c r="F157" s="313"/>
      <c r="G157" s="313"/>
      <c r="H157" s="313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  <c r="AA157" s="313"/>
    </row>
    <row r="158" spans="1:27" ht="14.25" customHeight="1" x14ac:dyDescent="0.2">
      <c r="A158" s="346">
        <v>42830</v>
      </c>
      <c r="B158" s="313">
        <v>234.779999</v>
      </c>
      <c r="C158" s="313">
        <v>120.639999</v>
      </c>
      <c r="D158" s="345">
        <f t="shared" ref="D158:E158" si="167">B158/B157-1</f>
        <v>-2.9726389157913591E-3</v>
      </c>
      <c r="E158" s="345">
        <f t="shared" si="167"/>
        <v>-8.282176714959899E-4</v>
      </c>
      <c r="F158" s="313"/>
      <c r="G158" s="313"/>
      <c r="H158" s="313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  <c r="S158" s="313"/>
      <c r="T158" s="313"/>
      <c r="U158" s="313"/>
      <c r="V158" s="313"/>
      <c r="W158" s="313"/>
      <c r="X158" s="313"/>
      <c r="Y158" s="313"/>
      <c r="Z158" s="313"/>
      <c r="AA158" s="313"/>
    </row>
    <row r="159" spans="1:27" ht="14.25" customHeight="1" x14ac:dyDescent="0.2">
      <c r="A159" s="346">
        <v>42831</v>
      </c>
      <c r="B159" s="313">
        <v>235.44000199999999</v>
      </c>
      <c r="C159" s="313">
        <v>121.949997</v>
      </c>
      <c r="D159" s="345">
        <f t="shared" ref="D159:E159" si="168">B159/B158-1</f>
        <v>2.811155135919341E-3</v>
      </c>
      <c r="E159" s="345">
        <f t="shared" si="168"/>
        <v>1.0858736827409787E-2</v>
      </c>
      <c r="F159" s="313"/>
      <c r="G159" s="313"/>
      <c r="H159" s="313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  <c r="S159" s="313"/>
      <c r="T159" s="313"/>
      <c r="U159" s="313"/>
      <c r="V159" s="313"/>
      <c r="W159" s="313"/>
      <c r="X159" s="313"/>
      <c r="Y159" s="313"/>
      <c r="Z159" s="313"/>
      <c r="AA159" s="313"/>
    </row>
    <row r="160" spans="1:27" ht="14.25" customHeight="1" x14ac:dyDescent="0.2">
      <c r="A160" s="346">
        <v>42832</v>
      </c>
      <c r="B160" s="313">
        <v>235.199997</v>
      </c>
      <c r="C160" s="313">
        <v>122.120003</v>
      </c>
      <c r="D160" s="345">
        <f t="shared" ref="D160:E160" si="169">B160/B159-1</f>
        <v>-1.0193892200187626E-3</v>
      </c>
      <c r="E160" s="345">
        <f t="shared" si="169"/>
        <v>1.3940631749256305E-3</v>
      </c>
      <c r="F160" s="313"/>
      <c r="G160" s="313"/>
      <c r="H160" s="313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  <c r="S160" s="313"/>
      <c r="T160" s="313"/>
      <c r="U160" s="313"/>
      <c r="V160" s="313"/>
      <c r="W160" s="313"/>
      <c r="X160" s="313"/>
      <c r="Y160" s="313"/>
      <c r="Z160" s="313"/>
      <c r="AA160" s="313"/>
    </row>
    <row r="161" spans="1:27" ht="14.25" customHeight="1" x14ac:dyDescent="0.2">
      <c r="A161" s="346">
        <v>42835</v>
      </c>
      <c r="B161" s="313">
        <v>235.33999600000001</v>
      </c>
      <c r="C161" s="313">
        <v>122.480003</v>
      </c>
      <c r="D161" s="345">
        <f t="shared" ref="D161:E161" si="170">B161/B160-1</f>
        <v>5.9523385112969507E-4</v>
      </c>
      <c r="E161" s="345">
        <f t="shared" si="170"/>
        <v>2.9479200061925948E-3</v>
      </c>
      <c r="F161" s="313"/>
      <c r="G161" s="313"/>
      <c r="H161" s="313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  <c r="S161" s="313"/>
      <c r="T161" s="313"/>
      <c r="U161" s="313"/>
      <c r="V161" s="313"/>
      <c r="W161" s="313"/>
      <c r="X161" s="313"/>
      <c r="Y161" s="313"/>
      <c r="Z161" s="313"/>
      <c r="AA161" s="313"/>
    </row>
    <row r="162" spans="1:27" ht="14.25" customHeight="1" x14ac:dyDescent="0.2">
      <c r="A162" s="346">
        <v>42836</v>
      </c>
      <c r="B162" s="313">
        <v>235.05999800000001</v>
      </c>
      <c r="C162" s="313">
        <v>122.760002</v>
      </c>
      <c r="D162" s="345">
        <f t="shared" ref="D162:E162" si="171">B162/B161-1</f>
        <v>-1.1897595171200814E-3</v>
      </c>
      <c r="E162" s="345">
        <f t="shared" si="171"/>
        <v>2.2860793039007898E-3</v>
      </c>
      <c r="F162" s="313"/>
      <c r="G162" s="313"/>
      <c r="H162" s="313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  <c r="S162" s="313"/>
      <c r="T162" s="313"/>
      <c r="U162" s="313"/>
      <c r="V162" s="313"/>
      <c r="W162" s="313"/>
      <c r="X162" s="313"/>
      <c r="Y162" s="313"/>
      <c r="Z162" s="313"/>
      <c r="AA162" s="313"/>
    </row>
    <row r="163" spans="1:27" ht="14.25" customHeight="1" x14ac:dyDescent="0.2">
      <c r="A163" s="346">
        <v>42837</v>
      </c>
      <c r="B163" s="313">
        <v>234.029999</v>
      </c>
      <c r="C163" s="313">
        <v>122.370003</v>
      </c>
      <c r="D163" s="345">
        <f t="shared" ref="D163:E163" si="172">B163/B162-1</f>
        <v>-4.3818557337008679E-3</v>
      </c>
      <c r="E163" s="345">
        <f t="shared" si="172"/>
        <v>-3.176922398551274E-3</v>
      </c>
      <c r="F163" s="313"/>
      <c r="G163" s="313"/>
      <c r="H163" s="313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  <c r="S163" s="313"/>
      <c r="T163" s="313"/>
      <c r="U163" s="313"/>
      <c r="V163" s="313"/>
      <c r="W163" s="313"/>
      <c r="X163" s="313"/>
      <c r="Y163" s="313"/>
      <c r="Z163" s="313"/>
      <c r="AA163" s="313"/>
    </row>
    <row r="164" spans="1:27" ht="14.25" customHeight="1" x14ac:dyDescent="0.2">
      <c r="A164" s="346">
        <v>42838</v>
      </c>
      <c r="B164" s="313">
        <v>232.509995</v>
      </c>
      <c r="C164" s="313">
        <v>122.599998</v>
      </c>
      <c r="D164" s="345">
        <f t="shared" ref="D164:E164" si="173">B164/B163-1</f>
        <v>-6.4949109366103652E-3</v>
      </c>
      <c r="E164" s="345">
        <f t="shared" si="173"/>
        <v>1.8795047345059324E-3</v>
      </c>
      <c r="F164" s="313"/>
      <c r="G164" s="313"/>
      <c r="H164" s="313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  <c r="S164" s="313"/>
      <c r="T164" s="313"/>
      <c r="U164" s="313"/>
      <c r="V164" s="313"/>
      <c r="W164" s="313"/>
      <c r="X164" s="313"/>
      <c r="Y164" s="313"/>
      <c r="Z164" s="313"/>
      <c r="AA164" s="313"/>
    </row>
    <row r="165" spans="1:27" ht="14.25" customHeight="1" x14ac:dyDescent="0.2">
      <c r="A165" s="346">
        <v>42842</v>
      </c>
      <c r="B165" s="313">
        <v>234.570007</v>
      </c>
      <c r="C165" s="313">
        <v>124.25</v>
      </c>
      <c r="D165" s="345">
        <f t="shared" ref="D165:E165" si="174">B165/B164-1</f>
        <v>8.8598857868453784E-3</v>
      </c>
      <c r="E165" s="345">
        <f t="shared" si="174"/>
        <v>1.3458417837820758E-2</v>
      </c>
      <c r="F165" s="313"/>
      <c r="G165" s="313"/>
      <c r="H165" s="313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  <c r="S165" s="313"/>
      <c r="T165" s="313"/>
      <c r="U165" s="313"/>
      <c r="V165" s="313"/>
      <c r="W165" s="313"/>
      <c r="X165" s="313"/>
      <c r="Y165" s="313"/>
      <c r="Z165" s="313"/>
      <c r="AA165" s="313"/>
    </row>
    <row r="166" spans="1:27" ht="14.25" customHeight="1" x14ac:dyDescent="0.2">
      <c r="A166" s="346">
        <v>42843</v>
      </c>
      <c r="B166" s="313">
        <v>233.86999499999999</v>
      </c>
      <c r="C166" s="313">
        <v>124.860001</v>
      </c>
      <c r="D166" s="345">
        <f t="shared" ref="D166:E166" si="175">B166/B165-1</f>
        <v>-2.9842348941057084E-3</v>
      </c>
      <c r="E166" s="345">
        <f t="shared" si="175"/>
        <v>4.9094647887324427E-3</v>
      </c>
      <c r="F166" s="313"/>
      <c r="G166" s="313"/>
      <c r="H166" s="313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  <c r="S166" s="313"/>
      <c r="T166" s="313"/>
      <c r="U166" s="313"/>
      <c r="V166" s="313"/>
      <c r="W166" s="313"/>
      <c r="X166" s="313"/>
      <c r="Y166" s="313"/>
      <c r="Z166" s="313"/>
      <c r="AA166" s="313"/>
    </row>
    <row r="167" spans="1:27" ht="14.25" customHeight="1" x14ac:dyDescent="0.2">
      <c r="A167" s="346">
        <v>42844</v>
      </c>
      <c r="B167" s="313">
        <v>233.44000199999999</v>
      </c>
      <c r="C167" s="313">
        <v>124.66999800000001</v>
      </c>
      <c r="D167" s="345">
        <f t="shared" ref="D167:E167" si="176">B167/B166-1</f>
        <v>-1.8385984059220428E-3</v>
      </c>
      <c r="E167" s="345">
        <f t="shared" si="176"/>
        <v>-1.5217283235484658E-3</v>
      </c>
      <c r="F167" s="313"/>
      <c r="G167" s="313"/>
      <c r="H167" s="313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313"/>
      <c r="W167" s="313"/>
      <c r="X167" s="313"/>
      <c r="Y167" s="313"/>
      <c r="Z167" s="313"/>
      <c r="AA167" s="313"/>
    </row>
    <row r="168" spans="1:27" ht="14.25" customHeight="1" x14ac:dyDescent="0.2">
      <c r="A168" s="346">
        <v>42845</v>
      </c>
      <c r="B168" s="313">
        <v>235.33999600000001</v>
      </c>
      <c r="C168" s="313">
        <v>124.300003</v>
      </c>
      <c r="D168" s="345">
        <f t="shared" ref="D168:E168" si="177">B168/B167-1</f>
        <v>8.1391106225230381E-3</v>
      </c>
      <c r="E168" s="345">
        <f t="shared" si="177"/>
        <v>-2.9677950263543584E-3</v>
      </c>
      <c r="F168" s="313"/>
      <c r="G168" s="313"/>
      <c r="H168" s="313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  <c r="S168" s="313"/>
      <c r="T168" s="313"/>
      <c r="U168" s="313"/>
      <c r="V168" s="313"/>
      <c r="W168" s="313"/>
      <c r="X168" s="313"/>
      <c r="Y168" s="313"/>
      <c r="Z168" s="313"/>
      <c r="AA168" s="313"/>
    </row>
    <row r="169" spans="1:27" ht="14.25" customHeight="1" x14ac:dyDescent="0.2">
      <c r="A169" s="346">
        <v>42846</v>
      </c>
      <c r="B169" s="313">
        <v>234.58999600000001</v>
      </c>
      <c r="C169" s="313">
        <v>124.43</v>
      </c>
      <c r="D169" s="345">
        <f t="shared" ref="D169:E169" si="178">B169/B168-1</f>
        <v>-3.186878612847388E-3</v>
      </c>
      <c r="E169" s="345">
        <f t="shared" si="178"/>
        <v>1.0458326376709959E-3</v>
      </c>
      <c r="F169" s="313"/>
      <c r="G169" s="313"/>
      <c r="H169" s="313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  <c r="S169" s="313"/>
      <c r="T169" s="313"/>
      <c r="U169" s="313"/>
      <c r="V169" s="313"/>
      <c r="W169" s="313"/>
      <c r="X169" s="313"/>
      <c r="Y169" s="313"/>
      <c r="Z169" s="313"/>
      <c r="AA169" s="313"/>
    </row>
    <row r="170" spans="1:27" ht="14.25" customHeight="1" x14ac:dyDescent="0.2">
      <c r="A170" s="346">
        <v>42849</v>
      </c>
      <c r="B170" s="313">
        <v>237.16999799999999</v>
      </c>
      <c r="C170" s="313">
        <v>123.849998</v>
      </c>
      <c r="D170" s="345">
        <f t="shared" ref="D170:E170" si="179">B170/B169-1</f>
        <v>1.0997919962452141E-2</v>
      </c>
      <c r="E170" s="345">
        <f t="shared" si="179"/>
        <v>-4.6612713975729969E-3</v>
      </c>
      <c r="F170" s="313"/>
      <c r="G170" s="313"/>
      <c r="H170" s="313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  <c r="S170" s="313"/>
      <c r="T170" s="313"/>
      <c r="U170" s="313"/>
      <c r="V170" s="313"/>
      <c r="W170" s="313"/>
      <c r="X170" s="313"/>
      <c r="Y170" s="313"/>
      <c r="Z170" s="313"/>
      <c r="AA170" s="313"/>
    </row>
    <row r="171" spans="1:27" ht="14.25" customHeight="1" x14ac:dyDescent="0.2">
      <c r="A171" s="346">
        <v>42850</v>
      </c>
      <c r="B171" s="313">
        <v>238.550003</v>
      </c>
      <c r="C171" s="313">
        <v>123.94000200000001</v>
      </c>
      <c r="D171" s="345">
        <f t="shared" ref="D171:E171" si="180">B171/B170-1</f>
        <v>5.8186322538149593E-3</v>
      </c>
      <c r="E171" s="345">
        <f t="shared" si="180"/>
        <v>7.2671781553035331E-4</v>
      </c>
      <c r="F171" s="313"/>
      <c r="G171" s="313"/>
      <c r="H171" s="313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  <c r="S171" s="313"/>
      <c r="T171" s="313"/>
      <c r="U171" s="313"/>
      <c r="V171" s="313"/>
      <c r="W171" s="313"/>
      <c r="X171" s="313"/>
      <c r="Y171" s="313"/>
      <c r="Z171" s="313"/>
      <c r="AA171" s="313"/>
    </row>
    <row r="172" spans="1:27" ht="14.25" customHeight="1" x14ac:dyDescent="0.2">
      <c r="A172" s="346">
        <v>42851</v>
      </c>
      <c r="B172" s="313">
        <v>238.39999399999999</v>
      </c>
      <c r="C172" s="313">
        <v>122.80999799999999</v>
      </c>
      <c r="D172" s="345">
        <f t="shared" ref="D172:E172" si="181">B172/B171-1</f>
        <v>-6.2883671395308482E-4</v>
      </c>
      <c r="E172" s="345">
        <f t="shared" si="181"/>
        <v>-9.1173469563120557E-3</v>
      </c>
      <c r="F172" s="313"/>
      <c r="G172" s="313"/>
      <c r="H172" s="313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  <c r="S172" s="313"/>
      <c r="T172" s="313"/>
      <c r="U172" s="313"/>
      <c r="V172" s="313"/>
      <c r="W172" s="313"/>
      <c r="X172" s="313"/>
      <c r="Y172" s="313"/>
      <c r="Z172" s="313"/>
      <c r="AA172" s="313"/>
    </row>
    <row r="173" spans="1:27" ht="14.25" customHeight="1" x14ac:dyDescent="0.2">
      <c r="A173" s="346">
        <v>42852</v>
      </c>
      <c r="B173" s="313">
        <v>238.60000600000001</v>
      </c>
      <c r="C173" s="313">
        <v>125.769997</v>
      </c>
      <c r="D173" s="345">
        <f t="shared" ref="D173:E173" si="182">B173/B172-1</f>
        <v>8.3897653118225612E-4</v>
      </c>
      <c r="E173" s="345">
        <f t="shared" si="182"/>
        <v>2.4102264051824251E-2</v>
      </c>
      <c r="F173" s="313"/>
      <c r="G173" s="313"/>
      <c r="H173" s="313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  <c r="S173" s="313"/>
      <c r="T173" s="313"/>
      <c r="U173" s="313"/>
      <c r="V173" s="313"/>
      <c r="W173" s="313"/>
      <c r="X173" s="313"/>
      <c r="Y173" s="313"/>
      <c r="Z173" s="313"/>
      <c r="AA173" s="313"/>
    </row>
    <row r="174" spans="1:27" ht="14.25" customHeight="1" x14ac:dyDescent="0.2">
      <c r="A174" s="346">
        <v>42853</v>
      </c>
      <c r="B174" s="313">
        <v>238.08000200000001</v>
      </c>
      <c r="C174" s="313">
        <v>125.94000200000001</v>
      </c>
      <c r="D174" s="345">
        <f t="shared" ref="D174:E174" si="183">B174/B173-1</f>
        <v>-2.1793964246589193E-3</v>
      </c>
      <c r="E174" s="345">
        <f t="shared" si="183"/>
        <v>1.3517134774201356E-3</v>
      </c>
      <c r="F174" s="313"/>
      <c r="G174" s="313"/>
      <c r="H174" s="313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  <c r="S174" s="313"/>
      <c r="T174" s="313"/>
      <c r="U174" s="313"/>
      <c r="V174" s="313"/>
      <c r="W174" s="313"/>
      <c r="X174" s="313"/>
      <c r="Y174" s="313"/>
      <c r="Z174" s="313"/>
      <c r="AA174" s="313"/>
    </row>
    <row r="175" spans="1:27" ht="14.25" customHeight="1" x14ac:dyDescent="0.2">
      <c r="A175" s="346">
        <v>42856</v>
      </c>
      <c r="B175" s="313">
        <v>238.679993</v>
      </c>
      <c r="C175" s="313">
        <v>127.510002</v>
      </c>
      <c r="D175" s="345">
        <f t="shared" ref="D175:E175" si="184">B175/B174-1</f>
        <v>2.5201234667326933E-3</v>
      </c>
      <c r="E175" s="345">
        <f t="shared" si="184"/>
        <v>1.2466253573665931E-2</v>
      </c>
      <c r="F175" s="313"/>
      <c r="G175" s="313"/>
      <c r="H175" s="313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  <c r="S175" s="313"/>
      <c r="T175" s="313"/>
      <c r="U175" s="313"/>
      <c r="V175" s="313"/>
      <c r="W175" s="313"/>
      <c r="X175" s="313"/>
      <c r="Y175" s="313"/>
      <c r="Z175" s="313"/>
      <c r="AA175" s="313"/>
    </row>
    <row r="176" spans="1:27" ht="14.25" customHeight="1" x14ac:dyDescent="0.2">
      <c r="A176" s="346">
        <v>42857</v>
      </c>
      <c r="B176" s="313">
        <v>238.770004</v>
      </c>
      <c r="C176" s="313">
        <v>127.910004</v>
      </c>
      <c r="D176" s="345">
        <f t="shared" ref="D176:E176" si="185">B176/B175-1</f>
        <v>3.7712000435674575E-4</v>
      </c>
      <c r="E176" s="345">
        <f t="shared" si="185"/>
        <v>3.1370244978898842E-3</v>
      </c>
      <c r="F176" s="313"/>
      <c r="G176" s="313"/>
      <c r="H176" s="313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3"/>
      <c r="Y176" s="313"/>
      <c r="Z176" s="313"/>
      <c r="AA176" s="313"/>
    </row>
    <row r="177" spans="1:27" ht="14.25" customHeight="1" x14ac:dyDescent="0.2">
      <c r="A177" s="346">
        <v>42858</v>
      </c>
      <c r="B177" s="313">
        <v>238.479996</v>
      </c>
      <c r="C177" s="313">
        <v>126.790001</v>
      </c>
      <c r="D177" s="345">
        <f t="shared" ref="D177:E177" si="186">B177/B176-1</f>
        <v>-1.2145914274893643E-3</v>
      </c>
      <c r="E177" s="345">
        <f t="shared" si="186"/>
        <v>-8.7561798528283941E-3</v>
      </c>
      <c r="F177" s="313"/>
      <c r="G177" s="313"/>
      <c r="H177" s="313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  <c r="AA177" s="313"/>
    </row>
    <row r="178" spans="1:27" ht="14.25" customHeight="1" x14ac:dyDescent="0.2">
      <c r="A178" s="346">
        <v>42859</v>
      </c>
      <c r="B178" s="313">
        <v>238.759995</v>
      </c>
      <c r="C178" s="313">
        <v>127.389999</v>
      </c>
      <c r="D178" s="345">
        <f t="shared" ref="D178:E178" si="187">B178/B177-1</f>
        <v>1.1740984765866713E-3</v>
      </c>
      <c r="E178" s="345">
        <f t="shared" si="187"/>
        <v>4.73221859190609E-3</v>
      </c>
      <c r="F178" s="313"/>
      <c r="G178" s="313"/>
      <c r="H178" s="313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313"/>
    </row>
    <row r="179" spans="1:27" ht="14.25" customHeight="1" x14ac:dyDescent="0.2">
      <c r="A179" s="346">
        <v>42860</v>
      </c>
      <c r="B179" s="313">
        <v>239.699997</v>
      </c>
      <c r="C179" s="313">
        <v>128.69000199999999</v>
      </c>
      <c r="D179" s="345">
        <f t="shared" ref="D179:E179" si="188">B179/B178-1</f>
        <v>3.937016333075416E-3</v>
      </c>
      <c r="E179" s="345">
        <f t="shared" si="188"/>
        <v>1.0204906273686198E-2</v>
      </c>
      <c r="F179" s="313"/>
      <c r="G179" s="313"/>
      <c r="H179" s="313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  <c r="AA179" s="313"/>
    </row>
    <row r="180" spans="1:27" ht="14.25" customHeight="1" x14ac:dyDescent="0.2">
      <c r="A180" s="346">
        <v>42863</v>
      </c>
      <c r="B180" s="313">
        <v>239.66000399999999</v>
      </c>
      <c r="C180" s="313">
        <v>128.86999499999999</v>
      </c>
      <c r="D180" s="345">
        <f t="shared" ref="D180:E180" si="189">B180/B179-1</f>
        <v>-1.6684605966021948E-4</v>
      </c>
      <c r="E180" s="345">
        <f t="shared" si="189"/>
        <v>1.3986556624654423E-3</v>
      </c>
      <c r="F180" s="313"/>
      <c r="G180" s="313"/>
      <c r="H180" s="313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  <c r="S180" s="313"/>
      <c r="T180" s="313"/>
      <c r="U180" s="313"/>
      <c r="V180" s="313"/>
      <c r="W180" s="313"/>
      <c r="X180" s="313"/>
      <c r="Y180" s="313"/>
      <c r="Z180" s="313"/>
      <c r="AA180" s="313"/>
    </row>
    <row r="181" spans="1:27" ht="14.25" customHeight="1" x14ac:dyDescent="0.2">
      <c r="A181" s="346">
        <v>42864</v>
      </c>
      <c r="B181" s="313">
        <v>239.44000199999999</v>
      </c>
      <c r="C181" s="313">
        <v>128.08999600000001</v>
      </c>
      <c r="D181" s="345">
        <f t="shared" ref="D181:E181" si="190">B181/B180-1</f>
        <v>-9.1797544992111568E-4</v>
      </c>
      <c r="E181" s="345">
        <f t="shared" si="190"/>
        <v>-6.0526036336074895E-3</v>
      </c>
      <c r="F181" s="313"/>
      <c r="G181" s="313"/>
      <c r="H181" s="313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  <c r="S181" s="313"/>
      <c r="T181" s="313"/>
      <c r="U181" s="313"/>
      <c r="V181" s="313"/>
      <c r="W181" s="313"/>
      <c r="X181" s="313"/>
      <c r="Y181" s="313"/>
      <c r="Z181" s="313"/>
      <c r="AA181" s="313"/>
    </row>
    <row r="182" spans="1:27" ht="14.25" customHeight="1" x14ac:dyDescent="0.2">
      <c r="A182" s="346">
        <v>42865</v>
      </c>
      <c r="B182" s="313">
        <v>239.86999499999999</v>
      </c>
      <c r="C182" s="313">
        <v>127.099998</v>
      </c>
      <c r="D182" s="345">
        <f t="shared" ref="D182:E182" si="191">B182/B181-1</f>
        <v>1.7958277497842623E-3</v>
      </c>
      <c r="E182" s="345">
        <f t="shared" si="191"/>
        <v>-7.7289252159865596E-3</v>
      </c>
      <c r="F182" s="313"/>
      <c r="G182" s="313"/>
      <c r="H182" s="313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  <c r="S182" s="313"/>
      <c r="T182" s="313"/>
      <c r="U182" s="313"/>
      <c r="V182" s="313"/>
      <c r="W182" s="313"/>
      <c r="X182" s="313"/>
      <c r="Y182" s="313"/>
      <c r="Z182" s="313"/>
      <c r="AA182" s="313"/>
    </row>
    <row r="183" spans="1:27" ht="14.25" customHeight="1" x14ac:dyDescent="0.2">
      <c r="A183" s="346">
        <v>42866</v>
      </c>
      <c r="B183" s="313">
        <v>239.38000500000001</v>
      </c>
      <c r="C183" s="313">
        <v>126.279999</v>
      </c>
      <c r="D183" s="345">
        <f t="shared" ref="D183:E183" si="192">B183/B182-1</f>
        <v>-2.0427315221313025E-3</v>
      </c>
      <c r="E183" s="345">
        <f t="shared" si="192"/>
        <v>-6.4516051369253313E-3</v>
      </c>
      <c r="F183" s="313"/>
      <c r="G183" s="313"/>
      <c r="H183" s="313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  <c r="S183" s="313"/>
      <c r="T183" s="313"/>
      <c r="U183" s="313"/>
      <c r="V183" s="313"/>
      <c r="W183" s="313"/>
      <c r="X183" s="313"/>
      <c r="Y183" s="313"/>
      <c r="Z183" s="313"/>
      <c r="AA183" s="313"/>
    </row>
    <row r="184" spans="1:27" ht="14.25" customHeight="1" x14ac:dyDescent="0.2">
      <c r="A184" s="346">
        <v>42867</v>
      </c>
      <c r="B184" s="313">
        <v>238.979996</v>
      </c>
      <c r="C184" s="313">
        <v>126.120003</v>
      </c>
      <c r="D184" s="345">
        <f t="shared" ref="D184:E184" si="193">B184/B183-1</f>
        <v>-1.6710209359382944E-3</v>
      </c>
      <c r="E184" s="345">
        <f t="shared" si="193"/>
        <v>-1.2669939916614137E-3</v>
      </c>
      <c r="F184" s="313"/>
      <c r="G184" s="313"/>
      <c r="H184" s="313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  <c r="S184" s="313"/>
      <c r="T184" s="313"/>
      <c r="U184" s="313"/>
      <c r="V184" s="313"/>
      <c r="W184" s="313"/>
      <c r="X184" s="313"/>
      <c r="Y184" s="313"/>
      <c r="Z184" s="313"/>
      <c r="AA184" s="313"/>
    </row>
    <row r="185" spans="1:27" ht="14.25" customHeight="1" x14ac:dyDescent="0.2">
      <c r="A185" s="346">
        <v>42870</v>
      </c>
      <c r="B185" s="313">
        <v>240.300003</v>
      </c>
      <c r="C185" s="313">
        <v>127.93</v>
      </c>
      <c r="D185" s="345">
        <f t="shared" ref="D185:E185" si="194">B185/B184-1</f>
        <v>5.5235041513683747E-3</v>
      </c>
      <c r="E185" s="345">
        <f t="shared" si="194"/>
        <v>1.4351387226021695E-2</v>
      </c>
      <c r="F185" s="313"/>
      <c r="G185" s="313"/>
      <c r="H185" s="313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  <c r="S185" s="313"/>
      <c r="T185" s="313"/>
      <c r="U185" s="313"/>
      <c r="V185" s="313"/>
      <c r="W185" s="313"/>
      <c r="X185" s="313"/>
      <c r="Y185" s="313"/>
      <c r="Z185" s="313"/>
      <c r="AA185" s="313"/>
    </row>
    <row r="186" spans="1:27" ht="14.25" customHeight="1" x14ac:dyDescent="0.2">
      <c r="A186" s="346">
        <v>42871</v>
      </c>
      <c r="B186" s="313">
        <v>240.08000200000001</v>
      </c>
      <c r="C186" s="313">
        <v>128.36999499999999</v>
      </c>
      <c r="D186" s="345">
        <f t="shared" ref="D186:E186" si="195">B186/B185-1</f>
        <v>-9.1552641387193656E-4</v>
      </c>
      <c r="E186" s="345">
        <f t="shared" si="195"/>
        <v>3.4393418275617815E-3</v>
      </c>
      <c r="F186" s="313"/>
      <c r="G186" s="313"/>
      <c r="H186" s="313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  <c r="S186" s="313"/>
      <c r="T186" s="313"/>
      <c r="U186" s="313"/>
      <c r="V186" s="313"/>
      <c r="W186" s="313"/>
      <c r="X186" s="313"/>
      <c r="Y186" s="313"/>
      <c r="Z186" s="313"/>
      <c r="AA186" s="313"/>
    </row>
    <row r="187" spans="1:27" ht="14.25" customHeight="1" x14ac:dyDescent="0.2">
      <c r="A187" s="346">
        <v>42872</v>
      </c>
      <c r="B187" s="313">
        <v>235.820007</v>
      </c>
      <c r="C187" s="313">
        <v>130.740005</v>
      </c>
      <c r="D187" s="345">
        <f t="shared" ref="D187:E187" si="196">B187/B186-1</f>
        <v>-1.7744064330689202E-2</v>
      </c>
      <c r="E187" s="345">
        <f t="shared" si="196"/>
        <v>1.8462336155735004E-2</v>
      </c>
      <c r="F187" s="313"/>
      <c r="G187" s="313"/>
      <c r="H187" s="313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  <c r="S187" s="313"/>
      <c r="T187" s="313"/>
      <c r="U187" s="313"/>
      <c r="V187" s="313"/>
      <c r="W187" s="313"/>
      <c r="X187" s="313"/>
      <c r="Y187" s="313"/>
      <c r="Z187" s="313"/>
      <c r="AA187" s="313"/>
    </row>
    <row r="188" spans="1:27" ht="14.25" customHeight="1" x14ac:dyDescent="0.2">
      <c r="A188" s="346">
        <v>42873</v>
      </c>
      <c r="B188" s="313">
        <v>236.770004</v>
      </c>
      <c r="C188" s="313">
        <v>127.980003</v>
      </c>
      <c r="D188" s="345">
        <f t="shared" ref="D188:E188" si="197">B188/B187-1</f>
        <v>4.0284834695980543E-3</v>
      </c>
      <c r="E188" s="345">
        <f t="shared" si="197"/>
        <v>-2.1110615683393896E-2</v>
      </c>
      <c r="F188" s="313"/>
      <c r="G188" s="313"/>
      <c r="H188" s="313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  <c r="S188" s="313"/>
      <c r="T188" s="313"/>
      <c r="U188" s="313"/>
      <c r="V188" s="313"/>
      <c r="W188" s="313"/>
      <c r="X188" s="313"/>
      <c r="Y188" s="313"/>
      <c r="Z188" s="313"/>
      <c r="AA188" s="313"/>
    </row>
    <row r="189" spans="1:27" ht="14.25" customHeight="1" x14ac:dyDescent="0.2">
      <c r="A189" s="346">
        <v>42874</v>
      </c>
      <c r="B189" s="313">
        <v>238.30999800000001</v>
      </c>
      <c r="C189" s="313">
        <v>128.320007</v>
      </c>
      <c r="D189" s="345">
        <f t="shared" ref="D189:E189" si="198">B189/B188-1</f>
        <v>6.5041769395755011E-3</v>
      </c>
      <c r="E189" s="345">
        <f t="shared" si="198"/>
        <v>2.6566962965299812E-3</v>
      </c>
      <c r="F189" s="313"/>
      <c r="G189" s="313"/>
      <c r="H189" s="313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  <c r="S189" s="313"/>
      <c r="T189" s="313"/>
      <c r="U189" s="313"/>
      <c r="V189" s="313"/>
      <c r="W189" s="313"/>
      <c r="X189" s="313"/>
      <c r="Y189" s="313"/>
      <c r="Z189" s="313"/>
      <c r="AA189" s="313"/>
    </row>
    <row r="190" spans="1:27" ht="14.25" customHeight="1" x14ac:dyDescent="0.2">
      <c r="A190" s="346">
        <v>42877</v>
      </c>
      <c r="B190" s="313">
        <v>239.520004</v>
      </c>
      <c r="C190" s="313">
        <v>128.729996</v>
      </c>
      <c r="D190" s="345">
        <f t="shared" ref="D190:E190" si="199">B190/B189-1</f>
        <v>5.0774453869115721E-3</v>
      </c>
      <c r="E190" s="345">
        <f t="shared" si="199"/>
        <v>3.1950512596214953E-3</v>
      </c>
      <c r="F190" s="313"/>
      <c r="G190" s="313"/>
      <c r="H190" s="313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  <c r="S190" s="313"/>
      <c r="T190" s="313"/>
      <c r="U190" s="313"/>
      <c r="V190" s="313"/>
      <c r="W190" s="313"/>
      <c r="X190" s="313"/>
      <c r="Y190" s="313"/>
      <c r="Z190" s="313"/>
      <c r="AA190" s="313"/>
    </row>
    <row r="191" spans="1:27" ht="14.25" customHeight="1" x14ac:dyDescent="0.2">
      <c r="A191" s="346">
        <v>42878</v>
      </c>
      <c r="B191" s="313">
        <v>240.050003</v>
      </c>
      <c r="C191" s="313">
        <v>128.729996</v>
      </c>
      <c r="D191" s="345">
        <f t="shared" ref="D191:E191" si="200">B191/B190-1</f>
        <v>2.2127546390655617E-3</v>
      </c>
      <c r="E191" s="345">
        <f t="shared" si="200"/>
        <v>0</v>
      </c>
      <c r="F191" s="313"/>
      <c r="G191" s="313"/>
      <c r="H191" s="313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  <c r="AA191" s="313"/>
    </row>
    <row r="192" spans="1:27" ht="14.25" customHeight="1" x14ac:dyDescent="0.2">
      <c r="A192" s="346">
        <v>42879</v>
      </c>
      <c r="B192" s="313">
        <v>240.61000100000001</v>
      </c>
      <c r="C192" s="313">
        <v>129.300003</v>
      </c>
      <c r="D192" s="345">
        <f t="shared" ref="D192:E192" si="201">B192/B191-1</f>
        <v>2.3328389627224055E-3</v>
      </c>
      <c r="E192" s="345">
        <f t="shared" si="201"/>
        <v>4.4279268058082799E-3</v>
      </c>
      <c r="F192" s="313"/>
      <c r="G192" s="313"/>
      <c r="H192" s="313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  <c r="S192" s="313"/>
      <c r="T192" s="313"/>
      <c r="U192" s="313"/>
      <c r="V192" s="313"/>
      <c r="W192" s="313"/>
      <c r="X192" s="313"/>
      <c r="Y192" s="313"/>
      <c r="Z192" s="313"/>
      <c r="AA192" s="313"/>
    </row>
    <row r="193" spans="1:27" ht="14.25" customHeight="1" x14ac:dyDescent="0.2">
      <c r="A193" s="346">
        <v>42880</v>
      </c>
      <c r="B193" s="313">
        <v>241.759995</v>
      </c>
      <c r="C193" s="313">
        <v>131.050003</v>
      </c>
      <c r="D193" s="345">
        <f t="shared" ref="D193:E193" si="202">B193/B192-1</f>
        <v>4.7794937667615667E-3</v>
      </c>
      <c r="E193" s="345">
        <f t="shared" si="202"/>
        <v>1.3534415772596731E-2</v>
      </c>
      <c r="F193" s="313"/>
      <c r="G193" s="313"/>
      <c r="H193" s="313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  <c r="S193" s="313"/>
      <c r="T193" s="313"/>
      <c r="U193" s="313"/>
      <c r="V193" s="313"/>
      <c r="W193" s="313"/>
      <c r="X193" s="313"/>
      <c r="Y193" s="313"/>
      <c r="Z193" s="313"/>
      <c r="AA193" s="313"/>
    </row>
    <row r="194" spans="1:27" ht="14.25" customHeight="1" x14ac:dyDescent="0.2">
      <c r="A194" s="346">
        <v>42881</v>
      </c>
      <c r="B194" s="313">
        <v>241.71000699999999</v>
      </c>
      <c r="C194" s="313">
        <v>131.11000100000001</v>
      </c>
      <c r="D194" s="345">
        <f t="shared" ref="D194:E194" si="203">B194/B193-1</f>
        <v>-2.0676704597055728E-4</v>
      </c>
      <c r="E194" s="345">
        <f t="shared" si="203"/>
        <v>4.5782524705484384E-4</v>
      </c>
      <c r="F194" s="313"/>
      <c r="G194" s="313"/>
      <c r="H194" s="313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  <c r="Y194" s="313"/>
      <c r="Z194" s="313"/>
      <c r="AA194" s="313"/>
    </row>
    <row r="195" spans="1:27" ht="14.25" customHeight="1" x14ac:dyDescent="0.2">
      <c r="A195" s="346">
        <v>42885</v>
      </c>
      <c r="B195" s="313">
        <v>241.5</v>
      </c>
      <c r="C195" s="313">
        <v>132.11999499999999</v>
      </c>
      <c r="D195" s="345">
        <f t="shared" ref="D195:E195" si="204">B195/B194-1</f>
        <v>-8.6883866583142844E-4</v>
      </c>
      <c r="E195" s="345">
        <f t="shared" si="204"/>
        <v>7.7034092921712816E-3</v>
      </c>
      <c r="F195" s="313"/>
      <c r="G195" s="313"/>
      <c r="H195" s="313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  <c r="S195" s="313"/>
      <c r="T195" s="313"/>
      <c r="U195" s="313"/>
      <c r="V195" s="313"/>
      <c r="W195" s="313"/>
      <c r="X195" s="313"/>
      <c r="Y195" s="313"/>
      <c r="Z195" s="313"/>
      <c r="AA195" s="313"/>
    </row>
    <row r="196" spans="1:27" ht="14.25" customHeight="1" x14ac:dyDescent="0.2">
      <c r="A196" s="346">
        <v>42886</v>
      </c>
      <c r="B196" s="313">
        <v>241.44000199999999</v>
      </c>
      <c r="C196" s="313">
        <v>131.19000199999999</v>
      </c>
      <c r="D196" s="345">
        <f t="shared" ref="D196:E196" si="205">B196/B195-1</f>
        <v>-2.4843892339543316E-4</v>
      </c>
      <c r="E196" s="345">
        <f t="shared" si="205"/>
        <v>-7.0390026884272761E-3</v>
      </c>
      <c r="F196" s="313"/>
      <c r="G196" s="313"/>
      <c r="H196" s="313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  <c r="S196" s="313"/>
      <c r="T196" s="313"/>
      <c r="U196" s="313"/>
      <c r="V196" s="313"/>
      <c r="W196" s="313"/>
      <c r="X196" s="313"/>
      <c r="Y196" s="313"/>
      <c r="Z196" s="313"/>
      <c r="AA196" s="313"/>
    </row>
    <row r="197" spans="1:27" ht="14.25" customHeight="1" x14ac:dyDescent="0.2">
      <c r="A197" s="346">
        <v>42887</v>
      </c>
      <c r="B197" s="313">
        <v>243.36000100000001</v>
      </c>
      <c r="C197" s="313">
        <v>131.83000200000001</v>
      </c>
      <c r="D197" s="345">
        <f t="shared" ref="D197:E197" si="206">B197/B196-1</f>
        <v>7.9522820746167344E-3</v>
      </c>
      <c r="E197" s="345">
        <f t="shared" si="206"/>
        <v>4.878420536955419E-3</v>
      </c>
      <c r="F197" s="313"/>
      <c r="G197" s="313"/>
      <c r="H197" s="313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  <c r="S197" s="313"/>
      <c r="T197" s="313"/>
      <c r="U197" s="313"/>
      <c r="V197" s="313"/>
      <c r="W197" s="313"/>
      <c r="X197" s="313"/>
      <c r="Y197" s="313"/>
      <c r="Z197" s="313"/>
      <c r="AA197" s="313"/>
    </row>
    <row r="198" spans="1:27" ht="14.25" customHeight="1" x14ac:dyDescent="0.2">
      <c r="A198" s="346">
        <v>42888</v>
      </c>
      <c r="B198" s="313">
        <v>244.16999799999999</v>
      </c>
      <c r="C198" s="313">
        <v>132.490005</v>
      </c>
      <c r="D198" s="345">
        <f t="shared" ref="D198:E198" si="207">B198/B197-1</f>
        <v>3.3283900257707888E-3</v>
      </c>
      <c r="E198" s="345">
        <f t="shared" si="207"/>
        <v>5.0064703784196141E-3</v>
      </c>
      <c r="F198" s="313"/>
      <c r="G198" s="313"/>
      <c r="H198" s="313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  <c r="S198" s="313"/>
      <c r="T198" s="313"/>
      <c r="U198" s="313"/>
      <c r="V198" s="313"/>
      <c r="W198" s="313"/>
      <c r="X198" s="313"/>
      <c r="Y198" s="313"/>
      <c r="Z198" s="313"/>
      <c r="AA198" s="313"/>
    </row>
    <row r="199" spans="1:27" ht="14.25" customHeight="1" x14ac:dyDescent="0.2">
      <c r="A199" s="346">
        <v>42891</v>
      </c>
      <c r="B199" s="313">
        <v>243.990005</v>
      </c>
      <c r="C199" s="313">
        <v>131.61000100000001</v>
      </c>
      <c r="D199" s="345">
        <f t="shared" ref="D199:E199" si="208">B199/B198-1</f>
        <v>-7.3716263863010667E-4</v>
      </c>
      <c r="E199" s="345">
        <f t="shared" si="208"/>
        <v>-6.6420406580857128E-3</v>
      </c>
      <c r="F199" s="313"/>
      <c r="G199" s="313"/>
      <c r="H199" s="313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  <c r="S199" s="313"/>
      <c r="T199" s="313"/>
      <c r="U199" s="313"/>
      <c r="V199" s="313"/>
      <c r="W199" s="313"/>
      <c r="X199" s="313"/>
      <c r="Y199" s="313"/>
      <c r="Z199" s="313"/>
      <c r="AA199" s="313"/>
    </row>
    <row r="200" spans="1:27" ht="14.25" customHeight="1" x14ac:dyDescent="0.2">
      <c r="A200" s="346">
        <v>42892</v>
      </c>
      <c r="B200" s="313">
        <v>243.21000699999999</v>
      </c>
      <c r="C200" s="313">
        <v>131.699997</v>
      </c>
      <c r="D200" s="345">
        <f t="shared" ref="D200:E200" si="209">B200/B199-1</f>
        <v>-3.1968440674444709E-3</v>
      </c>
      <c r="E200" s="345">
        <f t="shared" si="209"/>
        <v>6.838082160640635E-4</v>
      </c>
      <c r="F200" s="313"/>
      <c r="G200" s="313"/>
      <c r="H200" s="313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313"/>
      <c r="Z200" s="313"/>
      <c r="AA200" s="313"/>
    </row>
    <row r="201" spans="1:27" ht="14.25" customHeight="1" x14ac:dyDescent="0.2">
      <c r="A201" s="346">
        <v>42893</v>
      </c>
      <c r="B201" s="313">
        <v>243.66000399999999</v>
      </c>
      <c r="C201" s="313">
        <v>131.820007</v>
      </c>
      <c r="D201" s="345">
        <f t="shared" ref="D201:E201" si="210">B201/B200-1</f>
        <v>1.8502404796196803E-3</v>
      </c>
      <c r="E201" s="345">
        <f t="shared" si="210"/>
        <v>9.1123768210876754E-4</v>
      </c>
      <c r="F201" s="313"/>
      <c r="G201" s="313"/>
      <c r="H201" s="313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  <c r="S201" s="313"/>
      <c r="T201" s="313"/>
      <c r="U201" s="313"/>
      <c r="V201" s="313"/>
      <c r="W201" s="313"/>
      <c r="X201" s="313"/>
      <c r="Y201" s="313"/>
      <c r="Z201" s="313"/>
      <c r="AA201" s="313"/>
    </row>
    <row r="202" spans="1:27" ht="14.25" customHeight="1" x14ac:dyDescent="0.2">
      <c r="A202" s="346">
        <v>42894</v>
      </c>
      <c r="B202" s="313">
        <v>243.779999</v>
      </c>
      <c r="C202" s="313">
        <v>130.970001</v>
      </c>
      <c r="D202" s="345">
        <f t="shared" ref="D202:E202" si="211">B202/B201-1</f>
        <v>4.9246900611565891E-4</v>
      </c>
      <c r="E202" s="345">
        <f t="shared" si="211"/>
        <v>-6.4482320957547357E-3</v>
      </c>
      <c r="F202" s="313"/>
      <c r="G202" s="313"/>
      <c r="H202" s="313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  <c r="S202" s="313"/>
      <c r="T202" s="313"/>
      <c r="U202" s="313"/>
      <c r="V202" s="313"/>
      <c r="W202" s="313"/>
      <c r="X202" s="313"/>
      <c r="Y202" s="313"/>
      <c r="Z202" s="313"/>
      <c r="AA202" s="313"/>
    </row>
    <row r="203" spans="1:27" ht="14.25" customHeight="1" x14ac:dyDescent="0.2">
      <c r="A203" s="346">
        <v>42895</v>
      </c>
      <c r="B203" s="313">
        <v>243.41000399999999</v>
      </c>
      <c r="C203" s="313">
        <v>130.279999</v>
      </c>
      <c r="D203" s="345">
        <f t="shared" ref="D203:E203" si="212">B203/B202-1</f>
        <v>-1.5177414124117883E-3</v>
      </c>
      <c r="E203" s="345">
        <f t="shared" si="212"/>
        <v>-5.2683973026769193E-3</v>
      </c>
      <c r="F203" s="313"/>
      <c r="G203" s="313"/>
      <c r="H203" s="313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  <c r="AA203" s="313"/>
    </row>
    <row r="204" spans="1:27" ht="14.25" customHeight="1" x14ac:dyDescent="0.2">
      <c r="A204" s="346">
        <v>42898</v>
      </c>
      <c r="B204" s="313">
        <v>243.36000100000001</v>
      </c>
      <c r="C204" s="313">
        <v>129.179993</v>
      </c>
      <c r="D204" s="345">
        <f t="shared" ref="D204:E204" si="213">B204/B203-1</f>
        <v>-2.0542705385262483E-4</v>
      </c>
      <c r="E204" s="345">
        <f t="shared" si="213"/>
        <v>-8.4433988980918695E-3</v>
      </c>
      <c r="F204" s="313"/>
      <c r="G204" s="313"/>
      <c r="H204" s="313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  <c r="S204" s="313"/>
      <c r="T204" s="313"/>
      <c r="U204" s="313"/>
      <c r="V204" s="313"/>
      <c r="W204" s="313"/>
      <c r="X204" s="313"/>
      <c r="Y204" s="313"/>
      <c r="Z204" s="313"/>
      <c r="AA204" s="313"/>
    </row>
    <row r="205" spans="1:27" ht="14.25" customHeight="1" x14ac:dyDescent="0.2">
      <c r="A205" s="346">
        <v>42899</v>
      </c>
      <c r="B205" s="313">
        <v>244.550003</v>
      </c>
      <c r="C205" s="313">
        <v>130.19000199999999</v>
      </c>
      <c r="D205" s="345">
        <f t="shared" ref="D205:E205" si="214">B205/B204-1</f>
        <v>4.8898832803669912E-3</v>
      </c>
      <c r="E205" s="345">
        <f t="shared" si="214"/>
        <v>7.8186178567141162E-3</v>
      </c>
      <c r="F205" s="313"/>
      <c r="G205" s="313"/>
      <c r="H205" s="313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  <c r="S205" s="313"/>
      <c r="T205" s="313"/>
      <c r="U205" s="313"/>
      <c r="V205" s="313"/>
      <c r="W205" s="313"/>
      <c r="X205" s="313"/>
      <c r="Y205" s="313"/>
      <c r="Z205" s="313"/>
      <c r="AA205" s="313"/>
    </row>
    <row r="206" spans="1:27" ht="14.25" customHeight="1" x14ac:dyDescent="0.2">
      <c r="A206" s="346">
        <v>42900</v>
      </c>
      <c r="B206" s="313">
        <v>244.240005</v>
      </c>
      <c r="C206" s="313">
        <v>130.5</v>
      </c>
      <c r="D206" s="345">
        <f t="shared" ref="D206:E206" si="215">B206/B205-1</f>
        <v>-1.2676262367496971E-3</v>
      </c>
      <c r="E206" s="345">
        <f t="shared" si="215"/>
        <v>2.3811198651031429E-3</v>
      </c>
      <c r="F206" s="313"/>
      <c r="G206" s="313"/>
      <c r="H206" s="313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  <c r="S206" s="313"/>
      <c r="T206" s="313"/>
      <c r="U206" s="313"/>
      <c r="V206" s="313"/>
      <c r="W206" s="313"/>
      <c r="X206" s="313"/>
      <c r="Y206" s="313"/>
      <c r="Z206" s="313"/>
      <c r="AA206" s="313"/>
    </row>
    <row r="207" spans="1:27" ht="14.25" customHeight="1" x14ac:dyDescent="0.2">
      <c r="A207" s="346">
        <v>42901</v>
      </c>
      <c r="B207" s="313">
        <v>243.770004</v>
      </c>
      <c r="C207" s="313">
        <v>130.86999499999999</v>
      </c>
      <c r="D207" s="345">
        <f t="shared" ref="D207:E207" si="216">B207/B206-1</f>
        <v>-1.9243407729212514E-3</v>
      </c>
      <c r="E207" s="345">
        <f t="shared" si="216"/>
        <v>2.8352107279692174E-3</v>
      </c>
      <c r="F207" s="313"/>
      <c r="G207" s="313"/>
      <c r="H207" s="313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  <c r="S207" s="313"/>
      <c r="T207" s="313"/>
      <c r="U207" s="313"/>
      <c r="V207" s="313"/>
      <c r="W207" s="313"/>
      <c r="X207" s="313"/>
      <c r="Y207" s="313"/>
      <c r="Z207" s="313"/>
      <c r="AA207" s="313"/>
    </row>
    <row r="208" spans="1:27" ht="14.25" customHeight="1" x14ac:dyDescent="0.2">
      <c r="A208" s="346">
        <v>42902</v>
      </c>
      <c r="B208" s="313">
        <v>242.63999899999999</v>
      </c>
      <c r="C208" s="313">
        <v>131.949997</v>
      </c>
      <c r="D208" s="345">
        <f t="shared" ref="D208:E208" si="217">B208/B207-1</f>
        <v>-4.6355375208511074E-3</v>
      </c>
      <c r="E208" s="345">
        <f t="shared" si="217"/>
        <v>8.2524798751617556E-3</v>
      </c>
      <c r="F208" s="313"/>
      <c r="G208" s="313"/>
      <c r="H208" s="313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  <c r="S208" s="313"/>
      <c r="T208" s="313"/>
      <c r="U208" s="313"/>
      <c r="V208" s="313"/>
      <c r="W208" s="313"/>
      <c r="X208" s="313"/>
      <c r="Y208" s="313"/>
      <c r="Z208" s="313"/>
      <c r="AA208" s="313"/>
    </row>
    <row r="209" spans="1:27" ht="14.25" customHeight="1" x14ac:dyDescent="0.2">
      <c r="A209" s="346">
        <v>42905</v>
      </c>
      <c r="B209" s="313">
        <v>244.66000399999999</v>
      </c>
      <c r="C209" s="313">
        <v>132.33000200000001</v>
      </c>
      <c r="D209" s="345">
        <f t="shared" ref="D209:E209" si="218">B209/B208-1</f>
        <v>8.325111310274913E-3</v>
      </c>
      <c r="E209" s="345">
        <f t="shared" si="218"/>
        <v>2.8799167005666426E-3</v>
      </c>
      <c r="F209" s="313"/>
      <c r="G209" s="313"/>
      <c r="H209" s="313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  <c r="S209" s="313"/>
      <c r="T209" s="313"/>
      <c r="U209" s="313"/>
      <c r="V209" s="313"/>
      <c r="W209" s="313"/>
      <c r="X209" s="313"/>
      <c r="Y209" s="313"/>
      <c r="Z209" s="313"/>
      <c r="AA209" s="313"/>
    </row>
    <row r="210" spans="1:27" ht="14.25" customHeight="1" x14ac:dyDescent="0.2">
      <c r="A210" s="346">
        <v>42906</v>
      </c>
      <c r="B210" s="313">
        <v>243.009995</v>
      </c>
      <c r="C210" s="313">
        <v>131.199997</v>
      </c>
      <c r="D210" s="345">
        <f t="shared" ref="D210:E210" si="219">B210/B209-1</f>
        <v>-6.7440896469533884E-3</v>
      </c>
      <c r="E210" s="345">
        <f t="shared" si="219"/>
        <v>-8.5392955710830165E-3</v>
      </c>
      <c r="F210" s="313"/>
      <c r="G210" s="313"/>
      <c r="H210" s="313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  <c r="S210" s="313"/>
      <c r="T210" s="313"/>
      <c r="U210" s="313"/>
      <c r="V210" s="313"/>
      <c r="W210" s="313"/>
      <c r="X210" s="313"/>
      <c r="Y210" s="313"/>
      <c r="Z210" s="313"/>
      <c r="AA210" s="313"/>
    </row>
    <row r="211" spans="1:27" ht="14.25" customHeight="1" x14ac:dyDescent="0.2">
      <c r="A211" s="346">
        <v>42907</v>
      </c>
      <c r="B211" s="313">
        <v>242.949997</v>
      </c>
      <c r="C211" s="313">
        <v>130.61000100000001</v>
      </c>
      <c r="D211" s="345">
        <f t="shared" ref="D211:E211" si="220">B211/B210-1</f>
        <v>-2.4689519457832265E-4</v>
      </c>
      <c r="E211" s="345">
        <f t="shared" si="220"/>
        <v>-4.4969208345331246E-3</v>
      </c>
      <c r="F211" s="313"/>
      <c r="G211" s="313"/>
      <c r="H211" s="313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  <c r="S211" s="313"/>
      <c r="T211" s="313"/>
      <c r="U211" s="313"/>
      <c r="V211" s="313"/>
      <c r="W211" s="313"/>
      <c r="X211" s="313"/>
      <c r="Y211" s="313"/>
      <c r="Z211" s="313"/>
      <c r="AA211" s="313"/>
    </row>
    <row r="212" spans="1:27" ht="14.25" customHeight="1" x14ac:dyDescent="0.2">
      <c r="A212" s="346">
        <v>42908</v>
      </c>
      <c r="B212" s="313">
        <v>242.83999600000001</v>
      </c>
      <c r="C212" s="313">
        <v>130.86999499999999</v>
      </c>
      <c r="D212" s="345">
        <f t="shared" ref="D212:E212" si="221">B212/B211-1</f>
        <v>-4.5277218093553451E-4</v>
      </c>
      <c r="E212" s="345">
        <f t="shared" si="221"/>
        <v>1.9906132609246452E-3</v>
      </c>
      <c r="F212" s="313"/>
      <c r="G212" s="313"/>
      <c r="H212" s="313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  <c r="S212" s="313"/>
      <c r="T212" s="313"/>
      <c r="U212" s="313"/>
      <c r="V212" s="313"/>
      <c r="W212" s="313"/>
      <c r="X212" s="313"/>
      <c r="Y212" s="313"/>
      <c r="Z212" s="313"/>
      <c r="AA212" s="313"/>
    </row>
    <row r="213" spans="1:27" ht="14.25" customHeight="1" x14ac:dyDescent="0.2">
      <c r="A213" s="346">
        <v>42909</v>
      </c>
      <c r="B213" s="313">
        <v>243.13000500000001</v>
      </c>
      <c r="C213" s="313">
        <v>131.88000500000001</v>
      </c>
      <c r="D213" s="345">
        <f t="shared" ref="D213:E213" si="222">B213/B212-1</f>
        <v>1.1942390247774437E-3</v>
      </c>
      <c r="E213" s="345">
        <f t="shared" si="222"/>
        <v>7.7176590401797363E-3</v>
      </c>
      <c r="F213" s="313"/>
      <c r="G213" s="313"/>
      <c r="H213" s="313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  <c r="S213" s="313"/>
      <c r="T213" s="313"/>
      <c r="U213" s="313"/>
      <c r="V213" s="313"/>
      <c r="W213" s="313"/>
      <c r="X213" s="313"/>
      <c r="Y213" s="313"/>
      <c r="Z213" s="313"/>
      <c r="AA213" s="313"/>
    </row>
    <row r="214" spans="1:27" ht="14.25" customHeight="1" x14ac:dyDescent="0.2">
      <c r="A214" s="346">
        <v>42912</v>
      </c>
      <c r="B214" s="313">
        <v>243.28999300000001</v>
      </c>
      <c r="C214" s="313">
        <v>132.46000699999999</v>
      </c>
      <c r="D214" s="345">
        <f t="shared" ref="D214:E214" si="223">B214/B213-1</f>
        <v>6.5803478266701632E-4</v>
      </c>
      <c r="E214" s="345">
        <f t="shared" si="223"/>
        <v>4.3979525175175116E-3</v>
      </c>
      <c r="F214" s="313"/>
      <c r="G214" s="313"/>
      <c r="H214" s="313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  <c r="AA214" s="313"/>
    </row>
    <row r="215" spans="1:27" ht="14.25" customHeight="1" x14ac:dyDescent="0.2">
      <c r="A215" s="346">
        <v>42913</v>
      </c>
      <c r="B215" s="313">
        <v>241.33000200000001</v>
      </c>
      <c r="C215" s="313">
        <v>135.75</v>
      </c>
      <c r="D215" s="345">
        <f t="shared" ref="D215:E215" si="224">B215/B214-1</f>
        <v>-8.0561924304054511E-3</v>
      </c>
      <c r="E215" s="345">
        <f t="shared" si="224"/>
        <v>2.4837632690144718E-2</v>
      </c>
      <c r="F215" s="313"/>
      <c r="G215" s="313"/>
      <c r="H215" s="313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  <c r="S215" s="313"/>
      <c r="T215" s="313"/>
      <c r="U215" s="313"/>
      <c r="V215" s="313"/>
      <c r="W215" s="313"/>
      <c r="X215" s="313"/>
      <c r="Y215" s="313"/>
      <c r="Z215" s="313"/>
      <c r="AA215" s="313"/>
    </row>
    <row r="216" spans="1:27" ht="14.25" customHeight="1" x14ac:dyDescent="0.2">
      <c r="A216" s="346">
        <v>42914</v>
      </c>
      <c r="B216" s="313">
        <v>243.490005</v>
      </c>
      <c r="C216" s="313">
        <v>134.529999</v>
      </c>
      <c r="D216" s="345">
        <f t="shared" ref="D216:E216" si="225">B216/B215-1</f>
        <v>8.950412224336679E-3</v>
      </c>
      <c r="E216" s="345">
        <f t="shared" si="225"/>
        <v>-8.9871160220994506E-3</v>
      </c>
      <c r="F216" s="313"/>
      <c r="G216" s="313"/>
      <c r="H216" s="313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313"/>
      <c r="W216" s="313"/>
      <c r="X216" s="313"/>
      <c r="Y216" s="313"/>
      <c r="Z216" s="313"/>
      <c r="AA216" s="313"/>
    </row>
    <row r="217" spans="1:27" ht="14.25" customHeight="1" x14ac:dyDescent="0.2">
      <c r="A217" s="346">
        <v>42915</v>
      </c>
      <c r="B217" s="313">
        <v>241.35000600000001</v>
      </c>
      <c r="C217" s="313">
        <v>132.820007</v>
      </c>
      <c r="D217" s="345">
        <f t="shared" ref="D217:E217" si="226">B217/B216-1</f>
        <v>-8.7888576781621763E-3</v>
      </c>
      <c r="E217" s="345">
        <f t="shared" si="226"/>
        <v>-1.2710860125703216E-2</v>
      </c>
      <c r="F217" s="313"/>
      <c r="G217" s="313"/>
      <c r="H217" s="313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  <c r="S217" s="313"/>
      <c r="T217" s="313"/>
      <c r="U217" s="313"/>
      <c r="V217" s="313"/>
      <c r="W217" s="313"/>
      <c r="X217" s="313"/>
      <c r="Y217" s="313"/>
      <c r="Z217" s="313"/>
      <c r="AA217" s="313"/>
    </row>
    <row r="218" spans="1:27" ht="14.25" customHeight="1" x14ac:dyDescent="0.2">
      <c r="A218" s="346">
        <v>42916</v>
      </c>
      <c r="B218" s="313">
        <v>241.800003</v>
      </c>
      <c r="C218" s="313">
        <v>132.320007</v>
      </c>
      <c r="D218" s="345">
        <f t="shared" ref="D218:E218" si="227">B218/B217-1</f>
        <v>1.8644996428962557E-3</v>
      </c>
      <c r="E218" s="345">
        <f t="shared" si="227"/>
        <v>-3.7644931008021798E-3</v>
      </c>
      <c r="F218" s="313"/>
      <c r="G218" s="313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  <c r="AA218" s="313"/>
    </row>
    <row r="219" spans="1:27" ht="14.25" customHeight="1" x14ac:dyDescent="0.2">
      <c r="A219" s="346">
        <v>42919</v>
      </c>
      <c r="B219" s="313">
        <v>242.21000699999999</v>
      </c>
      <c r="C219" s="313">
        <v>131.41000399999999</v>
      </c>
      <c r="D219" s="345">
        <f t="shared" ref="D219:E219" si="228">B219/B218-1</f>
        <v>1.6956327333046417E-3</v>
      </c>
      <c r="E219" s="345">
        <f t="shared" si="228"/>
        <v>-6.8772895394422218E-3</v>
      </c>
      <c r="F219" s="313"/>
      <c r="G219" s="313"/>
      <c r="H219" s="313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  <c r="S219" s="313"/>
      <c r="T219" s="313"/>
      <c r="U219" s="313"/>
      <c r="V219" s="313"/>
      <c r="W219" s="313"/>
      <c r="X219" s="313"/>
      <c r="Y219" s="313"/>
      <c r="Z219" s="313"/>
      <c r="AA219" s="313"/>
    </row>
    <row r="220" spans="1:27" ht="14.25" customHeight="1" x14ac:dyDescent="0.2">
      <c r="A220" s="346">
        <v>42921</v>
      </c>
      <c r="B220" s="313">
        <v>242.770004</v>
      </c>
      <c r="C220" s="313">
        <v>132.25</v>
      </c>
      <c r="D220" s="345">
        <f t="shared" ref="D220:E220" si="229">B220/B219-1</f>
        <v>2.312030815473376E-3</v>
      </c>
      <c r="E220" s="345">
        <f t="shared" si="229"/>
        <v>6.392176960895668E-3</v>
      </c>
      <c r="F220" s="313"/>
      <c r="G220" s="313"/>
      <c r="H220" s="313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  <c r="S220" s="313"/>
      <c r="T220" s="313"/>
      <c r="U220" s="313"/>
      <c r="V220" s="313"/>
      <c r="W220" s="313"/>
      <c r="X220" s="313"/>
      <c r="Y220" s="313"/>
      <c r="Z220" s="313"/>
      <c r="AA220" s="313"/>
    </row>
    <row r="221" spans="1:27" ht="14.25" customHeight="1" x14ac:dyDescent="0.2">
      <c r="A221" s="346">
        <v>42922</v>
      </c>
      <c r="B221" s="313">
        <v>240.550003</v>
      </c>
      <c r="C221" s="313">
        <v>131.53999300000001</v>
      </c>
      <c r="D221" s="345">
        <f t="shared" ref="D221:E221" si="230">B221/B220-1</f>
        <v>-9.1444616856372063E-3</v>
      </c>
      <c r="E221" s="345">
        <f t="shared" si="230"/>
        <v>-5.3686729678638079E-3</v>
      </c>
      <c r="F221" s="313"/>
      <c r="G221" s="313"/>
      <c r="H221" s="313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  <c r="S221" s="313"/>
      <c r="T221" s="313"/>
      <c r="U221" s="313"/>
      <c r="V221" s="313"/>
      <c r="W221" s="313"/>
      <c r="X221" s="313"/>
      <c r="Y221" s="313"/>
      <c r="Z221" s="313"/>
      <c r="AA221" s="313"/>
    </row>
    <row r="222" spans="1:27" ht="14.25" customHeight="1" x14ac:dyDescent="0.2">
      <c r="A222" s="346">
        <v>42923</v>
      </c>
      <c r="B222" s="313">
        <v>242.11000100000001</v>
      </c>
      <c r="C222" s="313">
        <v>133.13999899999999</v>
      </c>
      <c r="D222" s="345">
        <f t="shared" ref="D222:E222" si="231">B222/B221-1</f>
        <v>6.4851298297428084E-3</v>
      </c>
      <c r="E222" s="345">
        <f t="shared" si="231"/>
        <v>1.2163646686525142E-2</v>
      </c>
      <c r="F222" s="313"/>
      <c r="G222" s="313"/>
      <c r="H222" s="313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  <c r="S222" s="313"/>
      <c r="T222" s="313"/>
      <c r="U222" s="313"/>
      <c r="V222" s="313"/>
      <c r="W222" s="313"/>
      <c r="X222" s="313"/>
      <c r="Y222" s="313"/>
      <c r="Z222" s="313"/>
      <c r="AA222" s="313"/>
    </row>
    <row r="223" spans="1:27" ht="14.25" customHeight="1" x14ac:dyDescent="0.2">
      <c r="A223" s="346">
        <v>42926</v>
      </c>
      <c r="B223" s="313">
        <v>242.36999499999999</v>
      </c>
      <c r="C223" s="313">
        <v>131.21000699999999</v>
      </c>
      <c r="D223" s="345">
        <f t="shared" ref="D223:E223" si="232">B223/B222-1</f>
        <v>1.0738672459877918E-3</v>
      </c>
      <c r="E223" s="345">
        <f t="shared" si="232"/>
        <v>-1.4495959249631651E-2</v>
      </c>
      <c r="F223" s="313"/>
      <c r="G223" s="313"/>
      <c r="H223" s="313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  <c r="AA223" s="313"/>
    </row>
    <row r="224" spans="1:27" ht="14.25" customHeight="1" x14ac:dyDescent="0.2">
      <c r="A224" s="346">
        <v>42927</v>
      </c>
      <c r="B224" s="313">
        <v>242.19000199999999</v>
      </c>
      <c r="C224" s="313">
        <v>130.929993</v>
      </c>
      <c r="D224" s="345">
        <f t="shared" ref="D224:E224" si="233">B224/B223-1</f>
        <v>-7.4263730541401785E-4</v>
      </c>
      <c r="E224" s="345">
        <f t="shared" si="233"/>
        <v>-2.1340902755991875E-3</v>
      </c>
      <c r="F224" s="313"/>
      <c r="G224" s="313"/>
      <c r="H224" s="313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  <c r="S224" s="313"/>
      <c r="T224" s="313"/>
      <c r="U224" s="313"/>
      <c r="V224" s="313"/>
      <c r="W224" s="313"/>
      <c r="X224" s="313"/>
      <c r="Y224" s="313"/>
      <c r="Z224" s="313"/>
      <c r="AA224" s="313"/>
    </row>
    <row r="225" spans="1:27" ht="14.25" customHeight="1" x14ac:dyDescent="0.2">
      <c r="A225" s="346">
        <v>42928</v>
      </c>
      <c r="B225" s="313">
        <v>244.009995</v>
      </c>
      <c r="C225" s="313">
        <v>133.88000500000001</v>
      </c>
      <c r="D225" s="345">
        <f t="shared" ref="D225:E225" si="234">B225/B224-1</f>
        <v>7.5147321729656102E-3</v>
      </c>
      <c r="E225" s="345">
        <f t="shared" si="234"/>
        <v>2.2531216357737138E-2</v>
      </c>
      <c r="F225" s="313"/>
      <c r="G225" s="313"/>
      <c r="H225" s="313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  <c r="S225" s="313"/>
      <c r="T225" s="313"/>
      <c r="U225" s="313"/>
      <c r="V225" s="313"/>
      <c r="W225" s="313"/>
      <c r="X225" s="313"/>
      <c r="Y225" s="313"/>
      <c r="Z225" s="313"/>
      <c r="AA225" s="313"/>
    </row>
    <row r="226" spans="1:27" ht="14.25" customHeight="1" x14ac:dyDescent="0.2">
      <c r="A226" s="346">
        <v>42929</v>
      </c>
      <c r="B226" s="313">
        <v>244.41999799999999</v>
      </c>
      <c r="C226" s="313">
        <v>134.13999899999999</v>
      </c>
      <c r="D226" s="345">
        <f t="shared" ref="D226:E226" si="235">B226/B225-1</f>
        <v>1.6802713347869869E-3</v>
      </c>
      <c r="E226" s="345">
        <f t="shared" si="235"/>
        <v>1.941992756872013E-3</v>
      </c>
      <c r="F226" s="313"/>
      <c r="G226" s="313"/>
      <c r="H226" s="313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  <c r="S226" s="313"/>
      <c r="T226" s="313"/>
      <c r="U226" s="313"/>
      <c r="V226" s="313"/>
      <c r="W226" s="313"/>
      <c r="X226" s="313"/>
      <c r="Y226" s="313"/>
      <c r="Z226" s="313"/>
      <c r="AA226" s="313"/>
    </row>
    <row r="227" spans="1:27" ht="14.25" customHeight="1" x14ac:dyDescent="0.2">
      <c r="A227" s="346">
        <v>42930</v>
      </c>
      <c r="B227" s="313">
        <v>245.55999800000001</v>
      </c>
      <c r="C227" s="313">
        <v>136.03999300000001</v>
      </c>
      <c r="D227" s="345">
        <f t="shared" ref="D227:E227" si="236">B227/B226-1</f>
        <v>4.6641028120784078E-3</v>
      </c>
      <c r="E227" s="345">
        <f t="shared" si="236"/>
        <v>1.4164261325214644E-2</v>
      </c>
      <c r="F227" s="313"/>
      <c r="G227" s="313"/>
      <c r="H227" s="313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  <c r="AA227" s="313"/>
    </row>
    <row r="228" spans="1:27" ht="14.25" customHeight="1" x14ac:dyDescent="0.2">
      <c r="A228" s="346">
        <v>42933</v>
      </c>
      <c r="B228" s="313">
        <v>245.529999</v>
      </c>
      <c r="C228" s="313">
        <v>135.39999399999999</v>
      </c>
      <c r="D228" s="345">
        <f t="shared" ref="D228:E228" si="237">B228/B227-1</f>
        <v>-1.2216566315492727E-4</v>
      </c>
      <c r="E228" s="345">
        <f t="shared" si="237"/>
        <v>-4.7044915681524468E-3</v>
      </c>
      <c r="F228" s="313"/>
      <c r="G228" s="313"/>
      <c r="H228" s="313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  <c r="AA228" s="313"/>
    </row>
    <row r="229" spans="1:27" ht="14.25" customHeight="1" x14ac:dyDescent="0.2">
      <c r="A229" s="346">
        <v>42934</v>
      </c>
      <c r="B229" s="313">
        <v>245.66000399999999</v>
      </c>
      <c r="C229" s="313">
        <v>136.179993</v>
      </c>
      <c r="D229" s="345">
        <f t="shared" ref="D229:E229" si="238">B229/B228-1</f>
        <v>5.2948723385926044E-4</v>
      </c>
      <c r="E229" s="345">
        <f t="shared" si="238"/>
        <v>5.7607018800902576E-3</v>
      </c>
      <c r="F229" s="313"/>
      <c r="G229" s="313"/>
      <c r="H229" s="313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  <c r="S229" s="313"/>
      <c r="T229" s="313"/>
      <c r="U229" s="313"/>
      <c r="V229" s="313"/>
      <c r="W229" s="313"/>
      <c r="X229" s="313"/>
      <c r="Y229" s="313"/>
      <c r="Z229" s="313"/>
      <c r="AA229" s="313"/>
    </row>
    <row r="230" spans="1:27" ht="14.25" customHeight="1" x14ac:dyDescent="0.2">
      <c r="A230" s="346">
        <v>42935</v>
      </c>
      <c r="B230" s="313">
        <v>246.990005</v>
      </c>
      <c r="C230" s="313">
        <v>135.41999799999999</v>
      </c>
      <c r="D230" s="345">
        <f t="shared" ref="D230:E230" si="239">B230/B229-1</f>
        <v>5.4139907935522036E-3</v>
      </c>
      <c r="E230" s="345">
        <f t="shared" si="239"/>
        <v>-5.5808124472440657E-3</v>
      </c>
      <c r="F230" s="313"/>
      <c r="G230" s="313"/>
      <c r="H230" s="313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  <c r="S230" s="313"/>
      <c r="T230" s="313"/>
      <c r="U230" s="313"/>
      <c r="V230" s="313"/>
      <c r="W230" s="313"/>
      <c r="X230" s="313"/>
      <c r="Y230" s="313"/>
      <c r="Z230" s="313"/>
      <c r="AA230" s="313"/>
    </row>
    <row r="231" spans="1:27" ht="14.25" customHeight="1" x14ac:dyDescent="0.2">
      <c r="A231" s="346">
        <v>42936</v>
      </c>
      <c r="B231" s="313">
        <v>247.10000600000001</v>
      </c>
      <c r="C231" s="313">
        <v>136.240005</v>
      </c>
      <c r="D231" s="345">
        <f t="shared" ref="D231:E231" si="240">B231/B230-1</f>
        <v>4.4536620014246076E-4</v>
      </c>
      <c r="E231" s="345">
        <f t="shared" si="240"/>
        <v>6.0552873438972643E-3</v>
      </c>
      <c r="F231" s="313"/>
      <c r="G231" s="313"/>
      <c r="H231" s="313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  <c r="S231" s="313"/>
      <c r="T231" s="313"/>
      <c r="U231" s="313"/>
      <c r="V231" s="313"/>
      <c r="W231" s="313"/>
      <c r="X231" s="313"/>
      <c r="Y231" s="313"/>
      <c r="Z231" s="313"/>
      <c r="AA231" s="313"/>
    </row>
    <row r="232" spans="1:27" ht="14.25" customHeight="1" x14ac:dyDescent="0.2">
      <c r="A232" s="346">
        <v>42937</v>
      </c>
      <c r="B232" s="313">
        <v>246.88000500000001</v>
      </c>
      <c r="C232" s="313">
        <v>136.89999399999999</v>
      </c>
      <c r="D232" s="345">
        <f t="shared" ref="D232:E232" si="241">B232/B231-1</f>
        <v>-8.903318278349337E-4</v>
      </c>
      <c r="E232" s="345">
        <f t="shared" si="241"/>
        <v>4.8443113313156871E-3</v>
      </c>
      <c r="F232" s="313"/>
      <c r="G232" s="313"/>
      <c r="H232" s="313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  <c r="AA232" s="313"/>
    </row>
    <row r="233" spans="1:27" ht="14.25" customHeight="1" x14ac:dyDescent="0.2">
      <c r="A233" s="346">
        <v>42940</v>
      </c>
      <c r="B233" s="313">
        <v>246.820007</v>
      </c>
      <c r="C233" s="313">
        <v>137.070007</v>
      </c>
      <c r="D233" s="345">
        <f t="shared" ref="D233:E233" si="242">B233/B232-1</f>
        <v>-2.4302494647154838E-4</v>
      </c>
      <c r="E233" s="345">
        <f t="shared" si="242"/>
        <v>1.2418773371167813E-3</v>
      </c>
      <c r="F233" s="313"/>
      <c r="G233" s="313"/>
      <c r="H233" s="313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  <c r="AA233" s="313"/>
    </row>
    <row r="234" spans="1:27" ht="14.25" customHeight="1" x14ac:dyDescent="0.2">
      <c r="A234" s="346">
        <v>42941</v>
      </c>
      <c r="B234" s="313">
        <v>247.41999799999999</v>
      </c>
      <c r="C234" s="313">
        <v>136.61999499999999</v>
      </c>
      <c r="D234" s="345">
        <f t="shared" ref="D234:E234" si="243">B234/B233-1</f>
        <v>2.4308847864185079E-3</v>
      </c>
      <c r="E234" s="345">
        <f t="shared" si="243"/>
        <v>-3.2830814694567723E-3</v>
      </c>
      <c r="F234" s="313"/>
      <c r="G234" s="313"/>
      <c r="H234" s="313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  <c r="AA234" s="313"/>
    </row>
    <row r="235" spans="1:27" ht="14.25" customHeight="1" x14ac:dyDescent="0.2">
      <c r="A235" s="346">
        <v>42942</v>
      </c>
      <c r="B235" s="313">
        <v>247.429993</v>
      </c>
      <c r="C235" s="313">
        <v>137.86999499999999</v>
      </c>
      <c r="D235" s="345">
        <f t="shared" ref="D235:E235" si="244">B235/B234-1</f>
        <v>4.0396896292982376E-5</v>
      </c>
      <c r="E235" s="345">
        <f t="shared" si="244"/>
        <v>9.1494660060555955E-3</v>
      </c>
      <c r="F235" s="313"/>
      <c r="G235" s="313"/>
      <c r="H235" s="313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  <c r="AA235" s="313"/>
    </row>
    <row r="236" spans="1:27" ht="14.25" customHeight="1" x14ac:dyDescent="0.2">
      <c r="A236" s="346">
        <v>42943</v>
      </c>
      <c r="B236" s="313">
        <v>247.199997</v>
      </c>
      <c r="C236" s="313">
        <v>134.86000100000001</v>
      </c>
      <c r="D236" s="345">
        <f t="shared" ref="D236:E236" si="245">B236/B235-1</f>
        <v>-9.2953969408227088E-4</v>
      </c>
      <c r="E236" s="345">
        <f t="shared" si="245"/>
        <v>-2.1832118003630718E-2</v>
      </c>
      <c r="F236" s="313"/>
      <c r="G236" s="313"/>
      <c r="H236" s="313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  <c r="AA236" s="313"/>
    </row>
    <row r="237" spans="1:27" ht="14.25" customHeight="1" x14ac:dyDescent="0.2">
      <c r="A237" s="346">
        <v>42944</v>
      </c>
      <c r="B237" s="313">
        <v>246.91000399999999</v>
      </c>
      <c r="C237" s="313">
        <v>138.33999600000001</v>
      </c>
      <c r="D237" s="345">
        <f t="shared" ref="D237:E237" si="246">B237/B236-1</f>
        <v>-1.1731108556607417E-3</v>
      </c>
      <c r="E237" s="345">
        <f t="shared" si="246"/>
        <v>2.5804500772619754E-2</v>
      </c>
      <c r="F237" s="313"/>
      <c r="G237" s="313"/>
      <c r="H237" s="313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  <c r="S237" s="313"/>
      <c r="T237" s="313"/>
      <c r="U237" s="313"/>
      <c r="V237" s="313"/>
      <c r="W237" s="313"/>
      <c r="X237" s="313"/>
      <c r="Y237" s="313"/>
      <c r="Z237" s="313"/>
      <c r="AA237" s="313"/>
    </row>
    <row r="238" spans="1:27" ht="14.25" customHeight="1" x14ac:dyDescent="0.2">
      <c r="A238" s="346">
        <v>42947</v>
      </c>
      <c r="B238" s="313">
        <v>246.770004</v>
      </c>
      <c r="C238" s="313">
        <v>136.33000200000001</v>
      </c>
      <c r="D238" s="345">
        <f t="shared" ref="D238:E238" si="247">B238/B237-1</f>
        <v>-5.670082124334952E-4</v>
      </c>
      <c r="E238" s="345">
        <f t="shared" si="247"/>
        <v>-1.4529377317605285E-2</v>
      </c>
      <c r="F238" s="313"/>
      <c r="G238" s="313"/>
      <c r="H238" s="313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  <c r="AA238" s="313"/>
    </row>
    <row r="239" spans="1:27" ht="14.25" customHeight="1" x14ac:dyDescent="0.2">
      <c r="A239" s="346">
        <v>42948</v>
      </c>
      <c r="B239" s="313">
        <v>247.320007</v>
      </c>
      <c r="C239" s="313">
        <v>135.970001</v>
      </c>
      <c r="D239" s="345">
        <f t="shared" ref="D239:E239" si="248">B239/B238-1</f>
        <v>2.2288081658417003E-3</v>
      </c>
      <c r="E239" s="345">
        <f t="shared" si="248"/>
        <v>-2.6406586570725255E-3</v>
      </c>
      <c r="F239" s="313"/>
      <c r="G239" s="313"/>
      <c r="H239" s="313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  <c r="AA239" s="313"/>
    </row>
    <row r="240" spans="1:27" ht="14.25" customHeight="1" x14ac:dyDescent="0.2">
      <c r="A240" s="346">
        <v>42949</v>
      </c>
      <c r="B240" s="313">
        <v>247.44000199999999</v>
      </c>
      <c r="C240" s="313">
        <v>137.970001</v>
      </c>
      <c r="D240" s="345">
        <f t="shared" ref="D240:E240" si="249">B240/B239-1</f>
        <v>4.8518112810813641E-4</v>
      </c>
      <c r="E240" s="345">
        <f t="shared" si="249"/>
        <v>1.4709126905132486E-2</v>
      </c>
      <c r="F240" s="313"/>
      <c r="G240" s="313"/>
      <c r="H240" s="313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  <c r="S240" s="313"/>
      <c r="T240" s="313"/>
      <c r="U240" s="313"/>
      <c r="V240" s="313"/>
      <c r="W240" s="313"/>
      <c r="X240" s="313"/>
      <c r="Y240" s="313"/>
      <c r="Z240" s="313"/>
      <c r="AA240" s="313"/>
    </row>
    <row r="241" spans="1:27" ht="14.25" customHeight="1" x14ac:dyDescent="0.2">
      <c r="A241" s="346">
        <v>42950</v>
      </c>
      <c r="B241" s="313">
        <v>246.96000699999999</v>
      </c>
      <c r="C241" s="313">
        <v>137.14999399999999</v>
      </c>
      <c r="D241" s="345">
        <f t="shared" ref="D241:E241" si="250">B241/B240-1</f>
        <v>-1.9398439869071638E-3</v>
      </c>
      <c r="E241" s="345">
        <f t="shared" si="250"/>
        <v>-5.9433717044040657E-3</v>
      </c>
      <c r="F241" s="313"/>
      <c r="G241" s="313"/>
      <c r="H241" s="313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  <c r="S241" s="313"/>
      <c r="T241" s="313"/>
      <c r="U241" s="313"/>
      <c r="V241" s="313"/>
      <c r="W241" s="313"/>
      <c r="X241" s="313"/>
      <c r="Y241" s="313"/>
      <c r="Z241" s="313"/>
      <c r="AA241" s="313"/>
    </row>
    <row r="242" spans="1:27" ht="14.25" customHeight="1" x14ac:dyDescent="0.2">
      <c r="A242" s="346">
        <v>42951</v>
      </c>
      <c r="B242" s="313">
        <v>247.41000399999999</v>
      </c>
      <c r="C242" s="313">
        <v>137.570007</v>
      </c>
      <c r="D242" s="345">
        <f t="shared" ref="D242:E242" si="251">B242/B241-1</f>
        <v>1.8221452350379863E-3</v>
      </c>
      <c r="E242" s="345">
        <f t="shared" si="251"/>
        <v>3.0624354238033558E-3</v>
      </c>
      <c r="F242" s="313"/>
      <c r="G242" s="313"/>
      <c r="H242" s="313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  <c r="S242" s="313"/>
      <c r="T242" s="313"/>
      <c r="U242" s="313"/>
      <c r="V242" s="313"/>
      <c r="W242" s="313"/>
      <c r="X242" s="313"/>
      <c r="Y242" s="313"/>
      <c r="Z242" s="313"/>
      <c r="AA242" s="313"/>
    </row>
    <row r="243" spans="1:27" ht="14.25" customHeight="1" x14ac:dyDescent="0.2">
      <c r="A243" s="346">
        <v>42954</v>
      </c>
      <c r="B243" s="313">
        <v>247.86999499999999</v>
      </c>
      <c r="C243" s="313">
        <v>138.070007</v>
      </c>
      <c r="D243" s="345">
        <f t="shared" ref="D243:E243" si="252">B243/B242-1</f>
        <v>1.8592255469185304E-3</v>
      </c>
      <c r="E243" s="345">
        <f t="shared" si="252"/>
        <v>3.6345131537283137E-3</v>
      </c>
      <c r="F243" s="313"/>
      <c r="G243" s="313"/>
      <c r="H243" s="313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  <c r="AA243" s="313"/>
    </row>
    <row r="244" spans="1:27" ht="14.25" customHeight="1" x14ac:dyDescent="0.2">
      <c r="A244" s="346">
        <v>42955</v>
      </c>
      <c r="B244" s="313">
        <v>247.259995</v>
      </c>
      <c r="C244" s="313">
        <v>136.63000500000001</v>
      </c>
      <c r="D244" s="345">
        <f t="shared" ref="D244:E244" si="253">B244/B243-1</f>
        <v>-2.4609674922533298E-3</v>
      </c>
      <c r="E244" s="345">
        <f t="shared" si="253"/>
        <v>-1.0429506243162523E-2</v>
      </c>
      <c r="F244" s="313"/>
      <c r="G244" s="313"/>
      <c r="H244" s="313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  <c r="AA244" s="313"/>
    </row>
    <row r="245" spans="1:27" ht="14.25" customHeight="1" x14ac:dyDescent="0.2">
      <c r="A245" s="346">
        <v>42956</v>
      </c>
      <c r="B245" s="313">
        <v>247.25</v>
      </c>
      <c r="C245" s="313">
        <v>137.85000600000001</v>
      </c>
      <c r="D245" s="345">
        <f t="shared" ref="D245:E245" si="254">B245/B244-1</f>
        <v>-4.0423037297232511E-5</v>
      </c>
      <c r="E245" s="345">
        <f t="shared" si="254"/>
        <v>8.9292319062712622E-3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</row>
    <row r="246" spans="1:27" ht="14.25" customHeight="1" x14ac:dyDescent="0.2">
      <c r="A246" s="346">
        <v>42957</v>
      </c>
      <c r="B246" s="313">
        <v>243.759995</v>
      </c>
      <c r="C246" s="313">
        <v>136.83000200000001</v>
      </c>
      <c r="D246" s="345">
        <f t="shared" ref="D246:E246" si="255">B246/B245-1</f>
        <v>-1.4115288169868512E-2</v>
      </c>
      <c r="E246" s="345">
        <f t="shared" si="255"/>
        <v>-7.3993758114163644E-3</v>
      </c>
      <c r="F246" s="313"/>
      <c r="G246" s="313"/>
      <c r="H246" s="313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  <c r="AA246" s="313"/>
    </row>
    <row r="247" spans="1:27" ht="14.25" customHeight="1" x14ac:dyDescent="0.2">
      <c r="A247" s="346">
        <v>42958</v>
      </c>
      <c r="B247" s="313">
        <v>244.11999499999999</v>
      </c>
      <c r="C247" s="313">
        <v>136.679993</v>
      </c>
      <c r="D247" s="345">
        <f t="shared" ref="D247:E247" si="256">B247/B246-1</f>
        <v>1.4768625179861772E-3</v>
      </c>
      <c r="E247" s="345">
        <f t="shared" si="256"/>
        <v>-1.0963165812130082E-3</v>
      </c>
      <c r="F247" s="313"/>
      <c r="G247" s="313"/>
      <c r="H247" s="313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  <c r="AA247" s="313"/>
    </row>
    <row r="248" spans="1:27" ht="14.25" customHeight="1" x14ac:dyDescent="0.2">
      <c r="A248" s="346">
        <v>42961</v>
      </c>
      <c r="B248" s="313">
        <v>246.53999300000001</v>
      </c>
      <c r="C248" s="313">
        <v>139.970001</v>
      </c>
      <c r="D248" s="345">
        <f t="shared" ref="D248:E248" si="257">B248/B247-1</f>
        <v>9.9131494738888826E-3</v>
      </c>
      <c r="E248" s="345">
        <f t="shared" si="257"/>
        <v>2.407088212244779E-2</v>
      </c>
      <c r="F248" s="313"/>
      <c r="G248" s="313"/>
      <c r="H248" s="313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  <c r="S248" s="313"/>
      <c r="T248" s="313"/>
      <c r="U248" s="313"/>
      <c r="V248" s="313"/>
      <c r="W248" s="313"/>
      <c r="X248" s="313"/>
      <c r="Y248" s="313"/>
      <c r="Z248" s="313"/>
      <c r="AA248" s="313"/>
    </row>
    <row r="249" spans="1:27" ht="14.25" customHeight="1" x14ac:dyDescent="0.2">
      <c r="A249" s="346">
        <v>42962</v>
      </c>
      <c r="B249" s="313">
        <v>246.509995</v>
      </c>
      <c r="C249" s="313">
        <v>139.69000199999999</v>
      </c>
      <c r="D249" s="345">
        <f t="shared" ref="D249:E249" si="258">B249/B248-1</f>
        <v>-1.216759992364036E-4</v>
      </c>
      <c r="E249" s="345">
        <f t="shared" si="258"/>
        <v>-2.0004215046051099E-3</v>
      </c>
      <c r="F249" s="313"/>
      <c r="G249" s="313"/>
      <c r="H249" s="313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  <c r="AA249" s="313"/>
    </row>
    <row r="250" spans="1:27" ht="14.25" customHeight="1" x14ac:dyDescent="0.2">
      <c r="A250" s="346">
        <v>42963</v>
      </c>
      <c r="B250" s="313">
        <v>246.94000199999999</v>
      </c>
      <c r="C250" s="313">
        <v>141.08999600000001</v>
      </c>
      <c r="D250" s="345">
        <f t="shared" ref="D250:E250" si="259">B250/B249-1</f>
        <v>1.7443795737368539E-3</v>
      </c>
      <c r="E250" s="345">
        <f t="shared" si="259"/>
        <v>1.0022148900821204E-2</v>
      </c>
      <c r="F250" s="313"/>
      <c r="G250" s="313"/>
      <c r="H250" s="313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  <c r="AA250" s="313"/>
    </row>
    <row r="251" spans="1:27" ht="14.25" customHeight="1" x14ac:dyDescent="0.2">
      <c r="A251" s="346">
        <v>42964</v>
      </c>
      <c r="B251" s="313">
        <v>243.08999600000001</v>
      </c>
      <c r="C251" s="313">
        <v>139.64999399999999</v>
      </c>
      <c r="D251" s="345">
        <f t="shared" ref="D251:E251" si="260">B251/B250-1</f>
        <v>-1.5590855952127058E-2</v>
      </c>
      <c r="E251" s="345">
        <f t="shared" si="260"/>
        <v>-1.0206265793642921E-2</v>
      </c>
      <c r="F251" s="313"/>
      <c r="G251" s="313"/>
      <c r="H251" s="313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  <c r="S251" s="313"/>
      <c r="T251" s="313"/>
      <c r="U251" s="313"/>
      <c r="V251" s="313"/>
      <c r="W251" s="313"/>
      <c r="X251" s="313"/>
      <c r="Y251" s="313"/>
      <c r="Z251" s="313"/>
      <c r="AA251" s="313"/>
    </row>
    <row r="252" spans="1:27" ht="14.25" customHeight="1" x14ac:dyDescent="0.2">
      <c r="A252" s="346">
        <v>42965</v>
      </c>
      <c r="B252" s="313">
        <v>242.71000699999999</v>
      </c>
      <c r="C252" s="313">
        <v>140</v>
      </c>
      <c r="D252" s="345">
        <f t="shared" ref="D252:E252" si="261">B252/B251-1</f>
        <v>-1.5631618176505935E-3</v>
      </c>
      <c r="E252" s="345">
        <f t="shared" si="261"/>
        <v>2.5063087363972336E-3</v>
      </c>
      <c r="F252" s="313"/>
      <c r="G252" s="313"/>
      <c r="H252" s="313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  <c r="S252" s="313"/>
      <c r="T252" s="313"/>
      <c r="U252" s="313"/>
      <c r="V252" s="313"/>
      <c r="W252" s="313"/>
      <c r="X252" s="313"/>
      <c r="Y252" s="313"/>
      <c r="Z252" s="313"/>
      <c r="AA252" s="313"/>
    </row>
    <row r="253" spans="1:27" ht="14.25" customHeight="1" x14ac:dyDescent="0.2">
      <c r="A253" s="346">
        <v>42968</v>
      </c>
      <c r="B253" s="313">
        <v>242.89999399999999</v>
      </c>
      <c r="C253" s="313">
        <v>141.279999</v>
      </c>
      <c r="D253" s="345">
        <f t="shared" ref="D253:E253" si="262">B253/B252-1</f>
        <v>7.827736579482103E-4</v>
      </c>
      <c r="E253" s="345">
        <f t="shared" si="262"/>
        <v>9.1428499999999246E-3</v>
      </c>
      <c r="F253" s="313"/>
      <c r="G253" s="313"/>
      <c r="H253" s="313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  <c r="S253" s="313"/>
      <c r="T253" s="313"/>
      <c r="U253" s="313"/>
      <c r="V253" s="313"/>
      <c r="W253" s="313"/>
      <c r="X253" s="313"/>
      <c r="Y253" s="313"/>
      <c r="Z253" s="313"/>
      <c r="AA253" s="313"/>
    </row>
    <row r="254" spans="1:27" ht="14.25" customHeight="1" x14ac:dyDescent="0.2">
      <c r="A254" s="346">
        <v>42969</v>
      </c>
      <c r="B254" s="313">
        <v>245.44000199999999</v>
      </c>
      <c r="C254" s="313">
        <v>142.08999600000001</v>
      </c>
      <c r="D254" s="345">
        <f t="shared" ref="D254:E254" si="263">B254/B253-1</f>
        <v>1.0457011373989689E-2</v>
      </c>
      <c r="E254" s="345">
        <f t="shared" si="263"/>
        <v>5.7332743893918625E-3</v>
      </c>
      <c r="F254" s="313"/>
      <c r="G254" s="313"/>
      <c r="H254" s="313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  <c r="AA254" s="313"/>
    </row>
    <row r="255" spans="1:27" ht="14.25" customHeight="1" x14ac:dyDescent="0.2">
      <c r="A255" s="346">
        <v>42970</v>
      </c>
      <c r="B255" s="313">
        <v>244.55999800000001</v>
      </c>
      <c r="C255" s="313">
        <v>142.83999600000001</v>
      </c>
      <c r="D255" s="345">
        <f t="shared" ref="D255:E255" si="264">B255/B254-1</f>
        <v>-3.5854139212400105E-3</v>
      </c>
      <c r="E255" s="345">
        <f t="shared" si="264"/>
        <v>5.2783448596902538E-3</v>
      </c>
      <c r="F255" s="313"/>
      <c r="G255" s="313"/>
      <c r="H255" s="313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  <c r="AA255" s="313"/>
    </row>
    <row r="256" spans="1:27" ht="14.25" customHeight="1" x14ac:dyDescent="0.2">
      <c r="A256" s="346">
        <v>42971</v>
      </c>
      <c r="B256" s="313">
        <v>243.990005</v>
      </c>
      <c r="C256" s="313">
        <v>143.800003</v>
      </c>
      <c r="D256" s="345">
        <f t="shared" ref="D256:E256" si="265">B256/B255-1</f>
        <v>-2.330687784843799E-3</v>
      </c>
      <c r="E256" s="345">
        <f t="shared" si="265"/>
        <v>6.7208556908668893E-3</v>
      </c>
      <c r="F256" s="313"/>
      <c r="G256" s="313"/>
      <c r="H256" s="313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  <c r="AA256" s="313"/>
    </row>
    <row r="257" spans="1:27" ht="14.25" customHeight="1" x14ac:dyDescent="0.2">
      <c r="A257" s="346">
        <v>42972</v>
      </c>
      <c r="B257" s="313">
        <v>244.55999800000001</v>
      </c>
      <c r="C257" s="313">
        <v>144.240005</v>
      </c>
      <c r="D257" s="345">
        <f t="shared" ref="D257:E257" si="266">B257/B256-1</f>
        <v>2.3361325805129063E-3</v>
      </c>
      <c r="E257" s="345">
        <f t="shared" si="266"/>
        <v>3.0598191294890498E-3</v>
      </c>
      <c r="F257" s="313"/>
      <c r="G257" s="313"/>
      <c r="H257" s="313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  <c r="AA257" s="313"/>
    </row>
    <row r="258" spans="1:27" ht="14.25" customHeight="1" x14ac:dyDescent="0.2">
      <c r="A258" s="346">
        <v>42975</v>
      </c>
      <c r="B258" s="313">
        <v>244.570007</v>
      </c>
      <c r="C258" s="313">
        <v>145.779999</v>
      </c>
      <c r="D258" s="345">
        <f t="shared" ref="D258:E258" si="267">B258/B257-1</f>
        <v>4.0926562323573279E-5</v>
      </c>
      <c r="E258" s="345">
        <f t="shared" si="267"/>
        <v>1.0676608060295134E-2</v>
      </c>
      <c r="F258" s="313"/>
      <c r="G258" s="313"/>
      <c r="H258" s="313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  <c r="AA258" s="313"/>
    </row>
    <row r="259" spans="1:27" ht="14.25" customHeight="1" x14ac:dyDescent="0.2">
      <c r="A259" s="346">
        <v>42976</v>
      </c>
      <c r="B259" s="313">
        <v>244.85000600000001</v>
      </c>
      <c r="C259" s="313">
        <v>145.88999899999999</v>
      </c>
      <c r="D259" s="345">
        <f t="shared" ref="D259:E259" si="268">B259/B258-1</f>
        <v>1.1448623788117285E-3</v>
      </c>
      <c r="E259" s="345">
        <f t="shared" si="268"/>
        <v>7.5456167344323255E-4</v>
      </c>
      <c r="F259" s="313"/>
      <c r="G259" s="313"/>
      <c r="H259" s="313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  <c r="S259" s="313"/>
      <c r="T259" s="313"/>
      <c r="U259" s="313"/>
      <c r="V259" s="313"/>
      <c r="W259" s="313"/>
      <c r="X259" s="313"/>
      <c r="Y259" s="313"/>
      <c r="Z259" s="313"/>
      <c r="AA259" s="313"/>
    </row>
    <row r="260" spans="1:27" ht="14.25" customHeight="1" x14ac:dyDescent="0.2">
      <c r="A260" s="346">
        <v>42977</v>
      </c>
      <c r="B260" s="313">
        <v>246.009995</v>
      </c>
      <c r="C260" s="313">
        <v>147.520004</v>
      </c>
      <c r="D260" s="345">
        <f t="shared" ref="D260:E260" si="269">B260/B259-1</f>
        <v>4.7375494040216015E-3</v>
      </c>
      <c r="E260" s="345">
        <f t="shared" si="269"/>
        <v>1.117283577471273E-2</v>
      </c>
      <c r="F260" s="313"/>
      <c r="G260" s="313"/>
      <c r="H260" s="313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  <c r="S260" s="313"/>
      <c r="T260" s="313"/>
      <c r="U260" s="313"/>
      <c r="V260" s="313"/>
      <c r="W260" s="313"/>
      <c r="X260" s="313"/>
      <c r="Y260" s="313"/>
      <c r="Z260" s="313"/>
      <c r="AA260" s="313"/>
    </row>
    <row r="261" spans="1:27" ht="14.25" customHeight="1" x14ac:dyDescent="0.2">
      <c r="A261" s="346">
        <v>42978</v>
      </c>
      <c r="B261" s="313">
        <v>247.490005</v>
      </c>
      <c r="C261" s="313">
        <v>148.050003</v>
      </c>
      <c r="D261" s="345">
        <f t="shared" ref="D261:E261" si="270">B261/B260-1</f>
        <v>6.0160563801483491E-3</v>
      </c>
      <c r="E261" s="345">
        <f t="shared" si="270"/>
        <v>3.5927263125616893E-3</v>
      </c>
      <c r="F261" s="313"/>
      <c r="G261" s="313"/>
      <c r="H261" s="313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  <c r="AA261" s="313"/>
    </row>
    <row r="262" spans="1:27" ht="14.25" customHeight="1" x14ac:dyDescent="0.2">
      <c r="A262" s="346">
        <v>42979</v>
      </c>
      <c r="B262" s="313">
        <v>247.83999600000001</v>
      </c>
      <c r="C262" s="313">
        <v>145.770004</v>
      </c>
      <c r="D262" s="345">
        <f t="shared" ref="D262:E262" si="271">B262/B261-1</f>
        <v>1.4141621598011689E-3</v>
      </c>
      <c r="E262" s="345">
        <f t="shared" si="271"/>
        <v>-1.5400195567709662E-2</v>
      </c>
      <c r="F262" s="313"/>
      <c r="G262" s="313"/>
      <c r="H262" s="313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  <c r="S262" s="313"/>
      <c r="T262" s="313"/>
      <c r="U262" s="313"/>
      <c r="V262" s="313"/>
      <c r="W262" s="313"/>
      <c r="X262" s="313"/>
      <c r="Y262" s="313"/>
      <c r="Z262" s="313"/>
      <c r="AA262" s="313"/>
    </row>
    <row r="263" spans="1:27" ht="14.25" customHeight="1" x14ac:dyDescent="0.2">
      <c r="A263" s="346">
        <v>42983</v>
      </c>
      <c r="B263" s="313">
        <v>246.05999800000001</v>
      </c>
      <c r="C263" s="313">
        <v>146.94000199999999</v>
      </c>
      <c r="D263" s="345">
        <f t="shared" ref="D263:E263" si="272">B263/B262-1</f>
        <v>-7.1820449835707789E-3</v>
      </c>
      <c r="E263" s="345">
        <f t="shared" si="272"/>
        <v>8.026328928412374E-3</v>
      </c>
      <c r="F263" s="313"/>
      <c r="G263" s="313"/>
      <c r="H263" s="313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  <c r="S263" s="313"/>
      <c r="T263" s="313"/>
      <c r="U263" s="313"/>
      <c r="V263" s="313"/>
      <c r="W263" s="313"/>
      <c r="X263" s="313"/>
      <c r="Y263" s="313"/>
      <c r="Z263" s="313"/>
      <c r="AA263" s="313"/>
    </row>
    <row r="264" spans="1:27" ht="14.25" customHeight="1" x14ac:dyDescent="0.2">
      <c r="A264" s="346">
        <v>42984</v>
      </c>
      <c r="B264" s="313">
        <v>246.89999399999999</v>
      </c>
      <c r="C264" s="313">
        <v>146.070007</v>
      </c>
      <c r="D264" s="345">
        <f t="shared" ref="D264:E264" si="273">B264/B263-1</f>
        <v>3.4137852833762139E-3</v>
      </c>
      <c r="E264" s="345">
        <f t="shared" si="273"/>
        <v>-5.920749885385157E-3</v>
      </c>
      <c r="F264" s="313"/>
      <c r="G264" s="313"/>
      <c r="H264" s="313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  <c r="Y264" s="313"/>
      <c r="Z264" s="313"/>
      <c r="AA264" s="313"/>
    </row>
    <row r="265" spans="1:27" ht="14.25" customHeight="1" x14ac:dyDescent="0.2">
      <c r="A265" s="346">
        <v>42985</v>
      </c>
      <c r="B265" s="313">
        <v>246.86999499999999</v>
      </c>
      <c r="C265" s="313">
        <v>146.990005</v>
      </c>
      <c r="D265" s="345">
        <f t="shared" ref="D265:E265" si="274">B265/B264-1</f>
        <v>-1.2150263559751462E-4</v>
      </c>
      <c r="E265" s="345">
        <f t="shared" si="274"/>
        <v>6.2983361122177506E-3</v>
      </c>
      <c r="F265" s="313"/>
      <c r="G265" s="313"/>
      <c r="H265" s="313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  <c r="S265" s="313"/>
      <c r="T265" s="313"/>
      <c r="U265" s="313"/>
      <c r="V265" s="313"/>
      <c r="W265" s="313"/>
      <c r="X265" s="313"/>
      <c r="Y265" s="313"/>
      <c r="Z265" s="313"/>
      <c r="AA265" s="313"/>
    </row>
    <row r="266" spans="1:27" ht="14.25" customHeight="1" x14ac:dyDescent="0.2">
      <c r="A266" s="346">
        <v>42986</v>
      </c>
      <c r="B266" s="313">
        <v>246.58000200000001</v>
      </c>
      <c r="C266" s="313">
        <v>144.990005</v>
      </c>
      <c r="D266" s="345">
        <f t="shared" ref="D266:E266" si="275">B266/B265-1</f>
        <v>-1.1746790046315292E-3</v>
      </c>
      <c r="E266" s="345">
        <f t="shared" si="275"/>
        <v>-1.3606367317288037E-2</v>
      </c>
      <c r="F266" s="313"/>
      <c r="G266" s="313"/>
      <c r="H266" s="313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  <c r="S266" s="313"/>
      <c r="T266" s="313"/>
      <c r="U266" s="313"/>
      <c r="V266" s="313"/>
      <c r="W266" s="313"/>
      <c r="X266" s="313"/>
      <c r="Y266" s="313"/>
      <c r="Z266" s="313"/>
      <c r="AA266" s="313"/>
    </row>
    <row r="267" spans="1:27" ht="14.25" customHeight="1" x14ac:dyDescent="0.2">
      <c r="A267" s="346">
        <v>42989</v>
      </c>
      <c r="B267" s="313">
        <v>249.21000699999999</v>
      </c>
      <c r="C267" s="313">
        <v>146.179993</v>
      </c>
      <c r="D267" s="345">
        <f t="shared" ref="D267:E267" si="276">B267/B266-1</f>
        <v>1.0665929834812626E-2</v>
      </c>
      <c r="E267" s="345">
        <f t="shared" si="276"/>
        <v>8.2073795362653801E-3</v>
      </c>
      <c r="F267" s="313"/>
      <c r="G267" s="313"/>
      <c r="H267" s="313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  <c r="S267" s="313"/>
      <c r="T267" s="313"/>
      <c r="U267" s="313"/>
      <c r="V267" s="313"/>
      <c r="W267" s="313"/>
      <c r="X267" s="313"/>
      <c r="Y267" s="313"/>
      <c r="Z267" s="313"/>
      <c r="AA267" s="313"/>
    </row>
    <row r="268" spans="1:27" ht="14.25" customHeight="1" x14ac:dyDescent="0.2">
      <c r="A268" s="346">
        <v>42990</v>
      </c>
      <c r="B268" s="313">
        <v>250.050003</v>
      </c>
      <c r="C268" s="313">
        <v>144.83000200000001</v>
      </c>
      <c r="D268" s="345">
        <f t="shared" ref="D268:E268" si="277">B268/B267-1</f>
        <v>3.3706351125779577E-3</v>
      </c>
      <c r="E268" s="345">
        <f t="shared" si="277"/>
        <v>-9.2351283667114759E-3</v>
      </c>
      <c r="F268" s="313"/>
      <c r="G268" s="313"/>
      <c r="H268" s="313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  <c r="S268" s="313"/>
      <c r="T268" s="313"/>
      <c r="U268" s="313"/>
      <c r="V268" s="313"/>
      <c r="W268" s="313"/>
      <c r="X268" s="313"/>
      <c r="Y268" s="313"/>
      <c r="Z268" s="313"/>
      <c r="AA268" s="313"/>
    </row>
    <row r="269" spans="1:27" ht="14.25" customHeight="1" x14ac:dyDescent="0.2">
      <c r="A269" s="346">
        <v>42991</v>
      </c>
      <c r="B269" s="313">
        <v>250.16999799999999</v>
      </c>
      <c r="C269" s="313">
        <v>143.699997</v>
      </c>
      <c r="D269" s="345">
        <f t="shared" ref="D269:E269" si="278">B269/B268-1</f>
        <v>4.7988401743781495E-4</v>
      </c>
      <c r="E269" s="345">
        <f t="shared" si="278"/>
        <v>-7.8022853303558737E-3</v>
      </c>
      <c r="F269" s="313"/>
      <c r="G269" s="313"/>
      <c r="H269" s="313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  <c r="S269" s="313"/>
      <c r="T269" s="313"/>
      <c r="U269" s="313"/>
      <c r="V269" s="313"/>
      <c r="W269" s="313"/>
      <c r="X269" s="313"/>
      <c r="Y269" s="313"/>
      <c r="Z269" s="313"/>
      <c r="AA269" s="313"/>
    </row>
    <row r="270" spans="1:27" ht="14.25" customHeight="1" x14ac:dyDescent="0.2">
      <c r="A270" s="346">
        <v>42992</v>
      </c>
      <c r="B270" s="313">
        <v>250.08999600000001</v>
      </c>
      <c r="C270" s="313">
        <v>142.85000600000001</v>
      </c>
      <c r="D270" s="345">
        <f t="shared" ref="D270:E270" si="279">B270/B269-1</f>
        <v>-3.1979054498765258E-4</v>
      </c>
      <c r="E270" s="345">
        <f t="shared" si="279"/>
        <v>-5.915038397669492E-3</v>
      </c>
      <c r="F270" s="313"/>
      <c r="G270" s="313"/>
      <c r="H270" s="313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313"/>
      <c r="AA270" s="313"/>
    </row>
    <row r="271" spans="1:27" ht="14.25" customHeight="1" x14ac:dyDescent="0.2">
      <c r="A271" s="346">
        <v>42993</v>
      </c>
      <c r="B271" s="313">
        <v>249.19000199999999</v>
      </c>
      <c r="C271" s="313">
        <v>145.009995</v>
      </c>
      <c r="D271" s="345">
        <f t="shared" ref="D271:E271" si="280">B271/B270-1</f>
        <v>-3.5986805325872728E-3</v>
      </c>
      <c r="E271" s="345">
        <f t="shared" si="280"/>
        <v>1.5120678398851339E-2</v>
      </c>
      <c r="F271" s="313"/>
      <c r="G271" s="313"/>
      <c r="H271" s="313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  <c r="Y271" s="313"/>
      <c r="Z271" s="313"/>
      <c r="AA271" s="313"/>
    </row>
    <row r="272" spans="1:27" ht="14.25" customHeight="1" x14ac:dyDescent="0.2">
      <c r="A272" s="346">
        <v>42996</v>
      </c>
      <c r="B272" s="313">
        <v>249.720001</v>
      </c>
      <c r="C272" s="313">
        <v>144.770004</v>
      </c>
      <c r="D272" s="345">
        <f t="shared" ref="D272:E272" si="281">B272/B271-1</f>
        <v>2.126887097179786E-3</v>
      </c>
      <c r="E272" s="345">
        <f t="shared" si="281"/>
        <v>-1.654996264223052E-3</v>
      </c>
      <c r="F272" s="313"/>
      <c r="G272" s="313"/>
      <c r="H272" s="313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  <c r="S272" s="313"/>
      <c r="T272" s="313"/>
      <c r="U272" s="313"/>
      <c r="V272" s="313"/>
      <c r="W272" s="313"/>
      <c r="X272" s="313"/>
      <c r="Y272" s="313"/>
      <c r="Z272" s="313"/>
      <c r="AA272" s="313"/>
    </row>
    <row r="273" spans="1:27" ht="14.25" customHeight="1" x14ac:dyDescent="0.2">
      <c r="A273" s="346">
        <v>42997</v>
      </c>
      <c r="B273" s="313">
        <v>249.970001</v>
      </c>
      <c r="C273" s="313">
        <v>140.979996</v>
      </c>
      <c r="D273" s="345">
        <f t="shared" ref="D273:E273" si="282">B273/B272-1</f>
        <v>1.001121251797521E-3</v>
      </c>
      <c r="E273" s="345">
        <f t="shared" si="282"/>
        <v>-2.6179511606561845E-2</v>
      </c>
      <c r="F273" s="313"/>
      <c r="G273" s="313"/>
      <c r="H273" s="313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  <c r="S273" s="313"/>
      <c r="T273" s="313"/>
      <c r="U273" s="313"/>
      <c r="V273" s="313"/>
      <c r="W273" s="313"/>
      <c r="X273" s="313"/>
      <c r="Y273" s="313"/>
      <c r="Z273" s="313"/>
      <c r="AA273" s="313"/>
    </row>
    <row r="274" spans="1:27" ht="14.25" customHeight="1" x14ac:dyDescent="0.2">
      <c r="A274" s="346">
        <v>42998</v>
      </c>
      <c r="B274" s="313">
        <v>250.05999800000001</v>
      </c>
      <c r="C274" s="313">
        <v>140.39999399999999</v>
      </c>
      <c r="D274" s="345">
        <f t="shared" ref="D274:E274" si="283">B274/B273-1</f>
        <v>3.6003120230421182E-4</v>
      </c>
      <c r="E274" s="345">
        <f t="shared" si="283"/>
        <v>-4.1140730348723231E-3</v>
      </c>
      <c r="F274" s="313"/>
      <c r="G274" s="313"/>
      <c r="H274" s="313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  <c r="S274" s="313"/>
      <c r="T274" s="313"/>
      <c r="U274" s="313"/>
      <c r="V274" s="313"/>
      <c r="W274" s="313"/>
      <c r="X274" s="313"/>
      <c r="Y274" s="313"/>
      <c r="Z274" s="313"/>
      <c r="AA274" s="313"/>
    </row>
    <row r="275" spans="1:27" ht="14.25" customHeight="1" x14ac:dyDescent="0.2">
      <c r="A275" s="346">
        <v>42999</v>
      </c>
      <c r="B275" s="313">
        <v>249.38999899999999</v>
      </c>
      <c r="C275" s="313">
        <v>139.39999399999999</v>
      </c>
      <c r="D275" s="345">
        <f t="shared" ref="D275:E275" si="284">B275/B274-1</f>
        <v>-2.679352976720506E-3</v>
      </c>
      <c r="E275" s="345">
        <f t="shared" si="284"/>
        <v>-7.122507426887803E-3</v>
      </c>
      <c r="F275" s="313"/>
      <c r="G275" s="313"/>
      <c r="H275" s="313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  <c r="S275" s="313"/>
      <c r="T275" s="313"/>
      <c r="U275" s="313"/>
      <c r="V275" s="313"/>
      <c r="W275" s="313"/>
      <c r="X275" s="313"/>
      <c r="Y275" s="313"/>
      <c r="Z275" s="313"/>
      <c r="AA275" s="313"/>
    </row>
    <row r="276" spans="1:27" ht="14.25" customHeight="1" x14ac:dyDescent="0.2">
      <c r="A276" s="346">
        <v>43000</v>
      </c>
      <c r="B276" s="313">
        <v>249.44000199999999</v>
      </c>
      <c r="C276" s="313">
        <v>137.779999</v>
      </c>
      <c r="D276" s="345">
        <f t="shared" ref="D276:E276" si="285">B276/B275-1</f>
        <v>2.0050122378800772E-4</v>
      </c>
      <c r="E276" s="345">
        <f t="shared" si="285"/>
        <v>-1.1621198491586604E-2</v>
      </c>
      <c r="F276" s="313"/>
      <c r="G276" s="313"/>
      <c r="H276" s="313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  <c r="S276" s="313"/>
      <c r="T276" s="313"/>
      <c r="U276" s="313"/>
      <c r="V276" s="313"/>
      <c r="W276" s="313"/>
      <c r="X276" s="313"/>
      <c r="Y276" s="313"/>
      <c r="Z276" s="313"/>
      <c r="AA276" s="313"/>
    </row>
    <row r="277" spans="1:27" ht="14.25" customHeight="1" x14ac:dyDescent="0.2">
      <c r="A277" s="346">
        <v>43003</v>
      </c>
      <c r="B277" s="313">
        <v>248.929993</v>
      </c>
      <c r="C277" s="313">
        <v>137.38999899999999</v>
      </c>
      <c r="D277" s="345">
        <f t="shared" ref="D277:E277" si="286">B277/B276-1</f>
        <v>-2.0446159233112882E-3</v>
      </c>
      <c r="E277" s="345">
        <f t="shared" si="286"/>
        <v>-2.8305995270040407E-3</v>
      </c>
      <c r="F277" s="313"/>
      <c r="G277" s="313"/>
      <c r="H277" s="313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  <c r="S277" s="313"/>
      <c r="T277" s="313"/>
      <c r="U277" s="313"/>
      <c r="V277" s="313"/>
      <c r="W277" s="313"/>
      <c r="X277" s="313"/>
      <c r="Y277" s="313"/>
      <c r="Z277" s="313"/>
      <c r="AA277" s="313"/>
    </row>
    <row r="278" spans="1:27" ht="14.25" customHeight="1" x14ac:dyDescent="0.2">
      <c r="A278" s="346">
        <v>43004</v>
      </c>
      <c r="B278" s="313">
        <v>249.08000200000001</v>
      </c>
      <c r="C278" s="313">
        <v>136.41999799999999</v>
      </c>
      <c r="D278" s="345">
        <f t="shared" ref="D278:E278" si="287">B278/B277-1</f>
        <v>6.0261520997184626E-4</v>
      </c>
      <c r="E278" s="345">
        <f t="shared" si="287"/>
        <v>-7.0602009393710974E-3</v>
      </c>
      <c r="F278" s="313"/>
      <c r="G278" s="313"/>
      <c r="H278" s="313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  <c r="S278" s="313"/>
      <c r="T278" s="313"/>
      <c r="U278" s="313"/>
      <c r="V278" s="313"/>
      <c r="W278" s="313"/>
      <c r="X278" s="313"/>
      <c r="Y278" s="313"/>
      <c r="Z278" s="313"/>
      <c r="AA278" s="313"/>
    </row>
    <row r="279" spans="1:27" ht="14.25" customHeight="1" x14ac:dyDescent="0.2">
      <c r="A279" s="346">
        <v>43005</v>
      </c>
      <c r="B279" s="313">
        <v>250.050003</v>
      </c>
      <c r="C279" s="313">
        <v>134.740005</v>
      </c>
      <c r="D279" s="345">
        <f t="shared" ref="D279:E279" si="288">B279/B278-1</f>
        <v>3.8943351220945832E-3</v>
      </c>
      <c r="E279" s="345">
        <f t="shared" si="288"/>
        <v>-1.2314858705686271E-2</v>
      </c>
      <c r="F279" s="313"/>
      <c r="G279" s="313"/>
      <c r="H279" s="313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  <c r="Y279" s="313"/>
      <c r="Z279" s="313"/>
      <c r="AA279" s="313"/>
    </row>
    <row r="280" spans="1:27" ht="14.25" customHeight="1" x14ac:dyDescent="0.2">
      <c r="A280" s="346">
        <v>43006</v>
      </c>
      <c r="B280" s="313">
        <v>250.35000600000001</v>
      </c>
      <c r="C280" s="313">
        <v>136.10000600000001</v>
      </c>
      <c r="D280" s="345">
        <f t="shared" ref="D280:E280" si="289">B280/B279-1</f>
        <v>1.1997720311964777E-3</v>
      </c>
      <c r="E280" s="345">
        <f t="shared" si="289"/>
        <v>1.0093520480424667E-2</v>
      </c>
      <c r="F280" s="313"/>
      <c r="G280" s="313"/>
      <c r="H280" s="313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  <c r="S280" s="313"/>
      <c r="T280" s="313"/>
      <c r="U280" s="313"/>
      <c r="V280" s="313"/>
      <c r="W280" s="313"/>
      <c r="X280" s="313"/>
      <c r="Y280" s="313"/>
      <c r="Z280" s="313"/>
      <c r="AA280" s="313"/>
    </row>
    <row r="281" spans="1:27" ht="14.25" customHeight="1" x14ac:dyDescent="0.2">
      <c r="A281" s="346">
        <v>43007</v>
      </c>
      <c r="B281" s="313">
        <v>251.229996</v>
      </c>
      <c r="C281" s="313">
        <v>136.679993</v>
      </c>
      <c r="D281" s="345">
        <f t="shared" ref="D281:E281" si="290">B281/B280-1</f>
        <v>3.5150388612332772E-3</v>
      </c>
      <c r="E281" s="345">
        <f t="shared" si="290"/>
        <v>4.2614766673851889E-3</v>
      </c>
      <c r="F281" s="313"/>
      <c r="G281" s="313"/>
      <c r="H281" s="313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  <c r="S281" s="313"/>
      <c r="T281" s="313"/>
      <c r="U281" s="313"/>
      <c r="V281" s="313"/>
      <c r="W281" s="313"/>
      <c r="X281" s="313"/>
      <c r="Y281" s="313"/>
      <c r="Z281" s="313"/>
      <c r="AA281" s="313"/>
    </row>
    <row r="282" spans="1:27" ht="14.25" customHeight="1" x14ac:dyDescent="0.2">
      <c r="A282" s="346">
        <v>43010</v>
      </c>
      <c r="B282" s="313">
        <v>252.320007</v>
      </c>
      <c r="C282" s="313">
        <v>135.86000100000001</v>
      </c>
      <c r="D282" s="345">
        <f t="shared" ref="D282:E282" si="291">B282/B281-1</f>
        <v>4.3386976768491348E-3</v>
      </c>
      <c r="E282" s="345">
        <f t="shared" si="291"/>
        <v>-5.9993564676286137E-3</v>
      </c>
      <c r="F282" s="313"/>
      <c r="G282" s="313"/>
      <c r="H282" s="313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313"/>
      <c r="AA282" s="313"/>
    </row>
    <row r="283" spans="1:27" ht="14.25" customHeight="1" x14ac:dyDescent="0.2">
      <c r="A283" s="346">
        <v>43011</v>
      </c>
      <c r="B283" s="313">
        <v>252.86000100000001</v>
      </c>
      <c r="C283" s="313">
        <v>136.66000399999999</v>
      </c>
      <c r="D283" s="345">
        <f t="shared" ref="D283:E283" si="292">B283/B282-1</f>
        <v>2.1401156666898125E-3</v>
      </c>
      <c r="E283" s="345">
        <f t="shared" si="292"/>
        <v>5.8884365825964124E-3</v>
      </c>
      <c r="F283" s="313"/>
      <c r="G283" s="313"/>
      <c r="H283" s="313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313"/>
      <c r="AA283" s="313"/>
    </row>
    <row r="284" spans="1:27" ht="14.25" customHeight="1" x14ac:dyDescent="0.2">
      <c r="A284" s="346">
        <v>43012</v>
      </c>
      <c r="B284" s="313">
        <v>253.16000399999999</v>
      </c>
      <c r="C284" s="313">
        <v>138.83999600000001</v>
      </c>
      <c r="D284" s="345">
        <f t="shared" ref="D284:E284" si="293">B284/B283-1</f>
        <v>1.186439131588779E-3</v>
      </c>
      <c r="E284" s="345">
        <f t="shared" si="293"/>
        <v>1.5951938652072783E-2</v>
      </c>
      <c r="F284" s="313"/>
      <c r="G284" s="313"/>
      <c r="H284" s="313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313"/>
      <c r="AA284" s="313"/>
    </row>
    <row r="285" spans="1:27" ht="14.25" customHeight="1" x14ac:dyDescent="0.2">
      <c r="A285" s="346">
        <v>43013</v>
      </c>
      <c r="B285" s="313">
        <v>254.66000399999999</v>
      </c>
      <c r="C285" s="313">
        <v>139.25</v>
      </c>
      <c r="D285" s="345">
        <f t="shared" ref="D285:E285" si="294">B285/B284-1</f>
        <v>5.9251065583014739E-3</v>
      </c>
      <c r="E285" s="345">
        <f t="shared" si="294"/>
        <v>2.9530683651128875E-3</v>
      </c>
      <c r="F285" s="313"/>
      <c r="G285" s="313"/>
      <c r="H285" s="313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313"/>
      <c r="AA285" s="313"/>
    </row>
    <row r="286" spans="1:27" ht="14.25" customHeight="1" x14ac:dyDescent="0.2">
      <c r="A286" s="346">
        <v>43014</v>
      </c>
      <c r="B286" s="313">
        <v>254.36999499999999</v>
      </c>
      <c r="C286" s="313">
        <v>139.11000100000001</v>
      </c>
      <c r="D286" s="345">
        <f t="shared" ref="D286:E286" si="295">B286/B285-1</f>
        <v>-1.1388085896676392E-3</v>
      </c>
      <c r="E286" s="345">
        <f t="shared" si="295"/>
        <v>-1.0053788150806708E-3</v>
      </c>
      <c r="F286" s="313"/>
      <c r="G286" s="313"/>
      <c r="H286" s="313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  <c r="S286" s="313"/>
      <c r="T286" s="313"/>
      <c r="U286" s="313"/>
      <c r="V286" s="313"/>
      <c r="W286" s="313"/>
      <c r="X286" s="313"/>
      <c r="Y286" s="313"/>
      <c r="Z286" s="313"/>
      <c r="AA286" s="313"/>
    </row>
    <row r="287" spans="1:27" ht="14.25" customHeight="1" x14ac:dyDescent="0.2">
      <c r="A287" s="346">
        <v>43017</v>
      </c>
      <c r="B287" s="313">
        <v>253.949997</v>
      </c>
      <c r="C287" s="313">
        <v>137.94000199999999</v>
      </c>
      <c r="D287" s="345">
        <f t="shared" ref="D287:E287" si="296">B287/B286-1</f>
        <v>-1.6511302758015489E-3</v>
      </c>
      <c r="E287" s="345">
        <f t="shared" si="296"/>
        <v>-8.410603059373245E-3</v>
      </c>
      <c r="F287" s="313"/>
      <c r="G287" s="313"/>
      <c r="H287" s="313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313"/>
      <c r="AA287" s="313"/>
    </row>
    <row r="288" spans="1:27" ht="14.25" customHeight="1" x14ac:dyDescent="0.2">
      <c r="A288" s="346">
        <v>43018</v>
      </c>
      <c r="B288" s="313">
        <v>254.61999499999999</v>
      </c>
      <c r="C288" s="313">
        <v>137.08999600000001</v>
      </c>
      <c r="D288" s="345">
        <f t="shared" ref="D288:E288" si="297">B288/B287-1</f>
        <v>2.6383067844650832E-3</v>
      </c>
      <c r="E288" s="345">
        <f t="shared" si="297"/>
        <v>-6.1621428713621862E-3</v>
      </c>
      <c r="F288" s="313"/>
      <c r="G288" s="313"/>
      <c r="H288" s="313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313"/>
      <c r="AA288" s="313"/>
    </row>
    <row r="289" spans="1:27" ht="14.25" customHeight="1" x14ac:dyDescent="0.2">
      <c r="A289" s="346">
        <v>43019</v>
      </c>
      <c r="B289" s="313">
        <v>255.020004</v>
      </c>
      <c r="C289" s="313">
        <v>137.929993</v>
      </c>
      <c r="D289" s="345">
        <f t="shared" ref="D289:E289" si="298">B289/B288-1</f>
        <v>1.5710038797227543E-3</v>
      </c>
      <c r="E289" s="345">
        <f t="shared" si="298"/>
        <v>6.1273398826271475E-3</v>
      </c>
      <c r="F289" s="313"/>
      <c r="G289" s="313"/>
      <c r="H289" s="313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  <c r="Y289" s="313"/>
      <c r="Z289" s="313"/>
      <c r="AA289" s="313"/>
    </row>
    <row r="290" spans="1:27" ht="14.25" customHeight="1" x14ac:dyDescent="0.2">
      <c r="A290" s="346">
        <v>43020</v>
      </c>
      <c r="B290" s="313">
        <v>254.63999899999999</v>
      </c>
      <c r="C290" s="313">
        <v>140.029999</v>
      </c>
      <c r="D290" s="345">
        <f t="shared" ref="D290:E290" si="299">B290/B289-1</f>
        <v>-1.4900987924069131E-3</v>
      </c>
      <c r="E290" s="345">
        <f t="shared" si="299"/>
        <v>1.5225158461365407E-2</v>
      </c>
      <c r="F290" s="313"/>
      <c r="G290" s="313"/>
      <c r="H290" s="313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  <c r="S290" s="313"/>
      <c r="T290" s="313"/>
      <c r="U290" s="313"/>
      <c r="V290" s="313"/>
      <c r="W290" s="313"/>
      <c r="X290" s="313"/>
      <c r="Y290" s="313"/>
      <c r="Z290" s="313"/>
      <c r="AA290" s="313"/>
    </row>
    <row r="291" spans="1:27" ht="14.25" customHeight="1" x14ac:dyDescent="0.2">
      <c r="A291" s="346">
        <v>43021</v>
      </c>
      <c r="B291" s="313">
        <v>254.949997</v>
      </c>
      <c r="C291" s="313">
        <v>139.970001</v>
      </c>
      <c r="D291" s="345">
        <f t="shared" ref="D291:E291" si="300">B291/B290-1</f>
        <v>1.2173971144258111E-3</v>
      </c>
      <c r="E291" s="345">
        <f t="shared" si="300"/>
        <v>-4.2846533191798208E-4</v>
      </c>
      <c r="F291" s="313"/>
      <c r="G291" s="313"/>
      <c r="H291" s="313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  <c r="S291" s="313"/>
      <c r="T291" s="313"/>
      <c r="U291" s="313"/>
      <c r="V291" s="313"/>
      <c r="W291" s="313"/>
      <c r="X291" s="313"/>
      <c r="Y291" s="313"/>
      <c r="Z291" s="313"/>
      <c r="AA291" s="313"/>
    </row>
    <row r="292" spans="1:27" ht="14.25" customHeight="1" x14ac:dyDescent="0.2">
      <c r="A292" s="346">
        <v>43024</v>
      </c>
      <c r="B292" s="313">
        <v>255.28999300000001</v>
      </c>
      <c r="C292" s="313">
        <v>139.58999600000001</v>
      </c>
      <c r="D292" s="345">
        <f t="shared" ref="D292:E292" si="301">B292/B291-1</f>
        <v>1.3335791488555682E-3</v>
      </c>
      <c r="E292" s="345">
        <f t="shared" si="301"/>
        <v>-2.7149031741450225E-3</v>
      </c>
      <c r="F292" s="313"/>
      <c r="G292" s="313"/>
      <c r="H292" s="313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  <c r="S292" s="313"/>
      <c r="T292" s="313"/>
      <c r="U292" s="313"/>
      <c r="V292" s="313"/>
      <c r="W292" s="313"/>
      <c r="X292" s="313"/>
      <c r="Y292" s="313"/>
      <c r="Z292" s="313"/>
      <c r="AA292" s="313"/>
    </row>
    <row r="293" spans="1:27" ht="14.25" customHeight="1" x14ac:dyDescent="0.2">
      <c r="A293" s="346">
        <v>43025</v>
      </c>
      <c r="B293" s="313">
        <v>255.470001</v>
      </c>
      <c r="C293" s="313">
        <v>139.13000500000001</v>
      </c>
      <c r="D293" s="345">
        <f t="shared" ref="D293:E293" si="302">B293/B292-1</f>
        <v>7.0511185293486989E-4</v>
      </c>
      <c r="E293" s="345">
        <f t="shared" si="302"/>
        <v>-3.2953006173881416E-3</v>
      </c>
      <c r="F293" s="313"/>
      <c r="G293" s="313"/>
      <c r="H293" s="313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  <c r="S293" s="313"/>
      <c r="T293" s="313"/>
      <c r="U293" s="313"/>
      <c r="V293" s="313"/>
      <c r="W293" s="313"/>
      <c r="X293" s="313"/>
      <c r="Y293" s="313"/>
      <c r="Z293" s="313"/>
      <c r="AA293" s="313"/>
    </row>
    <row r="294" spans="1:27" ht="14.25" customHeight="1" x14ac:dyDescent="0.2">
      <c r="A294" s="346">
        <v>43026</v>
      </c>
      <c r="B294" s="313">
        <v>255.720001</v>
      </c>
      <c r="C294" s="313">
        <v>137.479996</v>
      </c>
      <c r="D294" s="345">
        <f t="shared" ref="D294:E294" si="303">B294/B293-1</f>
        <v>9.7858848014009681E-4</v>
      </c>
      <c r="E294" s="345">
        <f t="shared" si="303"/>
        <v>-1.1859476322163665E-2</v>
      </c>
      <c r="F294" s="313"/>
      <c r="G294" s="313"/>
      <c r="H294" s="313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  <c r="S294" s="313"/>
      <c r="T294" s="313"/>
      <c r="U294" s="313"/>
      <c r="V294" s="313"/>
      <c r="W294" s="313"/>
      <c r="X294" s="313"/>
      <c r="Y294" s="313"/>
      <c r="Z294" s="313"/>
      <c r="AA294" s="313"/>
    </row>
    <row r="295" spans="1:27" ht="14.25" customHeight="1" x14ac:dyDescent="0.2">
      <c r="A295" s="346">
        <v>43027</v>
      </c>
      <c r="B295" s="313">
        <v>255.78999300000001</v>
      </c>
      <c r="C295" s="313">
        <v>138.38999899999999</v>
      </c>
      <c r="D295" s="345">
        <f t="shared" ref="D295:E295" si="304">B295/B294-1</f>
        <v>2.7370561444661767E-4</v>
      </c>
      <c r="E295" s="345">
        <f t="shared" si="304"/>
        <v>6.6191666167927377E-3</v>
      </c>
      <c r="F295" s="313"/>
      <c r="G295" s="313"/>
      <c r="H295" s="313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13"/>
      <c r="AA295" s="313"/>
    </row>
    <row r="296" spans="1:27" ht="14.25" customHeight="1" x14ac:dyDescent="0.2">
      <c r="A296" s="346">
        <v>43028</v>
      </c>
      <c r="B296" s="313">
        <v>257.10998499999999</v>
      </c>
      <c r="C296" s="313">
        <v>139.070007</v>
      </c>
      <c r="D296" s="345">
        <f t="shared" ref="D296:E296" si="305">B296/B295-1</f>
        <v>5.1604520744483739E-3</v>
      </c>
      <c r="E296" s="345">
        <f t="shared" si="305"/>
        <v>4.9137076733414276E-3</v>
      </c>
      <c r="F296" s="313"/>
      <c r="G296" s="313"/>
      <c r="H296" s="313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  <c r="S296" s="313"/>
      <c r="T296" s="313"/>
      <c r="U296" s="313"/>
      <c r="V296" s="313"/>
      <c r="W296" s="313"/>
      <c r="X296" s="313"/>
      <c r="Y296" s="313"/>
      <c r="Z296" s="313"/>
      <c r="AA296" s="313"/>
    </row>
    <row r="297" spans="1:27" ht="14.25" customHeight="1" x14ac:dyDescent="0.2">
      <c r="A297" s="346">
        <v>43031</v>
      </c>
      <c r="B297" s="313">
        <v>256.10998499999999</v>
      </c>
      <c r="C297" s="313">
        <v>138.75</v>
      </c>
      <c r="D297" s="345">
        <f t="shared" ref="D297:E297" si="306">B297/B296-1</f>
        <v>-3.889386092881586E-3</v>
      </c>
      <c r="E297" s="345">
        <f t="shared" si="306"/>
        <v>-2.301049715198511E-3</v>
      </c>
      <c r="F297" s="313"/>
      <c r="G297" s="313"/>
      <c r="H297" s="313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  <c r="S297" s="313"/>
      <c r="T297" s="313"/>
      <c r="U297" s="313"/>
      <c r="V297" s="313"/>
      <c r="W297" s="313"/>
      <c r="X297" s="313"/>
      <c r="Y297" s="313"/>
      <c r="Z297" s="313"/>
      <c r="AA297" s="313"/>
    </row>
    <row r="298" spans="1:27" ht="14.25" customHeight="1" x14ac:dyDescent="0.2">
      <c r="A298" s="346">
        <v>43032</v>
      </c>
      <c r="B298" s="313">
        <v>256.55999800000001</v>
      </c>
      <c r="C298" s="313">
        <v>138.029999</v>
      </c>
      <c r="D298" s="345">
        <f t="shared" ref="D298:E298" si="307">B298/B297-1</f>
        <v>1.7571083767000673E-3</v>
      </c>
      <c r="E298" s="345">
        <f t="shared" si="307"/>
        <v>-5.1891963963963672E-3</v>
      </c>
      <c r="F298" s="313"/>
      <c r="G298" s="313"/>
      <c r="H298" s="313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  <c r="S298" s="313"/>
      <c r="T298" s="313"/>
      <c r="U298" s="313"/>
      <c r="V298" s="313"/>
      <c r="W298" s="313"/>
      <c r="X298" s="313"/>
      <c r="Y298" s="313"/>
      <c r="Z298" s="313"/>
      <c r="AA298" s="313"/>
    </row>
    <row r="299" spans="1:27" ht="14.25" customHeight="1" x14ac:dyDescent="0.2">
      <c r="A299" s="346">
        <v>43033</v>
      </c>
      <c r="B299" s="313">
        <v>255.28999300000001</v>
      </c>
      <c r="C299" s="313">
        <v>137.33000200000001</v>
      </c>
      <c r="D299" s="345">
        <f t="shared" ref="D299:E299" si="308">B299/B298-1</f>
        <v>-4.9501286634715536E-3</v>
      </c>
      <c r="E299" s="345">
        <f t="shared" si="308"/>
        <v>-5.071339600603797E-3</v>
      </c>
      <c r="F299" s="313"/>
      <c r="G299" s="313"/>
      <c r="H299" s="313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  <c r="S299" s="313"/>
      <c r="T299" s="313"/>
      <c r="U299" s="313"/>
      <c r="V299" s="313"/>
      <c r="W299" s="313"/>
      <c r="X299" s="313"/>
      <c r="Y299" s="313"/>
      <c r="Z299" s="313"/>
      <c r="AA299" s="313"/>
    </row>
    <row r="300" spans="1:27" ht="14.25" customHeight="1" x14ac:dyDescent="0.2">
      <c r="A300" s="346">
        <v>43034</v>
      </c>
      <c r="B300" s="313">
        <v>255.61999499999999</v>
      </c>
      <c r="C300" s="313">
        <v>138.449997</v>
      </c>
      <c r="D300" s="345">
        <f t="shared" ref="D300:E300" si="309">B300/B299-1</f>
        <v>1.2926554469370188E-3</v>
      </c>
      <c r="E300" s="345">
        <f t="shared" si="309"/>
        <v>8.155501228347628E-3</v>
      </c>
      <c r="F300" s="313"/>
      <c r="G300" s="313"/>
      <c r="H300" s="313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  <c r="S300" s="313"/>
      <c r="T300" s="313"/>
      <c r="U300" s="313"/>
      <c r="V300" s="313"/>
      <c r="W300" s="313"/>
      <c r="X300" s="313"/>
      <c r="Y300" s="313"/>
      <c r="Z300" s="313"/>
      <c r="AA300" s="313"/>
    </row>
    <row r="301" spans="1:27" ht="14.25" customHeight="1" x14ac:dyDescent="0.2">
      <c r="A301" s="346">
        <v>43035</v>
      </c>
      <c r="B301" s="313">
        <v>257.709991</v>
      </c>
      <c r="C301" s="313">
        <v>139.029999</v>
      </c>
      <c r="D301" s="345">
        <f t="shared" ref="D301:E301" si="310">B301/B300-1</f>
        <v>8.1761835571587671E-3</v>
      </c>
      <c r="E301" s="345">
        <f t="shared" si="310"/>
        <v>4.1892525284779047E-3</v>
      </c>
      <c r="F301" s="313"/>
      <c r="G301" s="313"/>
      <c r="H301" s="313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  <c r="S301" s="313"/>
      <c r="T301" s="313"/>
      <c r="U301" s="313"/>
      <c r="V301" s="313"/>
      <c r="W301" s="313"/>
      <c r="X301" s="313"/>
      <c r="Y301" s="313"/>
      <c r="Z301" s="313"/>
      <c r="AA301" s="313"/>
    </row>
    <row r="302" spans="1:27" ht="14.25" customHeight="1" x14ac:dyDescent="0.2">
      <c r="A302" s="346">
        <v>43038</v>
      </c>
      <c r="B302" s="313">
        <v>256.75</v>
      </c>
      <c r="C302" s="313">
        <v>142.86999499999999</v>
      </c>
      <c r="D302" s="345">
        <f t="shared" ref="D302:E302" si="311">B302/B301-1</f>
        <v>-3.7250825871163462E-3</v>
      </c>
      <c r="E302" s="345">
        <f t="shared" si="311"/>
        <v>2.7619909570739454E-2</v>
      </c>
      <c r="F302" s="313"/>
      <c r="G302" s="313"/>
      <c r="H302" s="313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  <c r="S302" s="313"/>
      <c r="T302" s="313"/>
      <c r="U302" s="313"/>
      <c r="V302" s="313"/>
      <c r="W302" s="313"/>
      <c r="X302" s="313"/>
      <c r="Y302" s="313"/>
      <c r="Z302" s="313"/>
      <c r="AA302" s="313"/>
    </row>
    <row r="303" spans="1:27" ht="14.25" customHeight="1" x14ac:dyDescent="0.2">
      <c r="A303" s="346">
        <v>43039</v>
      </c>
      <c r="B303" s="313">
        <v>257.14999399999999</v>
      </c>
      <c r="C303" s="313">
        <v>143.66999799999999</v>
      </c>
      <c r="D303" s="345">
        <f t="shared" ref="D303:E303" si="312">B303/B302-1</f>
        <v>1.5579123661149108E-3</v>
      </c>
      <c r="E303" s="345">
        <f t="shared" si="312"/>
        <v>5.5995172394316395E-3</v>
      </c>
      <c r="F303" s="313"/>
      <c r="G303" s="313"/>
      <c r="H303" s="313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  <c r="S303" s="313"/>
      <c r="T303" s="313"/>
      <c r="U303" s="313"/>
      <c r="V303" s="313"/>
      <c r="W303" s="313"/>
      <c r="X303" s="313"/>
      <c r="Y303" s="313"/>
      <c r="Z303" s="313"/>
      <c r="AA303" s="313"/>
    </row>
    <row r="304" spans="1:27" ht="14.25" customHeight="1" x14ac:dyDescent="0.2">
      <c r="A304" s="346">
        <v>43040</v>
      </c>
      <c r="B304" s="313">
        <v>257.48998999999998</v>
      </c>
      <c r="C304" s="313">
        <v>140.80999800000001</v>
      </c>
      <c r="D304" s="345">
        <f t="shared" ref="D304:E304" si="313">B304/B303-1</f>
        <v>1.3221699705736611E-3</v>
      </c>
      <c r="E304" s="345">
        <f t="shared" si="313"/>
        <v>-1.9906730979421194E-2</v>
      </c>
      <c r="F304" s="313"/>
      <c r="G304" s="313"/>
      <c r="H304" s="313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  <c r="S304" s="313"/>
      <c r="T304" s="313"/>
      <c r="U304" s="313"/>
      <c r="V304" s="313"/>
      <c r="W304" s="313"/>
      <c r="X304" s="313"/>
      <c r="Y304" s="313"/>
      <c r="Z304" s="313"/>
      <c r="AA304" s="313"/>
    </row>
    <row r="305" spans="1:27" ht="14.25" customHeight="1" x14ac:dyDescent="0.2">
      <c r="A305" s="346">
        <v>43041</v>
      </c>
      <c r="B305" s="313">
        <v>257.58999599999999</v>
      </c>
      <c r="C305" s="313">
        <v>142.44000199999999</v>
      </c>
      <c r="D305" s="345">
        <f t="shared" ref="D305:E305" si="314">B305/B304-1</f>
        <v>3.8838791364281811E-4</v>
      </c>
      <c r="E305" s="345">
        <f t="shared" si="314"/>
        <v>1.1575910966208358E-2</v>
      </c>
      <c r="F305" s="313"/>
      <c r="G305" s="313"/>
      <c r="H305" s="313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  <c r="S305" s="313"/>
      <c r="T305" s="313"/>
      <c r="U305" s="313"/>
      <c r="V305" s="313"/>
      <c r="W305" s="313"/>
      <c r="X305" s="313"/>
      <c r="Y305" s="313"/>
      <c r="Z305" s="313"/>
      <c r="AA305" s="313"/>
    </row>
    <row r="306" spans="1:27" ht="14.25" customHeight="1" x14ac:dyDescent="0.2">
      <c r="A306" s="346">
        <v>43042</v>
      </c>
      <c r="B306" s="313">
        <v>258.45001200000002</v>
      </c>
      <c r="C306" s="313">
        <v>142.10000600000001</v>
      </c>
      <c r="D306" s="345">
        <f t="shared" ref="D306:E306" si="315">B306/B305-1</f>
        <v>3.3387010883763057E-3</v>
      </c>
      <c r="E306" s="345">
        <f t="shared" si="315"/>
        <v>-2.3869418367460371E-3</v>
      </c>
      <c r="F306" s="313"/>
      <c r="G306" s="313"/>
      <c r="H306" s="313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  <c r="S306" s="313"/>
      <c r="T306" s="313"/>
      <c r="U306" s="313"/>
      <c r="V306" s="313"/>
      <c r="W306" s="313"/>
      <c r="X306" s="313"/>
      <c r="Y306" s="313"/>
      <c r="Z306" s="313"/>
      <c r="AA306" s="313"/>
    </row>
    <row r="307" spans="1:27" ht="14.25" customHeight="1" x14ac:dyDescent="0.2">
      <c r="A307" s="346">
        <v>43045</v>
      </c>
      <c r="B307" s="313">
        <v>258.85000600000001</v>
      </c>
      <c r="C307" s="313">
        <v>150.16000399999999</v>
      </c>
      <c r="D307" s="345">
        <f t="shared" ref="D307:E307" si="316">B307/B306-1</f>
        <v>1.5476648536583149E-3</v>
      </c>
      <c r="E307" s="345">
        <f t="shared" si="316"/>
        <v>5.6720602812641463E-2</v>
      </c>
      <c r="F307" s="313"/>
      <c r="G307" s="313"/>
      <c r="H307" s="313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  <c r="S307" s="313"/>
      <c r="T307" s="313"/>
      <c r="U307" s="313"/>
      <c r="V307" s="313"/>
      <c r="W307" s="313"/>
      <c r="X307" s="313"/>
      <c r="Y307" s="313"/>
      <c r="Z307" s="313"/>
      <c r="AA307" s="313"/>
    </row>
    <row r="308" spans="1:27" ht="14.25" customHeight="1" x14ac:dyDescent="0.2">
      <c r="A308" s="346">
        <v>43046</v>
      </c>
      <c r="B308" s="313">
        <v>258.67001299999998</v>
      </c>
      <c r="C308" s="313">
        <v>150.66000399999999</v>
      </c>
      <c r="D308" s="345">
        <f t="shared" ref="D308:E308" si="317">B308/B307-1</f>
        <v>-6.9535636788831123E-4</v>
      </c>
      <c r="E308" s="345">
        <f t="shared" si="317"/>
        <v>3.3297814776296342E-3</v>
      </c>
      <c r="F308" s="313"/>
      <c r="G308" s="313"/>
      <c r="H308" s="313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  <c r="S308" s="313"/>
      <c r="T308" s="313"/>
      <c r="U308" s="313"/>
      <c r="V308" s="313"/>
      <c r="W308" s="313"/>
      <c r="X308" s="313"/>
      <c r="Y308" s="313"/>
      <c r="Z308" s="313"/>
      <c r="AA308" s="313"/>
    </row>
    <row r="309" spans="1:27" ht="14.25" customHeight="1" x14ac:dyDescent="0.2">
      <c r="A309" s="346">
        <v>43047</v>
      </c>
      <c r="B309" s="313">
        <v>259.10998499999999</v>
      </c>
      <c r="C309" s="313">
        <v>152.720001</v>
      </c>
      <c r="D309" s="345">
        <f t="shared" ref="D309:E309" si="318">B309/B308-1</f>
        <v>1.7009006761059542E-3</v>
      </c>
      <c r="E309" s="345">
        <f t="shared" si="318"/>
        <v>1.3673151103859027E-2</v>
      </c>
      <c r="F309" s="313"/>
      <c r="G309" s="313"/>
      <c r="H309" s="313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  <c r="S309" s="313"/>
      <c r="T309" s="313"/>
      <c r="U309" s="313"/>
      <c r="V309" s="313"/>
      <c r="W309" s="313"/>
      <c r="X309" s="313"/>
      <c r="Y309" s="313"/>
      <c r="Z309" s="313"/>
      <c r="AA309" s="313"/>
    </row>
    <row r="310" spans="1:27" ht="14.25" customHeight="1" x14ac:dyDescent="0.2">
      <c r="A310" s="346">
        <v>43048</v>
      </c>
      <c r="B310" s="313">
        <v>258.17001299999998</v>
      </c>
      <c r="C310" s="313">
        <v>151.820007</v>
      </c>
      <c r="D310" s="345">
        <f t="shared" ref="D310:E310" si="319">B310/B309-1</f>
        <v>-3.6276950114446649E-3</v>
      </c>
      <c r="E310" s="345">
        <f t="shared" si="319"/>
        <v>-5.8930984422923549E-3</v>
      </c>
      <c r="F310" s="313"/>
      <c r="G310" s="313"/>
      <c r="H310" s="313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  <c r="S310" s="313"/>
      <c r="T310" s="313"/>
      <c r="U310" s="313"/>
      <c r="V310" s="313"/>
      <c r="W310" s="313"/>
      <c r="X310" s="313"/>
      <c r="Y310" s="313"/>
      <c r="Z310" s="313"/>
      <c r="AA310" s="313"/>
    </row>
    <row r="311" spans="1:27" ht="14.25" customHeight="1" x14ac:dyDescent="0.2">
      <c r="A311" s="346">
        <v>43049</v>
      </c>
      <c r="B311" s="313">
        <v>258.08999599999999</v>
      </c>
      <c r="C311" s="313">
        <v>150.53999300000001</v>
      </c>
      <c r="D311" s="345">
        <f t="shared" ref="D311:E311" si="320">B311/B310-1</f>
        <v>-3.09939171750373E-4</v>
      </c>
      <c r="E311" s="345">
        <f t="shared" si="320"/>
        <v>-8.4311285797793456E-3</v>
      </c>
      <c r="F311" s="313"/>
      <c r="G311" s="313"/>
      <c r="H311" s="313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  <c r="S311" s="313"/>
      <c r="T311" s="313"/>
      <c r="U311" s="313"/>
      <c r="V311" s="313"/>
      <c r="W311" s="313"/>
      <c r="X311" s="313"/>
      <c r="Y311" s="313"/>
      <c r="Z311" s="313"/>
      <c r="AA311" s="313"/>
    </row>
    <row r="312" spans="1:27" ht="14.25" customHeight="1" x14ac:dyDescent="0.2">
      <c r="A312" s="346">
        <v>43052</v>
      </c>
      <c r="B312" s="313">
        <v>258.32998700000002</v>
      </c>
      <c r="C312" s="313">
        <v>150.03999300000001</v>
      </c>
      <c r="D312" s="345">
        <f t="shared" ref="D312:E312" si="321">B312/B311-1</f>
        <v>9.2987331442340171E-4</v>
      </c>
      <c r="E312" s="345">
        <f t="shared" si="321"/>
        <v>-3.3213765328127254E-3</v>
      </c>
      <c r="F312" s="313"/>
      <c r="G312" s="313"/>
      <c r="H312" s="313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  <c r="S312" s="313"/>
      <c r="T312" s="313"/>
      <c r="U312" s="313"/>
      <c r="V312" s="313"/>
      <c r="W312" s="313"/>
      <c r="X312" s="313"/>
      <c r="Y312" s="313"/>
      <c r="Z312" s="313"/>
      <c r="AA312" s="313"/>
    </row>
    <row r="313" spans="1:27" ht="14.25" customHeight="1" x14ac:dyDescent="0.2">
      <c r="A313" s="346">
        <v>43053</v>
      </c>
      <c r="B313" s="313">
        <v>257.73001099999999</v>
      </c>
      <c r="C313" s="313">
        <v>149.490005</v>
      </c>
      <c r="D313" s="345">
        <f t="shared" ref="D313:E313" si="322">B313/B312-1</f>
        <v>-2.3225178267826108E-3</v>
      </c>
      <c r="E313" s="345">
        <f t="shared" si="322"/>
        <v>-3.6656093419039637E-3</v>
      </c>
      <c r="F313" s="313"/>
      <c r="G313" s="313"/>
      <c r="H313" s="313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  <c r="S313" s="313"/>
      <c r="T313" s="313"/>
      <c r="U313" s="313"/>
      <c r="V313" s="313"/>
      <c r="W313" s="313"/>
      <c r="X313" s="313"/>
      <c r="Y313" s="313"/>
      <c r="Z313" s="313"/>
      <c r="AA313" s="313"/>
    </row>
    <row r="314" spans="1:27" ht="14.25" customHeight="1" x14ac:dyDescent="0.2">
      <c r="A314" s="346">
        <v>43054</v>
      </c>
      <c r="B314" s="313">
        <v>256.44000199999999</v>
      </c>
      <c r="C314" s="313">
        <v>148.929993</v>
      </c>
      <c r="D314" s="345">
        <f t="shared" ref="D314:E314" si="323">B314/B313-1</f>
        <v>-5.0052727464477975E-3</v>
      </c>
      <c r="E314" s="345">
        <f t="shared" si="323"/>
        <v>-3.7461501188658097E-3</v>
      </c>
      <c r="F314" s="313"/>
      <c r="G314" s="313"/>
      <c r="H314" s="313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  <c r="S314" s="313"/>
      <c r="T314" s="313"/>
      <c r="U314" s="313"/>
      <c r="V314" s="313"/>
      <c r="W314" s="313"/>
      <c r="X314" s="313"/>
      <c r="Y314" s="313"/>
      <c r="Z314" s="313"/>
      <c r="AA314" s="313"/>
    </row>
    <row r="315" spans="1:27" ht="14.25" customHeight="1" x14ac:dyDescent="0.2">
      <c r="A315" s="346">
        <v>43055</v>
      </c>
      <c r="B315" s="313">
        <v>258.61999500000002</v>
      </c>
      <c r="C315" s="313">
        <v>148.39999399999999</v>
      </c>
      <c r="D315" s="345">
        <f t="shared" ref="D315:E315" si="324">B315/B314-1</f>
        <v>8.5009865192562373E-3</v>
      </c>
      <c r="E315" s="345">
        <f t="shared" si="324"/>
        <v>-3.558712313912471E-3</v>
      </c>
      <c r="F315" s="313"/>
      <c r="G315" s="313"/>
      <c r="H315" s="313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  <c r="S315" s="313"/>
      <c r="T315" s="313"/>
      <c r="U315" s="313"/>
      <c r="V315" s="313"/>
      <c r="W315" s="313"/>
      <c r="X315" s="313"/>
      <c r="Y315" s="313"/>
      <c r="Z315" s="313"/>
      <c r="AA315" s="313"/>
    </row>
    <row r="316" spans="1:27" ht="14.25" customHeight="1" x14ac:dyDescent="0.2">
      <c r="A316" s="346">
        <v>43056</v>
      </c>
      <c r="B316" s="313">
        <v>257.85998499999999</v>
      </c>
      <c r="C316" s="313">
        <v>145.86999499999999</v>
      </c>
      <c r="D316" s="345">
        <f t="shared" ref="D316:E316" si="325">B316/B315-1</f>
        <v>-2.9387132267171268E-3</v>
      </c>
      <c r="E316" s="345">
        <f t="shared" si="325"/>
        <v>-1.7048511470964089E-2</v>
      </c>
      <c r="F316" s="313"/>
      <c r="G316" s="313"/>
      <c r="H316" s="313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  <c r="S316" s="313"/>
      <c r="T316" s="313"/>
      <c r="U316" s="313"/>
      <c r="V316" s="313"/>
      <c r="W316" s="313"/>
      <c r="X316" s="313"/>
      <c r="Y316" s="313"/>
      <c r="Z316" s="313"/>
      <c r="AA316" s="313"/>
    </row>
    <row r="317" spans="1:27" ht="14.25" customHeight="1" x14ac:dyDescent="0.2">
      <c r="A317" s="346">
        <v>43059</v>
      </c>
      <c r="B317" s="313">
        <v>258.29998799999998</v>
      </c>
      <c r="C317" s="313">
        <v>146.220001</v>
      </c>
      <c r="D317" s="345">
        <f t="shared" ref="D317:E317" si="326">B317/B316-1</f>
        <v>1.7063640176664396E-3</v>
      </c>
      <c r="E317" s="345">
        <f t="shared" si="326"/>
        <v>2.3994379378706743E-3</v>
      </c>
      <c r="F317" s="313"/>
      <c r="G317" s="313"/>
      <c r="H317" s="313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  <c r="S317" s="313"/>
      <c r="T317" s="313"/>
      <c r="U317" s="313"/>
      <c r="V317" s="313"/>
      <c r="W317" s="313"/>
      <c r="X317" s="313"/>
      <c r="Y317" s="313"/>
      <c r="Z317" s="313"/>
      <c r="AA317" s="313"/>
    </row>
    <row r="318" spans="1:27" ht="14.25" customHeight="1" x14ac:dyDescent="0.2">
      <c r="A318" s="346">
        <v>43060</v>
      </c>
      <c r="B318" s="313">
        <v>259.98998999999998</v>
      </c>
      <c r="C318" s="313">
        <v>146.58999600000001</v>
      </c>
      <c r="D318" s="345">
        <f t="shared" ref="D318:E318" si="327">B318/B317-1</f>
        <v>6.5427877604082862E-3</v>
      </c>
      <c r="E318" s="345">
        <f t="shared" si="327"/>
        <v>2.5303993808618586E-3</v>
      </c>
      <c r="F318" s="313"/>
      <c r="G318" s="313"/>
      <c r="H318" s="313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  <c r="S318" s="313"/>
      <c r="T318" s="313"/>
      <c r="U318" s="313"/>
      <c r="V318" s="313"/>
      <c r="W318" s="313"/>
      <c r="X318" s="313"/>
      <c r="Y318" s="313"/>
      <c r="Z318" s="313"/>
      <c r="AA318" s="313"/>
    </row>
    <row r="319" spans="1:27" ht="14.25" customHeight="1" x14ac:dyDescent="0.2">
      <c r="A319" s="346">
        <v>43061</v>
      </c>
      <c r="B319" s="313">
        <v>259.76001000000002</v>
      </c>
      <c r="C319" s="313">
        <v>145.30999800000001</v>
      </c>
      <c r="D319" s="345">
        <f t="shared" ref="D319:E319" si="328">B319/B318-1</f>
        <v>-8.8457251758022881E-4</v>
      </c>
      <c r="E319" s="345">
        <f t="shared" si="328"/>
        <v>-8.731823691433882E-3</v>
      </c>
      <c r="F319" s="313"/>
      <c r="G319" s="313"/>
      <c r="H319" s="313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  <c r="S319" s="313"/>
      <c r="T319" s="313"/>
      <c r="U319" s="313"/>
      <c r="V319" s="313"/>
      <c r="W319" s="313"/>
      <c r="X319" s="313"/>
      <c r="Y319" s="313"/>
      <c r="Z319" s="313"/>
      <c r="AA319" s="313"/>
    </row>
    <row r="320" spans="1:27" ht="14.25" customHeight="1" x14ac:dyDescent="0.2">
      <c r="A320" s="346">
        <v>43063</v>
      </c>
      <c r="B320" s="313">
        <v>260.35998499999999</v>
      </c>
      <c r="C320" s="313">
        <v>147.300003</v>
      </c>
      <c r="D320" s="345">
        <f t="shared" ref="D320:E320" si="329">B320/B319-1</f>
        <v>2.3097281217381305E-3</v>
      </c>
      <c r="E320" s="345">
        <f t="shared" si="329"/>
        <v>1.369489386408218E-2</v>
      </c>
      <c r="F320" s="313"/>
      <c r="G320" s="313"/>
      <c r="H320" s="313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  <c r="S320" s="313"/>
      <c r="T320" s="313"/>
      <c r="U320" s="313"/>
      <c r="V320" s="313"/>
      <c r="W320" s="313"/>
      <c r="X320" s="313"/>
      <c r="Y320" s="313"/>
      <c r="Z320" s="313"/>
      <c r="AA320" s="313"/>
    </row>
    <row r="321" spans="1:27" ht="14.25" customHeight="1" x14ac:dyDescent="0.2">
      <c r="A321" s="346">
        <v>43066</v>
      </c>
      <c r="B321" s="313">
        <v>260.23001099999999</v>
      </c>
      <c r="C321" s="313">
        <v>148.229996</v>
      </c>
      <c r="D321" s="345">
        <f t="shared" ref="D321:E321" si="330">B321/B320-1</f>
        <v>-4.9920881659293315E-4</v>
      </c>
      <c r="E321" s="345">
        <f t="shared" si="330"/>
        <v>6.313597970530882E-3</v>
      </c>
      <c r="F321" s="313"/>
      <c r="G321" s="313"/>
      <c r="H321" s="313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  <c r="S321" s="313"/>
      <c r="T321" s="313"/>
      <c r="U321" s="313"/>
      <c r="V321" s="313"/>
      <c r="W321" s="313"/>
      <c r="X321" s="313"/>
      <c r="Y321" s="313"/>
      <c r="Z321" s="313"/>
      <c r="AA321" s="313"/>
    </row>
    <row r="322" spans="1:27" ht="14.25" customHeight="1" x14ac:dyDescent="0.2">
      <c r="A322" s="346">
        <v>43067</v>
      </c>
      <c r="B322" s="313">
        <v>262.86999500000002</v>
      </c>
      <c r="C322" s="313">
        <v>148.63999899999999</v>
      </c>
      <c r="D322" s="345">
        <f t="shared" ref="D322:E322" si="331">B322/B321-1</f>
        <v>1.0144809931242005E-2</v>
      </c>
      <c r="E322" s="345">
        <f t="shared" si="331"/>
        <v>2.7659921140386068E-3</v>
      </c>
      <c r="F322" s="313"/>
      <c r="G322" s="313"/>
      <c r="H322" s="313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  <c r="S322" s="313"/>
      <c r="T322" s="313"/>
      <c r="U322" s="313"/>
      <c r="V322" s="313"/>
      <c r="W322" s="313"/>
      <c r="X322" s="313"/>
      <c r="Y322" s="313"/>
      <c r="Z322" s="313"/>
      <c r="AA322" s="313"/>
    </row>
    <row r="323" spans="1:27" ht="14.25" customHeight="1" x14ac:dyDescent="0.2">
      <c r="A323" s="346">
        <v>43068</v>
      </c>
      <c r="B323" s="313">
        <v>262.709991</v>
      </c>
      <c r="C323" s="313">
        <v>146.300003</v>
      </c>
      <c r="D323" s="345">
        <f t="shared" ref="D323:E323" si="332">B323/B322-1</f>
        <v>-6.0868110869793934E-4</v>
      </c>
      <c r="E323" s="345">
        <f t="shared" si="332"/>
        <v>-1.5742707317967564E-2</v>
      </c>
      <c r="F323" s="313"/>
      <c r="G323" s="313"/>
      <c r="H323" s="313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  <c r="AA323" s="313"/>
    </row>
    <row r="324" spans="1:27" ht="14.25" customHeight="1" x14ac:dyDescent="0.2">
      <c r="A324" s="346">
        <v>43069</v>
      </c>
      <c r="B324" s="313">
        <v>265.01001000000002</v>
      </c>
      <c r="C324" s="313">
        <v>143.929993</v>
      </c>
      <c r="D324" s="345">
        <f t="shared" ref="D324:E324" si="333">B324/B323-1</f>
        <v>8.7549734642562438E-3</v>
      </c>
      <c r="E324" s="345">
        <f t="shared" si="333"/>
        <v>-1.6199657904313325E-2</v>
      </c>
      <c r="F324" s="313"/>
      <c r="G324" s="313"/>
      <c r="H324" s="313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  <c r="S324" s="313"/>
      <c r="T324" s="313"/>
      <c r="U324" s="313"/>
      <c r="V324" s="313"/>
      <c r="W324" s="313"/>
      <c r="X324" s="313"/>
      <c r="Y324" s="313"/>
      <c r="Z324" s="313"/>
      <c r="AA324" s="313"/>
    </row>
    <row r="325" spans="1:27" ht="14.25" customHeight="1" x14ac:dyDescent="0.2">
      <c r="A325" s="346">
        <v>43070</v>
      </c>
      <c r="B325" s="313">
        <v>264.459991</v>
      </c>
      <c r="C325" s="313">
        <v>143.61000100000001</v>
      </c>
      <c r="D325" s="345">
        <f t="shared" ref="D325:E325" si="334">B325/B324-1</f>
        <v>-2.0754649984731088E-3</v>
      </c>
      <c r="E325" s="345">
        <f t="shared" si="334"/>
        <v>-2.2232475200633095E-3</v>
      </c>
      <c r="F325" s="313"/>
      <c r="G325" s="313"/>
      <c r="H325" s="313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  <c r="S325" s="313"/>
      <c r="T325" s="313"/>
      <c r="U325" s="313"/>
      <c r="V325" s="313"/>
      <c r="W325" s="313"/>
      <c r="X325" s="313"/>
      <c r="Y325" s="313"/>
      <c r="Z325" s="313"/>
      <c r="AA325" s="313"/>
    </row>
    <row r="326" spans="1:27" ht="14.25" customHeight="1" x14ac:dyDescent="0.2">
      <c r="A326" s="346">
        <v>43073</v>
      </c>
      <c r="B326" s="313">
        <v>264.14001500000001</v>
      </c>
      <c r="C326" s="313">
        <v>138.970001</v>
      </c>
      <c r="D326" s="345">
        <f t="shared" ref="D326:E326" si="335">B326/B325-1</f>
        <v>-1.2099221465979859E-3</v>
      </c>
      <c r="E326" s="345">
        <f t="shared" si="335"/>
        <v>-3.2309727509855057E-2</v>
      </c>
      <c r="F326" s="313"/>
      <c r="G326" s="313"/>
      <c r="H326" s="313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  <c r="S326" s="313"/>
      <c r="T326" s="313"/>
      <c r="U326" s="313"/>
      <c r="V326" s="313"/>
      <c r="W326" s="313"/>
      <c r="X326" s="313"/>
      <c r="Y326" s="313"/>
      <c r="Z326" s="313"/>
      <c r="AA326" s="313"/>
    </row>
    <row r="327" spans="1:27" ht="14.25" customHeight="1" x14ac:dyDescent="0.2">
      <c r="A327" s="346">
        <v>43074</v>
      </c>
      <c r="B327" s="313">
        <v>263.19000199999999</v>
      </c>
      <c r="C327" s="313">
        <v>140.759995</v>
      </c>
      <c r="D327" s="345">
        <f t="shared" ref="D327:E327" si="336">B327/B326-1</f>
        <v>-3.5966265845787104E-3</v>
      </c>
      <c r="E327" s="345">
        <f t="shared" si="336"/>
        <v>1.2880434533493412E-2</v>
      </c>
      <c r="F327" s="313"/>
      <c r="G327" s="313"/>
      <c r="H327" s="313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  <c r="S327" s="313"/>
      <c r="T327" s="313"/>
      <c r="U327" s="313"/>
      <c r="V327" s="313"/>
      <c r="W327" s="313"/>
      <c r="X327" s="313"/>
      <c r="Y327" s="313"/>
      <c r="Z327" s="313"/>
      <c r="AA327" s="313"/>
    </row>
    <row r="328" spans="1:27" ht="14.25" customHeight="1" x14ac:dyDescent="0.2">
      <c r="A328" s="346">
        <v>43075</v>
      </c>
      <c r="B328" s="313">
        <v>263.23998999999998</v>
      </c>
      <c r="C328" s="313">
        <v>141.800003</v>
      </c>
      <c r="D328" s="345">
        <f t="shared" ref="D328:E328" si="337">B328/B327-1</f>
        <v>1.8993122694688225E-4</v>
      </c>
      <c r="E328" s="345">
        <f t="shared" si="337"/>
        <v>7.3885197282081982E-3</v>
      </c>
      <c r="F328" s="313"/>
      <c r="G328" s="313"/>
      <c r="H328" s="313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  <c r="S328" s="313"/>
      <c r="T328" s="313"/>
      <c r="U328" s="313"/>
      <c r="V328" s="313"/>
      <c r="W328" s="313"/>
      <c r="X328" s="313"/>
      <c r="Y328" s="313"/>
      <c r="Z328" s="313"/>
      <c r="AA328" s="313"/>
    </row>
    <row r="329" spans="1:27" ht="14.25" customHeight="1" x14ac:dyDescent="0.2">
      <c r="A329" s="346">
        <v>43076</v>
      </c>
      <c r="B329" s="313">
        <v>264.07000699999998</v>
      </c>
      <c r="C329" s="313">
        <v>144.11000100000001</v>
      </c>
      <c r="D329" s="345">
        <f t="shared" ref="D329:E329" si="338">B329/B328-1</f>
        <v>3.153080958558041E-3</v>
      </c>
      <c r="E329" s="345">
        <f t="shared" si="338"/>
        <v>1.6290535621497959E-2</v>
      </c>
      <c r="F329" s="313"/>
      <c r="G329" s="313"/>
      <c r="H329" s="313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  <c r="S329" s="313"/>
      <c r="T329" s="313"/>
      <c r="U329" s="313"/>
      <c r="V329" s="313"/>
      <c r="W329" s="313"/>
      <c r="X329" s="313"/>
      <c r="Y329" s="313"/>
      <c r="Z329" s="313"/>
      <c r="AA329" s="313"/>
    </row>
    <row r="330" spans="1:27" ht="14.25" customHeight="1" x14ac:dyDescent="0.2">
      <c r="A330" s="346">
        <v>43077</v>
      </c>
      <c r="B330" s="313">
        <v>265.51001000000002</v>
      </c>
      <c r="C330" s="313">
        <v>142.470001</v>
      </c>
      <c r="D330" s="345">
        <f t="shared" ref="D330:E330" si="339">B330/B329-1</f>
        <v>5.4531107730082518E-3</v>
      </c>
      <c r="E330" s="345">
        <f t="shared" si="339"/>
        <v>-1.1380195604883903E-2</v>
      </c>
      <c r="F330" s="313"/>
      <c r="G330" s="313"/>
      <c r="H330" s="313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  <c r="S330" s="313"/>
      <c r="T330" s="313"/>
      <c r="U330" s="313"/>
      <c r="V330" s="313"/>
      <c r="W330" s="313"/>
      <c r="X330" s="313"/>
      <c r="Y330" s="313"/>
      <c r="Z330" s="313"/>
      <c r="AA330" s="313"/>
    </row>
    <row r="331" spans="1:27" ht="14.25" customHeight="1" x14ac:dyDescent="0.2">
      <c r="A331" s="346">
        <v>43080</v>
      </c>
      <c r="B331" s="313">
        <v>266.30999800000001</v>
      </c>
      <c r="C331" s="313">
        <v>144.050003</v>
      </c>
      <c r="D331" s="345">
        <f t="shared" ref="D331:E331" si="340">B331/B330-1</f>
        <v>3.0130238780827767E-3</v>
      </c>
      <c r="E331" s="345">
        <f t="shared" si="340"/>
        <v>1.1090068006667675E-2</v>
      </c>
      <c r="F331" s="313"/>
      <c r="G331" s="313"/>
      <c r="H331" s="313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  <c r="S331" s="313"/>
      <c r="T331" s="313"/>
      <c r="U331" s="313"/>
      <c r="V331" s="313"/>
      <c r="W331" s="313"/>
      <c r="X331" s="313"/>
      <c r="Y331" s="313"/>
      <c r="Z331" s="313"/>
      <c r="AA331" s="313"/>
    </row>
    <row r="332" spans="1:27" ht="14.25" customHeight="1" x14ac:dyDescent="0.2">
      <c r="A332" s="346">
        <v>43081</v>
      </c>
      <c r="B332" s="313">
        <v>266.77999899999998</v>
      </c>
      <c r="C332" s="313">
        <v>143.509995</v>
      </c>
      <c r="D332" s="345">
        <f t="shared" ref="D332:E332" si="341">B332/B331-1</f>
        <v>1.764864269196309E-3</v>
      </c>
      <c r="E332" s="345">
        <f t="shared" si="341"/>
        <v>-3.7487538268221599E-3</v>
      </c>
      <c r="F332" s="313"/>
      <c r="G332" s="313"/>
      <c r="H332" s="313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  <c r="S332" s="313"/>
      <c r="T332" s="313"/>
      <c r="U332" s="313"/>
      <c r="V332" s="313"/>
      <c r="W332" s="313"/>
      <c r="X332" s="313"/>
      <c r="Y332" s="313"/>
      <c r="Z332" s="313"/>
      <c r="AA332" s="313"/>
    </row>
    <row r="333" spans="1:27" ht="14.25" customHeight="1" x14ac:dyDescent="0.2">
      <c r="A333" s="346">
        <v>43082</v>
      </c>
      <c r="B333" s="313">
        <v>266.75</v>
      </c>
      <c r="C333" s="313">
        <v>143.729996</v>
      </c>
      <c r="D333" s="345">
        <f t="shared" ref="D333:E333" si="342">B333/B332-1</f>
        <v>-1.1244845982616436E-4</v>
      </c>
      <c r="E333" s="345">
        <f t="shared" si="342"/>
        <v>1.5330012379972668E-3</v>
      </c>
      <c r="F333" s="313"/>
      <c r="G333" s="313"/>
      <c r="H333" s="313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  <c r="S333" s="313"/>
      <c r="T333" s="313"/>
      <c r="U333" s="313"/>
      <c r="V333" s="313"/>
      <c r="W333" s="313"/>
      <c r="X333" s="313"/>
      <c r="Y333" s="313"/>
      <c r="Z333" s="313"/>
      <c r="AA333" s="313"/>
    </row>
    <row r="334" spans="1:27" ht="14.25" customHeight="1" x14ac:dyDescent="0.2">
      <c r="A334" s="346">
        <v>43083</v>
      </c>
      <c r="B334" s="313">
        <v>265.66000400000001</v>
      </c>
      <c r="C334" s="313">
        <v>143.63999899999999</v>
      </c>
      <c r="D334" s="345">
        <f t="shared" ref="D334:E334" si="343">B334/B333-1</f>
        <v>-4.0862080599811668E-3</v>
      </c>
      <c r="E334" s="345">
        <f t="shared" si="343"/>
        <v>-6.2615322134995655E-4</v>
      </c>
      <c r="F334" s="313"/>
      <c r="G334" s="313"/>
      <c r="H334" s="313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  <c r="S334" s="313"/>
      <c r="T334" s="313"/>
      <c r="U334" s="313"/>
      <c r="V334" s="313"/>
      <c r="W334" s="313"/>
      <c r="X334" s="313"/>
      <c r="Y334" s="313"/>
      <c r="Z334" s="313"/>
      <c r="AA334" s="313"/>
    </row>
    <row r="335" spans="1:27" ht="14.25" customHeight="1" x14ac:dyDescent="0.2">
      <c r="A335" s="346">
        <v>43084</v>
      </c>
      <c r="B335" s="313">
        <v>266.51001000000002</v>
      </c>
      <c r="C335" s="313">
        <v>142.759995</v>
      </c>
      <c r="D335" s="345">
        <f t="shared" ref="D335:E335" si="344">B335/B334-1</f>
        <v>3.1996009455754759E-3</v>
      </c>
      <c r="E335" s="345">
        <f t="shared" si="344"/>
        <v>-6.1264550691063624E-3</v>
      </c>
      <c r="F335" s="313"/>
      <c r="G335" s="313"/>
      <c r="H335" s="313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  <c r="S335" s="313"/>
      <c r="T335" s="313"/>
      <c r="U335" s="313"/>
      <c r="V335" s="313"/>
      <c r="W335" s="313"/>
      <c r="X335" s="313"/>
      <c r="Y335" s="313"/>
      <c r="Z335" s="313"/>
      <c r="AA335" s="313"/>
    </row>
    <row r="336" spans="1:27" ht="14.25" customHeight="1" x14ac:dyDescent="0.2">
      <c r="A336" s="346">
        <v>43087</v>
      </c>
      <c r="B336" s="313">
        <v>268.20001200000002</v>
      </c>
      <c r="C336" s="313">
        <v>142.83999600000001</v>
      </c>
      <c r="D336" s="345">
        <f t="shared" ref="D336:E336" si="345">B336/B335-1</f>
        <v>6.3412327364364973E-3</v>
      </c>
      <c r="E336" s="345">
        <f t="shared" si="345"/>
        <v>5.6038808351033254E-4</v>
      </c>
      <c r="F336" s="313"/>
      <c r="G336" s="313"/>
      <c r="H336" s="313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  <c r="S336" s="313"/>
      <c r="T336" s="313"/>
      <c r="U336" s="313"/>
      <c r="V336" s="313"/>
      <c r="W336" s="313"/>
      <c r="X336" s="313"/>
      <c r="Y336" s="313"/>
      <c r="Z336" s="313"/>
      <c r="AA336" s="313"/>
    </row>
    <row r="337" spans="1:27" ht="14.25" customHeight="1" x14ac:dyDescent="0.2">
      <c r="A337" s="346">
        <v>43088</v>
      </c>
      <c r="B337" s="313">
        <v>267.17001299999998</v>
      </c>
      <c r="C337" s="313">
        <v>141.86000100000001</v>
      </c>
      <c r="D337" s="345">
        <f t="shared" ref="D337:E337" si="346">B337/B336-1</f>
        <v>-3.8404136984155901E-3</v>
      </c>
      <c r="E337" s="345">
        <f t="shared" si="346"/>
        <v>-6.8607884867204483E-3</v>
      </c>
      <c r="F337" s="313"/>
      <c r="G337" s="313"/>
      <c r="H337" s="313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  <c r="S337" s="313"/>
      <c r="T337" s="313"/>
      <c r="U337" s="313"/>
      <c r="V337" s="313"/>
      <c r="W337" s="313"/>
      <c r="X337" s="313"/>
      <c r="Y337" s="313"/>
      <c r="Z337" s="313"/>
      <c r="AA337" s="313"/>
    </row>
    <row r="338" spans="1:27" ht="14.25" customHeight="1" x14ac:dyDescent="0.2">
      <c r="A338" s="346">
        <v>43089</v>
      </c>
      <c r="B338" s="313">
        <v>267.02999899999998</v>
      </c>
      <c r="C338" s="313">
        <v>140.19000199999999</v>
      </c>
      <c r="D338" s="345">
        <f t="shared" ref="D338:E338" si="347">B338/B337-1</f>
        <v>-5.240633049637955E-4</v>
      </c>
      <c r="E338" s="345">
        <f t="shared" si="347"/>
        <v>-1.1772162612631143E-2</v>
      </c>
      <c r="F338" s="313"/>
      <c r="G338" s="313"/>
      <c r="H338" s="313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  <c r="S338" s="313"/>
      <c r="T338" s="313"/>
      <c r="U338" s="313"/>
      <c r="V338" s="313"/>
      <c r="W338" s="313"/>
      <c r="X338" s="313"/>
      <c r="Y338" s="313"/>
      <c r="Z338" s="313"/>
      <c r="AA338" s="313"/>
    </row>
    <row r="339" spans="1:27" ht="14.25" customHeight="1" x14ac:dyDescent="0.2">
      <c r="A339" s="346">
        <v>43090</v>
      </c>
      <c r="B339" s="313">
        <v>267.57998700000002</v>
      </c>
      <c r="C339" s="313">
        <v>139.61000100000001</v>
      </c>
      <c r="D339" s="345">
        <f t="shared" ref="D339:E339" si="348">B339/B338-1</f>
        <v>2.0596487363206961E-3</v>
      </c>
      <c r="E339" s="345">
        <f t="shared" si="348"/>
        <v>-4.1372493881551842E-3</v>
      </c>
      <c r="F339" s="313"/>
      <c r="G339" s="313"/>
      <c r="H339" s="313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  <c r="S339" s="313"/>
      <c r="T339" s="313"/>
      <c r="U339" s="313"/>
      <c r="V339" s="313"/>
      <c r="W339" s="313"/>
      <c r="X339" s="313"/>
      <c r="Y339" s="313"/>
      <c r="Z339" s="313"/>
      <c r="AA339" s="313"/>
    </row>
    <row r="340" spans="1:27" ht="14.25" customHeight="1" x14ac:dyDescent="0.2">
      <c r="A340" s="346">
        <v>43091</v>
      </c>
      <c r="B340" s="313">
        <v>267.51001000000002</v>
      </c>
      <c r="C340" s="313">
        <v>140.66000399999999</v>
      </c>
      <c r="D340" s="345">
        <f t="shared" ref="D340:E340" si="349">B340/B339-1</f>
        <v>-2.6151806338192696E-4</v>
      </c>
      <c r="E340" s="345">
        <f t="shared" si="349"/>
        <v>7.5209726558198575E-3</v>
      </c>
      <c r="F340" s="313"/>
      <c r="G340" s="313"/>
      <c r="H340" s="313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  <c r="S340" s="313"/>
      <c r="T340" s="313"/>
      <c r="U340" s="313"/>
      <c r="V340" s="313"/>
      <c r="W340" s="313"/>
      <c r="X340" s="313"/>
      <c r="Y340" s="313"/>
      <c r="Z340" s="313"/>
      <c r="AA340" s="313"/>
    </row>
    <row r="341" spans="1:27" ht="14.25" customHeight="1" x14ac:dyDescent="0.2">
      <c r="A341" s="346">
        <v>43095</v>
      </c>
      <c r="B341" s="313">
        <v>267.19000199999999</v>
      </c>
      <c r="C341" s="313">
        <v>140.91000399999999</v>
      </c>
      <c r="D341" s="345">
        <f t="shared" ref="D341:E341" si="350">B341/B340-1</f>
        <v>-1.1962468245582114E-3</v>
      </c>
      <c r="E341" s="345">
        <f t="shared" si="350"/>
        <v>1.7773353681975745E-3</v>
      </c>
      <c r="F341" s="313"/>
      <c r="G341" s="313"/>
      <c r="H341" s="313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  <c r="S341" s="313"/>
      <c r="T341" s="313"/>
      <c r="U341" s="313"/>
      <c r="V341" s="313"/>
      <c r="W341" s="313"/>
      <c r="X341" s="313"/>
      <c r="Y341" s="313"/>
      <c r="Z341" s="313"/>
      <c r="AA341" s="313"/>
    </row>
    <row r="342" spans="1:27" ht="14.25" customHeight="1" x14ac:dyDescent="0.2">
      <c r="A342" s="346">
        <v>43096</v>
      </c>
      <c r="B342" s="313">
        <v>267.32000699999998</v>
      </c>
      <c r="C342" s="313">
        <v>141.55999800000001</v>
      </c>
      <c r="D342" s="345">
        <f t="shared" ref="D342:E342" si="351">B342/B341-1</f>
        <v>4.8656386476619851E-4</v>
      </c>
      <c r="E342" s="345">
        <f t="shared" si="351"/>
        <v>4.6128307540180824E-3</v>
      </c>
      <c r="F342" s="313"/>
      <c r="G342" s="313"/>
      <c r="H342" s="313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  <c r="S342" s="313"/>
      <c r="T342" s="313"/>
      <c r="U342" s="313"/>
      <c r="V342" s="313"/>
      <c r="W342" s="313"/>
      <c r="X342" s="313"/>
      <c r="Y342" s="313"/>
      <c r="Z342" s="313"/>
      <c r="AA342" s="313"/>
    </row>
    <row r="343" spans="1:27" ht="14.25" customHeight="1" x14ac:dyDescent="0.2">
      <c r="A343" s="346">
        <v>43097</v>
      </c>
      <c r="B343" s="313">
        <v>267.86999500000002</v>
      </c>
      <c r="C343" s="313">
        <v>142.91000399999999</v>
      </c>
      <c r="D343" s="345">
        <f t="shared" ref="D343:E343" si="352">B343/B342-1</f>
        <v>2.0574142810045881E-3</v>
      </c>
      <c r="E343" s="345">
        <f t="shared" si="352"/>
        <v>9.536634777290498E-3</v>
      </c>
      <c r="F343" s="313"/>
      <c r="G343" s="313"/>
      <c r="H343" s="313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  <c r="S343" s="313"/>
      <c r="T343" s="313"/>
      <c r="U343" s="313"/>
      <c r="V343" s="313"/>
      <c r="W343" s="313"/>
      <c r="X343" s="313"/>
      <c r="Y343" s="313"/>
      <c r="Z343" s="313"/>
      <c r="AA343" s="313"/>
    </row>
    <row r="344" spans="1:27" ht="14.25" customHeight="1" x14ac:dyDescent="0.2">
      <c r="A344" s="346">
        <v>43098</v>
      </c>
      <c r="B344" s="313">
        <v>266.85998499999999</v>
      </c>
      <c r="C344" s="313">
        <v>142.66999799999999</v>
      </c>
      <c r="D344" s="345">
        <f t="shared" ref="D344:E344" si="353">B344/B343-1</f>
        <v>-3.7705230852750349E-3</v>
      </c>
      <c r="E344" s="345">
        <f t="shared" si="353"/>
        <v>-1.6794205673662521E-3</v>
      </c>
      <c r="F344" s="313"/>
      <c r="G344" s="313"/>
      <c r="H344" s="313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  <c r="S344" s="313"/>
      <c r="T344" s="313"/>
      <c r="U344" s="313"/>
      <c r="V344" s="313"/>
      <c r="W344" s="313"/>
      <c r="X344" s="313"/>
      <c r="Y344" s="313"/>
      <c r="Z344" s="313"/>
      <c r="AA344" s="313"/>
    </row>
    <row r="345" spans="1:27" ht="14.25" customHeight="1" x14ac:dyDescent="0.2">
      <c r="A345" s="346">
        <v>43102</v>
      </c>
      <c r="B345" s="313">
        <v>268.76998900000001</v>
      </c>
      <c r="C345" s="313">
        <v>141.13000500000001</v>
      </c>
      <c r="D345" s="345">
        <f t="shared" ref="D345:E345" si="354">B345/B344-1</f>
        <v>7.1573263410025234E-3</v>
      </c>
      <c r="E345" s="345">
        <f t="shared" si="354"/>
        <v>-1.0794091410865403E-2</v>
      </c>
      <c r="F345" s="313"/>
      <c r="G345" s="313"/>
      <c r="H345" s="313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  <c r="S345" s="313"/>
      <c r="T345" s="313"/>
      <c r="U345" s="313"/>
      <c r="V345" s="313"/>
      <c r="W345" s="313"/>
      <c r="X345" s="313"/>
      <c r="Y345" s="313"/>
      <c r="Z345" s="313"/>
      <c r="AA345" s="313"/>
    </row>
    <row r="346" spans="1:27" ht="14.25" customHeight="1" x14ac:dyDescent="0.2">
      <c r="A346" s="346">
        <v>43103</v>
      </c>
      <c r="B346" s="313">
        <v>270.47000100000002</v>
      </c>
      <c r="C346" s="313">
        <v>141.679993</v>
      </c>
      <c r="D346" s="345">
        <f t="shared" ref="D346:E346" si="355">B346/B345-1</f>
        <v>6.3251555961481021E-3</v>
      </c>
      <c r="E346" s="345">
        <f t="shared" si="355"/>
        <v>3.8970309680070869E-3</v>
      </c>
      <c r="F346" s="313"/>
      <c r="G346" s="313"/>
      <c r="H346" s="313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  <c r="S346" s="313"/>
      <c r="T346" s="313"/>
      <c r="U346" s="313"/>
      <c r="V346" s="313"/>
      <c r="W346" s="313"/>
      <c r="X346" s="313"/>
      <c r="Y346" s="313"/>
      <c r="Z346" s="313"/>
      <c r="AA346" s="313"/>
    </row>
    <row r="347" spans="1:27" ht="14.25" customHeight="1" x14ac:dyDescent="0.2">
      <c r="A347" s="346">
        <v>43104</v>
      </c>
      <c r="B347" s="313">
        <v>271.60998499999999</v>
      </c>
      <c r="C347" s="313">
        <v>139.61000100000001</v>
      </c>
      <c r="D347" s="345">
        <f t="shared" ref="D347:E347" si="356">B347/B346-1</f>
        <v>4.2148260279704086E-3</v>
      </c>
      <c r="E347" s="345">
        <f t="shared" si="356"/>
        <v>-1.4610333866970082E-2</v>
      </c>
      <c r="F347" s="313"/>
      <c r="G347" s="313"/>
      <c r="H347" s="313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  <c r="Y347" s="313"/>
      <c r="Z347" s="313"/>
      <c r="AA347" s="313"/>
    </row>
    <row r="348" spans="1:27" ht="14.25" customHeight="1" x14ac:dyDescent="0.2">
      <c r="A348" s="346">
        <v>43105</v>
      </c>
      <c r="B348" s="313">
        <v>273.42001299999998</v>
      </c>
      <c r="C348" s="313">
        <v>140.509995</v>
      </c>
      <c r="D348" s="345">
        <f t="shared" ref="D348:E348" si="357">B348/B347-1</f>
        <v>6.6640701740032782E-3</v>
      </c>
      <c r="E348" s="345">
        <f t="shared" si="357"/>
        <v>6.4464865951829875E-3</v>
      </c>
      <c r="F348" s="313"/>
      <c r="G348" s="313"/>
      <c r="H348" s="313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  <c r="S348" s="313"/>
      <c r="T348" s="313"/>
      <c r="U348" s="313"/>
      <c r="V348" s="313"/>
      <c r="W348" s="313"/>
      <c r="X348" s="313"/>
      <c r="Y348" s="313"/>
      <c r="Z348" s="313"/>
      <c r="AA348" s="313"/>
    </row>
    <row r="349" spans="1:27" ht="14.25" customHeight="1" x14ac:dyDescent="0.2">
      <c r="A349" s="346">
        <v>43108</v>
      </c>
      <c r="B349" s="313">
        <v>273.92001299999998</v>
      </c>
      <c r="C349" s="313">
        <v>142.009995</v>
      </c>
      <c r="D349" s="345">
        <f t="shared" ref="D349:E349" si="358">B349/B348-1</f>
        <v>1.8286883776865714E-3</v>
      </c>
      <c r="E349" s="345">
        <f t="shared" si="358"/>
        <v>1.0675397148793619E-2</v>
      </c>
      <c r="F349" s="313"/>
      <c r="G349" s="313"/>
      <c r="H349" s="313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  <c r="S349" s="313"/>
      <c r="T349" s="313"/>
      <c r="U349" s="313"/>
      <c r="V349" s="313"/>
      <c r="W349" s="313"/>
      <c r="X349" s="313"/>
      <c r="Y349" s="313"/>
      <c r="Z349" s="313"/>
      <c r="AA349" s="313"/>
    </row>
    <row r="350" spans="1:27" ht="14.25" customHeight="1" x14ac:dyDescent="0.2">
      <c r="A350" s="346">
        <v>43109</v>
      </c>
      <c r="B350" s="313">
        <v>274.540009</v>
      </c>
      <c r="C350" s="313">
        <v>141.050003</v>
      </c>
      <c r="D350" s="345">
        <f t="shared" ref="D350:E350" si="359">B350/B349-1</f>
        <v>2.2634198692157437E-3</v>
      </c>
      <c r="E350" s="345">
        <f t="shared" si="359"/>
        <v>-6.7600312217460656E-3</v>
      </c>
      <c r="F350" s="313"/>
      <c r="G350" s="313"/>
      <c r="H350" s="313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  <c r="S350" s="313"/>
      <c r="T350" s="313"/>
      <c r="U350" s="313"/>
      <c r="V350" s="313"/>
      <c r="W350" s="313"/>
      <c r="X350" s="313"/>
      <c r="Y350" s="313"/>
      <c r="Z350" s="313"/>
      <c r="AA350" s="313"/>
    </row>
    <row r="351" spans="1:27" ht="14.25" customHeight="1" x14ac:dyDescent="0.2">
      <c r="A351" s="346">
        <v>43110</v>
      </c>
      <c r="B351" s="313">
        <v>274.11999500000002</v>
      </c>
      <c r="C351" s="313">
        <v>137.61000100000001</v>
      </c>
      <c r="D351" s="345">
        <f t="shared" ref="D351:E351" si="360">B351/B350-1</f>
        <v>-1.5298826627487827E-3</v>
      </c>
      <c r="E351" s="345">
        <f t="shared" si="360"/>
        <v>-2.4388528371743434E-2</v>
      </c>
      <c r="F351" s="313"/>
      <c r="G351" s="313"/>
      <c r="H351" s="313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  <c r="S351" s="313"/>
      <c r="T351" s="313"/>
      <c r="U351" s="313"/>
      <c r="V351" s="313"/>
      <c r="W351" s="313"/>
      <c r="X351" s="313"/>
      <c r="Y351" s="313"/>
      <c r="Z351" s="313"/>
      <c r="AA351" s="313"/>
    </row>
    <row r="352" spans="1:27" ht="14.25" customHeight="1" x14ac:dyDescent="0.2">
      <c r="A352" s="346">
        <v>43111</v>
      </c>
      <c r="B352" s="313">
        <v>276.11999500000002</v>
      </c>
      <c r="C352" s="313">
        <v>134.970001</v>
      </c>
      <c r="D352" s="345">
        <f t="shared" ref="D352:E352" si="361">B352/B351-1</f>
        <v>7.2960748448869239E-3</v>
      </c>
      <c r="E352" s="345">
        <f t="shared" si="361"/>
        <v>-1.9184652138764302E-2</v>
      </c>
      <c r="F352" s="313"/>
      <c r="G352" s="313"/>
      <c r="H352" s="313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  <c r="S352" s="313"/>
      <c r="T352" s="313"/>
      <c r="U352" s="313"/>
      <c r="V352" s="313"/>
      <c r="W352" s="313"/>
      <c r="X352" s="313"/>
      <c r="Y352" s="313"/>
      <c r="Z352" s="313"/>
      <c r="AA352" s="313"/>
    </row>
    <row r="353" spans="1:27" ht="14.25" customHeight="1" x14ac:dyDescent="0.2">
      <c r="A353" s="346">
        <v>43112</v>
      </c>
      <c r="B353" s="313">
        <v>277.92001299999998</v>
      </c>
      <c r="C353" s="313">
        <v>133</v>
      </c>
      <c r="D353" s="345">
        <f t="shared" ref="D353:E353" si="362">B353/B352-1</f>
        <v>6.5189701310837123E-3</v>
      </c>
      <c r="E353" s="345">
        <f t="shared" si="362"/>
        <v>-1.4595843412640974E-2</v>
      </c>
      <c r="F353" s="313"/>
      <c r="G353" s="313"/>
      <c r="H353" s="313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  <c r="S353" s="313"/>
      <c r="T353" s="313"/>
      <c r="U353" s="313"/>
      <c r="V353" s="313"/>
      <c r="W353" s="313"/>
      <c r="X353" s="313"/>
      <c r="Y353" s="313"/>
      <c r="Z353" s="313"/>
      <c r="AA353" s="313"/>
    </row>
    <row r="354" spans="1:27" ht="14.25" customHeight="1" x14ac:dyDescent="0.2">
      <c r="A354" s="346">
        <v>43116</v>
      </c>
      <c r="B354" s="313">
        <v>276.97000100000002</v>
      </c>
      <c r="C354" s="313">
        <v>135.63000500000001</v>
      </c>
      <c r="D354" s="345">
        <f t="shared" ref="D354:E354" si="363">B354/B353-1</f>
        <v>-3.4182928740722485E-3</v>
      </c>
      <c r="E354" s="345">
        <f t="shared" si="363"/>
        <v>1.9774473684210703E-2</v>
      </c>
      <c r="F354" s="313"/>
      <c r="G354" s="313"/>
      <c r="H354" s="313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  <c r="S354" s="313"/>
      <c r="T354" s="313"/>
      <c r="U354" s="313"/>
      <c r="V354" s="313"/>
      <c r="W354" s="313"/>
      <c r="X354" s="313"/>
      <c r="Y354" s="313"/>
      <c r="Z354" s="313"/>
      <c r="AA354" s="313"/>
    </row>
    <row r="355" spans="1:27" ht="14.25" customHeight="1" x14ac:dyDescent="0.2">
      <c r="A355" s="346">
        <v>43117</v>
      </c>
      <c r="B355" s="313">
        <v>279.60998499999999</v>
      </c>
      <c r="C355" s="313">
        <v>136.63999899999999</v>
      </c>
      <c r="D355" s="345">
        <f t="shared" ref="D355:E355" si="364">B355/B354-1</f>
        <v>9.5316604342285949E-3</v>
      </c>
      <c r="E355" s="345">
        <f t="shared" si="364"/>
        <v>7.4466855619446104E-3</v>
      </c>
      <c r="F355" s="313"/>
      <c r="G355" s="313"/>
      <c r="H355" s="313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  <c r="S355" s="313"/>
      <c r="T355" s="313"/>
      <c r="U355" s="313"/>
      <c r="V355" s="313"/>
      <c r="W355" s="313"/>
      <c r="X355" s="313"/>
      <c r="Y355" s="313"/>
      <c r="Z355" s="313"/>
      <c r="AA355" s="313"/>
    </row>
    <row r="356" spans="1:27" ht="14.25" customHeight="1" x14ac:dyDescent="0.2">
      <c r="A356" s="346">
        <v>43118</v>
      </c>
      <c r="B356" s="313">
        <v>279.14001500000001</v>
      </c>
      <c r="C356" s="313">
        <v>135.19000199999999</v>
      </c>
      <c r="D356" s="345">
        <f t="shared" ref="D356:E356" si="365">B356/B355-1</f>
        <v>-1.6808054977006659E-3</v>
      </c>
      <c r="E356" s="345">
        <f t="shared" si="365"/>
        <v>-1.0611804820051196E-2</v>
      </c>
      <c r="F356" s="313"/>
      <c r="G356" s="313"/>
      <c r="H356" s="313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  <c r="S356" s="313"/>
      <c r="T356" s="313"/>
      <c r="U356" s="313"/>
      <c r="V356" s="313"/>
      <c r="W356" s="313"/>
      <c r="X356" s="313"/>
      <c r="Y356" s="313"/>
      <c r="Z356" s="313"/>
      <c r="AA356" s="313"/>
    </row>
    <row r="357" spans="1:27" ht="14.25" customHeight="1" x14ac:dyDescent="0.2">
      <c r="A357" s="346">
        <v>43119</v>
      </c>
      <c r="B357" s="313">
        <v>280.41000400000001</v>
      </c>
      <c r="C357" s="313">
        <v>137.61999499999999</v>
      </c>
      <c r="D357" s="345">
        <f t="shared" ref="D357:E357" si="366">B357/B356-1</f>
        <v>4.5496486772060862E-3</v>
      </c>
      <c r="E357" s="345">
        <f t="shared" si="366"/>
        <v>1.7974650225983435E-2</v>
      </c>
      <c r="F357" s="313"/>
      <c r="G357" s="313"/>
      <c r="H357" s="313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  <c r="S357" s="313"/>
      <c r="T357" s="313"/>
      <c r="U357" s="313"/>
      <c r="V357" s="313"/>
      <c r="W357" s="313"/>
      <c r="X357" s="313"/>
      <c r="Y357" s="313"/>
      <c r="Z357" s="313"/>
      <c r="AA357" s="313"/>
    </row>
    <row r="358" spans="1:27" ht="14.25" customHeight="1" x14ac:dyDescent="0.2">
      <c r="A358" s="346">
        <v>43122</v>
      </c>
      <c r="B358" s="313">
        <v>282.69000199999999</v>
      </c>
      <c r="C358" s="313">
        <v>139.240005</v>
      </c>
      <c r="D358" s="345">
        <f t="shared" ref="D358:E358" si="367">B358/B357-1</f>
        <v>8.1309438589072247E-3</v>
      </c>
      <c r="E358" s="345">
        <f t="shared" si="367"/>
        <v>1.1771617925142364E-2</v>
      </c>
      <c r="F358" s="313"/>
      <c r="G358" s="313"/>
      <c r="H358" s="313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  <c r="S358" s="313"/>
      <c r="T358" s="313"/>
      <c r="U358" s="313"/>
      <c r="V358" s="313"/>
      <c r="W358" s="313"/>
      <c r="X358" s="313"/>
      <c r="Y358" s="313"/>
      <c r="Z358" s="313"/>
      <c r="AA358" s="313"/>
    </row>
    <row r="359" spans="1:27" ht="14.25" customHeight="1" x14ac:dyDescent="0.2">
      <c r="A359" s="346">
        <v>43123</v>
      </c>
      <c r="B359" s="313">
        <v>283.290009</v>
      </c>
      <c r="C359" s="313">
        <v>141.199997</v>
      </c>
      <c r="D359" s="345">
        <f t="shared" ref="D359:E359" si="368">B359/B358-1</f>
        <v>2.1224910529378249E-3</v>
      </c>
      <c r="E359" s="345">
        <f t="shared" si="368"/>
        <v>1.4076356863101269E-2</v>
      </c>
      <c r="F359" s="313"/>
      <c r="G359" s="313"/>
      <c r="H359" s="313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  <c r="S359" s="313"/>
      <c r="T359" s="313"/>
      <c r="U359" s="313"/>
      <c r="V359" s="313"/>
      <c r="W359" s="313"/>
      <c r="X359" s="313"/>
      <c r="Y359" s="313"/>
      <c r="Z359" s="313"/>
      <c r="AA359" s="313"/>
    </row>
    <row r="360" spans="1:27" ht="14.25" customHeight="1" x14ac:dyDescent="0.2">
      <c r="A360" s="346">
        <v>43124</v>
      </c>
      <c r="B360" s="313">
        <v>283.17999300000002</v>
      </c>
      <c r="C360" s="313">
        <v>141.759995</v>
      </c>
      <c r="D360" s="345">
        <f t="shared" ref="D360:E360" si="369">B360/B359-1</f>
        <v>-3.8835114725122022E-4</v>
      </c>
      <c r="E360" s="345">
        <f t="shared" si="369"/>
        <v>3.9659915856797845E-3</v>
      </c>
      <c r="F360" s="313"/>
      <c r="G360" s="313"/>
      <c r="H360" s="313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  <c r="S360" s="313"/>
      <c r="T360" s="313"/>
      <c r="U360" s="313"/>
      <c r="V360" s="313"/>
      <c r="W360" s="313"/>
      <c r="X360" s="313"/>
      <c r="Y360" s="313"/>
      <c r="Z360" s="313"/>
      <c r="AA360" s="313"/>
    </row>
    <row r="361" spans="1:27" ht="14.25" customHeight="1" x14ac:dyDescent="0.2">
      <c r="A361" s="346">
        <v>43125</v>
      </c>
      <c r="B361" s="313">
        <v>283.29998799999998</v>
      </c>
      <c r="C361" s="313">
        <v>142.96000699999999</v>
      </c>
      <c r="D361" s="345">
        <f t="shared" ref="D361:E361" si="370">B361/B360-1</f>
        <v>4.2374109388432224E-4</v>
      </c>
      <c r="E361" s="345">
        <f t="shared" si="370"/>
        <v>8.4650962353658432E-3</v>
      </c>
      <c r="F361" s="313"/>
      <c r="G361" s="313"/>
      <c r="H361" s="313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  <c r="S361" s="313"/>
      <c r="T361" s="313"/>
      <c r="U361" s="313"/>
      <c r="V361" s="313"/>
      <c r="W361" s="313"/>
      <c r="X361" s="313"/>
      <c r="Y361" s="313"/>
      <c r="Z361" s="313"/>
      <c r="AA361" s="313"/>
    </row>
    <row r="362" spans="1:27" ht="14.25" customHeight="1" x14ac:dyDescent="0.2">
      <c r="A362" s="346">
        <v>43126</v>
      </c>
      <c r="B362" s="313">
        <v>286.57998700000002</v>
      </c>
      <c r="C362" s="313">
        <v>145.13000500000001</v>
      </c>
      <c r="D362" s="345">
        <f t="shared" ref="D362:E362" si="371">B362/B361-1</f>
        <v>1.1577829646784332E-2</v>
      </c>
      <c r="E362" s="345">
        <f t="shared" si="371"/>
        <v>1.5179056335664631E-2</v>
      </c>
      <c r="F362" s="313"/>
      <c r="G362" s="313"/>
      <c r="H362" s="313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  <c r="AA362" s="313"/>
    </row>
    <row r="363" spans="1:27" ht="14.25" customHeight="1" x14ac:dyDescent="0.2">
      <c r="A363" s="346">
        <v>43129</v>
      </c>
      <c r="B363" s="313">
        <v>284.67999300000002</v>
      </c>
      <c r="C363" s="313">
        <v>144.33000200000001</v>
      </c>
      <c r="D363" s="345">
        <f t="shared" ref="D363:E363" si="372">B363/B362-1</f>
        <v>-6.6298907327397849E-3</v>
      </c>
      <c r="E363" s="345">
        <f t="shared" si="372"/>
        <v>-5.5123197990657458E-3</v>
      </c>
      <c r="F363" s="313"/>
      <c r="G363" s="313"/>
      <c r="H363" s="313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  <c r="S363" s="313"/>
      <c r="T363" s="313"/>
      <c r="U363" s="313"/>
      <c r="V363" s="313"/>
      <c r="W363" s="313"/>
      <c r="X363" s="313"/>
      <c r="Y363" s="313"/>
      <c r="Z363" s="313"/>
      <c r="AA363" s="313"/>
    </row>
    <row r="364" spans="1:27" ht="14.25" customHeight="1" x14ac:dyDescent="0.2">
      <c r="A364" s="346">
        <v>43130</v>
      </c>
      <c r="B364" s="313">
        <v>281.76001000000002</v>
      </c>
      <c r="C364" s="313">
        <v>145.14999399999999</v>
      </c>
      <c r="D364" s="345">
        <f t="shared" ref="D364:E364" si="373">B364/B363-1</f>
        <v>-1.0257071349583757E-2</v>
      </c>
      <c r="E364" s="345">
        <f t="shared" si="373"/>
        <v>5.6813690060086852E-3</v>
      </c>
      <c r="F364" s="313"/>
      <c r="G364" s="313"/>
      <c r="H364" s="313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  <c r="S364" s="313"/>
      <c r="T364" s="313"/>
      <c r="U364" s="313"/>
      <c r="V364" s="313"/>
      <c r="W364" s="313"/>
      <c r="X364" s="313"/>
      <c r="Y364" s="313"/>
      <c r="Z364" s="313"/>
      <c r="AA364" s="313"/>
    </row>
    <row r="365" spans="1:27" ht="14.25" customHeight="1" x14ac:dyDescent="0.2">
      <c r="A365" s="346">
        <v>43131</v>
      </c>
      <c r="B365" s="313">
        <v>281.89999399999999</v>
      </c>
      <c r="C365" s="313">
        <v>147.699997</v>
      </c>
      <c r="D365" s="345">
        <f t="shared" ref="D365:E365" si="374">B365/B364-1</f>
        <v>4.9681997101003184E-4</v>
      </c>
      <c r="E365" s="345">
        <f t="shared" si="374"/>
        <v>1.7568054463715788E-2</v>
      </c>
      <c r="F365" s="313"/>
      <c r="G365" s="313"/>
      <c r="H365" s="313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  <c r="S365" s="313"/>
      <c r="T365" s="313"/>
      <c r="U365" s="313"/>
      <c r="V365" s="313"/>
      <c r="W365" s="313"/>
      <c r="X365" s="313"/>
      <c r="Y365" s="313"/>
      <c r="Z365" s="313"/>
      <c r="AA365" s="313"/>
    </row>
    <row r="366" spans="1:27" ht="14.25" customHeight="1" x14ac:dyDescent="0.2">
      <c r="A366" s="346">
        <v>43132</v>
      </c>
      <c r="B366" s="313">
        <v>281.57998700000002</v>
      </c>
      <c r="C366" s="313">
        <v>147.05999800000001</v>
      </c>
      <c r="D366" s="345">
        <f t="shared" ref="D366:E366" si="375">B366/B365-1</f>
        <v>-1.1351791657008281E-3</v>
      </c>
      <c r="E366" s="345">
        <f t="shared" si="375"/>
        <v>-4.3331009681739641E-3</v>
      </c>
      <c r="F366" s="313"/>
      <c r="G366" s="313"/>
      <c r="H366" s="313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  <c r="S366" s="313"/>
      <c r="T366" s="313"/>
      <c r="U366" s="313"/>
      <c r="V366" s="313"/>
      <c r="W366" s="313"/>
      <c r="X366" s="313"/>
      <c r="Y366" s="313"/>
      <c r="Z366" s="313"/>
      <c r="AA366" s="313"/>
    </row>
    <row r="367" spans="1:27" ht="14.25" customHeight="1" x14ac:dyDescent="0.2">
      <c r="A367" s="346">
        <v>43133</v>
      </c>
      <c r="B367" s="313">
        <v>275.45001200000002</v>
      </c>
      <c r="C367" s="313">
        <v>145.220001</v>
      </c>
      <c r="D367" s="345">
        <f t="shared" ref="D367:E367" si="376">B367/B366-1</f>
        <v>-2.17699242950814E-2</v>
      </c>
      <c r="E367" s="345">
        <f t="shared" si="376"/>
        <v>-1.2511879675124238E-2</v>
      </c>
      <c r="F367" s="313"/>
      <c r="G367" s="313"/>
      <c r="H367" s="313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  <c r="S367" s="313"/>
      <c r="T367" s="313"/>
      <c r="U367" s="313"/>
      <c r="V367" s="313"/>
      <c r="W367" s="313"/>
      <c r="X367" s="313"/>
      <c r="Y367" s="313"/>
      <c r="Z367" s="313"/>
      <c r="AA367" s="313"/>
    </row>
    <row r="368" spans="1:27" ht="14.25" customHeight="1" x14ac:dyDescent="0.2">
      <c r="A368" s="346">
        <v>43136</v>
      </c>
      <c r="B368" s="313">
        <v>263.92999300000002</v>
      </c>
      <c r="C368" s="313">
        <v>142.03999300000001</v>
      </c>
      <c r="D368" s="345">
        <f t="shared" ref="D368:E368" si="377">B368/B367-1</f>
        <v>-4.1822539474058895E-2</v>
      </c>
      <c r="E368" s="345">
        <f t="shared" si="377"/>
        <v>-2.1897865157017748E-2</v>
      </c>
      <c r="F368" s="313"/>
      <c r="G368" s="313"/>
      <c r="H368" s="313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  <c r="S368" s="313"/>
      <c r="T368" s="313"/>
      <c r="U368" s="313"/>
      <c r="V368" s="313"/>
      <c r="W368" s="313"/>
      <c r="X368" s="313"/>
      <c r="Y368" s="313"/>
      <c r="Z368" s="313"/>
      <c r="AA368" s="313"/>
    </row>
    <row r="369" spans="1:27" ht="14.25" customHeight="1" x14ac:dyDescent="0.2">
      <c r="A369" s="346">
        <v>43137</v>
      </c>
      <c r="B369" s="313">
        <v>269.13000499999998</v>
      </c>
      <c r="C369" s="313">
        <v>140.16999799999999</v>
      </c>
      <c r="D369" s="345">
        <f t="shared" ref="D369:E369" si="378">B369/B368-1</f>
        <v>1.9702239752645179E-2</v>
      </c>
      <c r="E369" s="345">
        <f t="shared" si="378"/>
        <v>-1.3165270995190936E-2</v>
      </c>
      <c r="F369" s="313"/>
      <c r="G369" s="313"/>
      <c r="H369" s="313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  <c r="S369" s="313"/>
      <c r="T369" s="313"/>
      <c r="U369" s="313"/>
      <c r="V369" s="313"/>
      <c r="W369" s="313"/>
      <c r="X369" s="313"/>
      <c r="Y369" s="313"/>
      <c r="Z369" s="313"/>
      <c r="AA369" s="313"/>
    </row>
    <row r="370" spans="1:27" ht="14.25" customHeight="1" x14ac:dyDescent="0.2">
      <c r="A370" s="346">
        <v>43138</v>
      </c>
      <c r="B370" s="313">
        <v>267.67001299999998</v>
      </c>
      <c r="C370" s="313">
        <v>140</v>
      </c>
      <c r="D370" s="345">
        <f t="shared" ref="D370:E370" si="379">B370/B369-1</f>
        <v>-5.4248577745911186E-3</v>
      </c>
      <c r="E370" s="345">
        <f t="shared" si="379"/>
        <v>-1.2127987616864511E-3</v>
      </c>
      <c r="F370" s="313"/>
      <c r="G370" s="313"/>
      <c r="H370" s="313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  <c r="S370" s="313"/>
      <c r="T370" s="313"/>
      <c r="U370" s="313"/>
      <c r="V370" s="313"/>
      <c r="W370" s="313"/>
      <c r="X370" s="313"/>
      <c r="Y370" s="313"/>
      <c r="Z370" s="313"/>
      <c r="AA370" s="313"/>
    </row>
    <row r="371" spans="1:27" ht="14.25" customHeight="1" x14ac:dyDescent="0.2">
      <c r="A371" s="346">
        <v>43139</v>
      </c>
      <c r="B371" s="313">
        <v>257.63000499999998</v>
      </c>
      <c r="C371" s="313">
        <v>133.570007</v>
      </c>
      <c r="D371" s="345">
        <f t="shared" ref="D371:E371" si="380">B371/B370-1</f>
        <v>-3.7508900931685574E-2</v>
      </c>
      <c r="E371" s="345">
        <f t="shared" si="380"/>
        <v>-4.5928521428571401E-2</v>
      </c>
      <c r="F371" s="313"/>
      <c r="G371" s="313"/>
      <c r="H371" s="313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  <c r="S371" s="313"/>
      <c r="T371" s="313"/>
      <c r="U371" s="313"/>
      <c r="V371" s="313"/>
      <c r="W371" s="313"/>
      <c r="X371" s="313"/>
      <c r="Y371" s="313"/>
      <c r="Z371" s="313"/>
      <c r="AA371" s="313"/>
    </row>
    <row r="372" spans="1:27" ht="14.25" customHeight="1" x14ac:dyDescent="0.2">
      <c r="A372" s="346">
        <v>43140</v>
      </c>
      <c r="B372" s="313">
        <v>261.5</v>
      </c>
      <c r="C372" s="313">
        <v>136.050003</v>
      </c>
      <c r="D372" s="345">
        <f t="shared" ref="D372:E372" si="381">B372/B371-1</f>
        <v>1.502152282301128E-2</v>
      </c>
      <c r="E372" s="345">
        <f t="shared" si="381"/>
        <v>1.856701257790605E-2</v>
      </c>
      <c r="F372" s="313"/>
      <c r="G372" s="313"/>
      <c r="H372" s="313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  <c r="S372" s="313"/>
      <c r="T372" s="313"/>
      <c r="U372" s="313"/>
      <c r="V372" s="313"/>
      <c r="W372" s="313"/>
      <c r="X372" s="313"/>
      <c r="Y372" s="313"/>
      <c r="Z372" s="313"/>
      <c r="AA372" s="313"/>
    </row>
    <row r="373" spans="1:27" ht="14.25" customHeight="1" x14ac:dyDescent="0.2">
      <c r="A373" s="346">
        <v>43143</v>
      </c>
      <c r="B373" s="313">
        <v>265.33999599999999</v>
      </c>
      <c r="C373" s="313">
        <v>136.229996</v>
      </c>
      <c r="D373" s="345">
        <f t="shared" ref="D373:E373" si="382">B373/B372-1</f>
        <v>1.4684497131931096E-2</v>
      </c>
      <c r="E373" s="345">
        <f t="shared" si="382"/>
        <v>1.3229915180523744E-3</v>
      </c>
      <c r="F373" s="313"/>
      <c r="G373" s="313"/>
      <c r="H373" s="313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  <c r="S373" s="313"/>
      <c r="T373" s="313"/>
      <c r="U373" s="313"/>
      <c r="V373" s="313"/>
      <c r="W373" s="313"/>
      <c r="X373" s="313"/>
      <c r="Y373" s="313"/>
      <c r="Z373" s="313"/>
      <c r="AA373" s="313"/>
    </row>
    <row r="374" spans="1:27" ht="14.25" customHeight="1" x14ac:dyDescent="0.2">
      <c r="A374" s="346">
        <v>43144</v>
      </c>
      <c r="B374" s="313">
        <v>266</v>
      </c>
      <c r="C374" s="313">
        <v>136.30999800000001</v>
      </c>
      <c r="D374" s="345">
        <f t="shared" ref="D374:E374" si="383">B374/B373-1</f>
        <v>2.4873898015738138E-3</v>
      </c>
      <c r="E374" s="345">
        <f t="shared" si="383"/>
        <v>5.8725686228466856E-4</v>
      </c>
      <c r="F374" s="313"/>
      <c r="G374" s="313"/>
      <c r="H374" s="313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  <c r="S374" s="313"/>
      <c r="T374" s="313"/>
      <c r="U374" s="313"/>
      <c r="V374" s="313"/>
      <c r="W374" s="313"/>
      <c r="X374" s="313"/>
      <c r="Y374" s="313"/>
      <c r="Z374" s="313"/>
      <c r="AA374" s="313"/>
    </row>
    <row r="375" spans="1:27" ht="14.25" customHeight="1" x14ac:dyDescent="0.2">
      <c r="A375" s="346">
        <v>43145</v>
      </c>
      <c r="B375" s="313">
        <v>269.58999599999999</v>
      </c>
      <c r="C375" s="313">
        <v>135.479996</v>
      </c>
      <c r="D375" s="345">
        <f t="shared" ref="D375:E375" si="384">B375/B374-1</f>
        <v>1.3496225563909725E-2</v>
      </c>
      <c r="E375" s="345">
        <f t="shared" si="384"/>
        <v>-6.0890764593805047E-3</v>
      </c>
      <c r="F375" s="313"/>
      <c r="G375" s="313"/>
      <c r="H375" s="313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  <c r="S375" s="313"/>
      <c r="T375" s="313"/>
      <c r="U375" s="313"/>
      <c r="V375" s="313"/>
      <c r="W375" s="313"/>
      <c r="X375" s="313"/>
      <c r="Y375" s="313"/>
      <c r="Z375" s="313"/>
      <c r="AA375" s="313"/>
    </row>
    <row r="376" spans="1:27" ht="14.25" customHeight="1" x14ac:dyDescent="0.2">
      <c r="A376" s="346">
        <v>43146</v>
      </c>
      <c r="B376" s="313">
        <v>273.02999899999998</v>
      </c>
      <c r="C376" s="313">
        <v>136.220001</v>
      </c>
      <c r="D376" s="345">
        <f t="shared" ref="D376:E376" si="385">B376/B375-1</f>
        <v>1.2760128532365744E-2</v>
      </c>
      <c r="E376" s="345">
        <f t="shared" si="385"/>
        <v>5.4620978878683335E-3</v>
      </c>
      <c r="F376" s="313"/>
      <c r="G376" s="313"/>
      <c r="H376" s="313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  <c r="S376" s="313"/>
      <c r="T376" s="313"/>
      <c r="U376" s="313"/>
      <c r="V376" s="313"/>
      <c r="W376" s="313"/>
      <c r="X376" s="313"/>
      <c r="Y376" s="313"/>
      <c r="Z376" s="313"/>
      <c r="AA376" s="313"/>
    </row>
    <row r="377" spans="1:27" ht="14.25" customHeight="1" x14ac:dyDescent="0.2">
      <c r="A377" s="346">
        <v>43147</v>
      </c>
      <c r="B377" s="313">
        <v>273.10998499999999</v>
      </c>
      <c r="C377" s="313">
        <v>140.020004</v>
      </c>
      <c r="D377" s="345">
        <f t="shared" ref="D377:E377" si="386">B377/B376-1</f>
        <v>2.9295681900509685E-4</v>
      </c>
      <c r="E377" s="345">
        <f t="shared" si="386"/>
        <v>2.7896072324944399E-2</v>
      </c>
      <c r="F377" s="313"/>
      <c r="G377" s="313"/>
      <c r="H377" s="313"/>
      <c r="I377" s="313"/>
      <c r="J377" s="313"/>
      <c r="K377" s="313"/>
      <c r="L377" s="313"/>
      <c r="M377" s="313"/>
      <c r="N377" s="313"/>
      <c r="O377" s="313"/>
      <c r="P377" s="313"/>
      <c r="Q377" s="313"/>
      <c r="R377" s="313"/>
      <c r="S377" s="313"/>
      <c r="T377" s="313"/>
      <c r="U377" s="313"/>
      <c r="V377" s="313"/>
      <c r="W377" s="313"/>
      <c r="X377" s="313"/>
      <c r="Y377" s="313"/>
      <c r="Z377" s="313"/>
      <c r="AA377" s="313"/>
    </row>
    <row r="378" spans="1:27" ht="14.25" customHeight="1" x14ac:dyDescent="0.2">
      <c r="A378" s="346">
        <v>43151</v>
      </c>
      <c r="B378" s="313">
        <v>271.39999399999999</v>
      </c>
      <c r="C378" s="313">
        <v>139.240005</v>
      </c>
      <c r="D378" s="345">
        <f t="shared" ref="D378:E378" si="387">B378/B377-1</f>
        <v>-6.2611808206133324E-3</v>
      </c>
      <c r="E378" s="345">
        <f t="shared" si="387"/>
        <v>-5.5706254657728049E-3</v>
      </c>
      <c r="F378" s="313"/>
      <c r="G378" s="313"/>
      <c r="H378" s="313"/>
      <c r="I378" s="313"/>
      <c r="J378" s="313"/>
      <c r="K378" s="313"/>
      <c r="L378" s="313"/>
      <c r="M378" s="313"/>
      <c r="N378" s="313"/>
      <c r="O378" s="313"/>
      <c r="P378" s="313"/>
      <c r="Q378" s="313"/>
      <c r="R378" s="313"/>
      <c r="S378" s="313"/>
      <c r="T378" s="313"/>
      <c r="U378" s="313"/>
      <c r="V378" s="313"/>
      <c r="W378" s="313"/>
      <c r="X378" s="313"/>
      <c r="Y378" s="313"/>
      <c r="Z378" s="313"/>
      <c r="AA378" s="313"/>
    </row>
    <row r="379" spans="1:27" ht="14.25" customHeight="1" x14ac:dyDescent="0.2">
      <c r="A379" s="346">
        <v>43152</v>
      </c>
      <c r="B379" s="313">
        <v>270.04998799999998</v>
      </c>
      <c r="C379" s="313">
        <v>137.44000199999999</v>
      </c>
      <c r="D379" s="345">
        <f t="shared" ref="D379:E379" si="388">B379/B378-1</f>
        <v>-4.9742300289070673E-3</v>
      </c>
      <c r="E379" s="345">
        <f t="shared" si="388"/>
        <v>-1.2927340817030286E-2</v>
      </c>
      <c r="F379" s="313"/>
      <c r="G379" s="313"/>
      <c r="H379" s="313"/>
      <c r="I379" s="313"/>
      <c r="J379" s="313"/>
      <c r="K379" s="313"/>
      <c r="L379" s="313"/>
      <c r="M379" s="313"/>
      <c r="N379" s="313"/>
      <c r="O379" s="313"/>
      <c r="P379" s="313"/>
      <c r="Q379" s="313"/>
      <c r="R379" s="313"/>
      <c r="S379" s="313"/>
      <c r="T379" s="313"/>
      <c r="U379" s="313"/>
      <c r="V379" s="313"/>
      <c r="W379" s="313"/>
      <c r="X379" s="313"/>
      <c r="Y379" s="313"/>
      <c r="Z379" s="313"/>
      <c r="AA379" s="313"/>
    </row>
    <row r="380" spans="1:27" ht="14.25" customHeight="1" x14ac:dyDescent="0.2">
      <c r="A380" s="346">
        <v>43153</v>
      </c>
      <c r="B380" s="313">
        <v>270.39999399999999</v>
      </c>
      <c r="C380" s="313">
        <v>138.979996</v>
      </c>
      <c r="D380" s="345">
        <f t="shared" ref="D380:E380" si="389">B380/B379-1</f>
        <v>1.2960785615736548E-3</v>
      </c>
      <c r="E380" s="345">
        <f t="shared" si="389"/>
        <v>1.1204845587822421E-2</v>
      </c>
      <c r="F380" s="313"/>
      <c r="G380" s="313"/>
      <c r="H380" s="313"/>
      <c r="I380" s="313"/>
      <c r="J380" s="313"/>
      <c r="K380" s="313"/>
      <c r="L380" s="313"/>
      <c r="M380" s="313"/>
      <c r="N380" s="313"/>
      <c r="O380" s="313"/>
      <c r="P380" s="313"/>
      <c r="Q380" s="313"/>
      <c r="R380" s="313"/>
      <c r="S380" s="313"/>
      <c r="T380" s="313"/>
      <c r="U380" s="313"/>
      <c r="V380" s="313"/>
      <c r="W380" s="313"/>
      <c r="X380" s="313"/>
      <c r="Y380" s="313"/>
      <c r="Z380" s="313"/>
      <c r="AA380" s="313"/>
    </row>
    <row r="381" spans="1:27" ht="14.25" customHeight="1" x14ac:dyDescent="0.2">
      <c r="A381" s="346">
        <v>43154</v>
      </c>
      <c r="B381" s="313">
        <v>274.709991</v>
      </c>
      <c r="C381" s="313">
        <v>141.86999499999999</v>
      </c>
      <c r="D381" s="345">
        <f t="shared" ref="D381:E381" si="390">B381/B380-1</f>
        <v>1.5939338371435019E-2</v>
      </c>
      <c r="E381" s="345">
        <f t="shared" si="390"/>
        <v>2.0794352303765917E-2</v>
      </c>
      <c r="F381" s="313"/>
      <c r="G381" s="313"/>
      <c r="H381" s="313"/>
      <c r="I381" s="313"/>
      <c r="J381" s="313"/>
      <c r="K381" s="313"/>
      <c r="L381" s="313"/>
      <c r="M381" s="313"/>
      <c r="N381" s="313"/>
      <c r="O381" s="313"/>
      <c r="P381" s="313"/>
      <c r="Q381" s="313"/>
      <c r="R381" s="313"/>
      <c r="S381" s="313"/>
      <c r="T381" s="313"/>
      <c r="U381" s="313"/>
      <c r="V381" s="313"/>
      <c r="W381" s="313"/>
      <c r="X381" s="313"/>
      <c r="Y381" s="313"/>
      <c r="Z381" s="313"/>
      <c r="AA381" s="313"/>
    </row>
    <row r="382" spans="1:27" ht="14.25" customHeight="1" x14ac:dyDescent="0.2">
      <c r="A382" s="346">
        <v>43157</v>
      </c>
      <c r="B382" s="313">
        <v>277.89999399999999</v>
      </c>
      <c r="C382" s="313">
        <v>142.740005</v>
      </c>
      <c r="D382" s="345">
        <f t="shared" ref="D382:E382" si="391">B382/B381-1</f>
        <v>1.1612256941903487E-2</v>
      </c>
      <c r="E382" s="345">
        <f t="shared" si="391"/>
        <v>6.1324454124356276E-3</v>
      </c>
      <c r="F382" s="313"/>
      <c r="G382" s="313"/>
      <c r="H382" s="313"/>
      <c r="I382" s="313"/>
      <c r="J382" s="313"/>
      <c r="K382" s="313"/>
      <c r="L382" s="313"/>
      <c r="M382" s="313"/>
      <c r="N382" s="313"/>
      <c r="O382" s="313"/>
      <c r="P382" s="313"/>
      <c r="Q382" s="313"/>
      <c r="R382" s="313"/>
      <c r="S382" s="313"/>
      <c r="T382" s="313"/>
      <c r="U382" s="313"/>
      <c r="V382" s="313"/>
      <c r="W382" s="313"/>
      <c r="X382" s="313"/>
      <c r="Y382" s="313"/>
      <c r="Z382" s="313"/>
      <c r="AA382" s="313"/>
    </row>
    <row r="383" spans="1:27" ht="14.25" customHeight="1" x14ac:dyDescent="0.2">
      <c r="A383" s="346">
        <v>43158</v>
      </c>
      <c r="B383" s="313">
        <v>274.42999300000002</v>
      </c>
      <c r="C383" s="313">
        <v>140.699997</v>
      </c>
      <c r="D383" s="345">
        <f t="shared" ref="D383:E383" si="392">B383/B382-1</f>
        <v>-1.2486509805394119E-2</v>
      </c>
      <c r="E383" s="345">
        <f t="shared" si="392"/>
        <v>-1.4291774755087028E-2</v>
      </c>
      <c r="F383" s="313"/>
      <c r="G383" s="313"/>
      <c r="H383" s="313"/>
      <c r="I383" s="313"/>
      <c r="J383" s="313"/>
      <c r="K383" s="313"/>
      <c r="L383" s="313"/>
      <c r="M383" s="313"/>
      <c r="N383" s="313"/>
      <c r="O383" s="313"/>
      <c r="P383" s="313"/>
      <c r="Q383" s="313"/>
      <c r="R383" s="313"/>
      <c r="S383" s="313"/>
      <c r="T383" s="313"/>
      <c r="U383" s="313"/>
      <c r="V383" s="313"/>
      <c r="W383" s="313"/>
      <c r="X383" s="313"/>
      <c r="Y383" s="313"/>
      <c r="Z383" s="313"/>
      <c r="AA383" s="313"/>
    </row>
    <row r="384" spans="1:27" ht="14.25" customHeight="1" x14ac:dyDescent="0.2">
      <c r="A384" s="346">
        <v>43159</v>
      </c>
      <c r="B384" s="313">
        <v>271.64999399999999</v>
      </c>
      <c r="C384" s="313">
        <v>139.33000200000001</v>
      </c>
      <c r="D384" s="345">
        <f t="shared" ref="D384:E384" si="393">B384/B383-1</f>
        <v>-1.0130084432863118E-2</v>
      </c>
      <c r="E384" s="345">
        <f t="shared" si="393"/>
        <v>-9.7369938110232201E-3</v>
      </c>
      <c r="F384" s="313"/>
      <c r="G384" s="313"/>
      <c r="H384" s="313"/>
      <c r="I384" s="313"/>
      <c r="J384" s="313"/>
      <c r="K384" s="313"/>
      <c r="L384" s="313"/>
      <c r="M384" s="313"/>
      <c r="N384" s="313"/>
      <c r="O384" s="313"/>
      <c r="P384" s="313"/>
      <c r="Q384" s="313"/>
      <c r="R384" s="313"/>
      <c r="S384" s="313"/>
      <c r="T384" s="313"/>
      <c r="U384" s="313"/>
      <c r="V384" s="313"/>
      <c r="W384" s="313"/>
      <c r="X384" s="313"/>
      <c r="Y384" s="313"/>
      <c r="Z384" s="313"/>
      <c r="AA384" s="313"/>
    </row>
    <row r="385" spans="1:27" ht="14.25" customHeight="1" x14ac:dyDescent="0.2">
      <c r="A385" s="346">
        <v>43160</v>
      </c>
      <c r="B385" s="313">
        <v>267.70001200000002</v>
      </c>
      <c r="C385" s="313">
        <v>135.36999499999999</v>
      </c>
      <c r="D385" s="345">
        <f t="shared" ref="D385:E385" si="394">B385/B384-1</f>
        <v>-1.4540703431784263E-2</v>
      </c>
      <c r="E385" s="345">
        <f t="shared" si="394"/>
        <v>-2.8421782409792984E-2</v>
      </c>
      <c r="F385" s="313"/>
      <c r="G385" s="313"/>
      <c r="H385" s="313"/>
      <c r="I385" s="313"/>
      <c r="J385" s="313"/>
      <c r="K385" s="313"/>
      <c r="L385" s="313"/>
      <c r="M385" s="313"/>
      <c r="N385" s="313"/>
      <c r="O385" s="313"/>
      <c r="P385" s="313"/>
      <c r="Q385" s="313"/>
      <c r="R385" s="313"/>
      <c r="S385" s="313"/>
      <c r="T385" s="313"/>
      <c r="U385" s="313"/>
      <c r="V385" s="313"/>
      <c r="W385" s="313"/>
      <c r="X385" s="313"/>
      <c r="Y385" s="313"/>
      <c r="Z385" s="313"/>
      <c r="AA385" s="313"/>
    </row>
    <row r="386" spans="1:27" ht="14.25" customHeight="1" x14ac:dyDescent="0.2">
      <c r="A386" s="346">
        <v>43161</v>
      </c>
      <c r="B386" s="313">
        <v>269.07998700000002</v>
      </c>
      <c r="C386" s="313">
        <v>134</v>
      </c>
      <c r="D386" s="345">
        <f t="shared" ref="D386:E386" si="395">B386/B385-1</f>
        <v>5.1549306617140189E-3</v>
      </c>
      <c r="E386" s="345">
        <f t="shared" si="395"/>
        <v>-1.0120374164156454E-2</v>
      </c>
      <c r="F386" s="313"/>
      <c r="G386" s="313"/>
      <c r="H386" s="313"/>
      <c r="I386" s="313"/>
      <c r="J386" s="313"/>
      <c r="K386" s="313"/>
      <c r="L386" s="313"/>
      <c r="M386" s="313"/>
      <c r="N386" s="313"/>
      <c r="O386" s="313"/>
      <c r="P386" s="313"/>
      <c r="Q386" s="313"/>
      <c r="R386" s="313"/>
      <c r="S386" s="313"/>
      <c r="T386" s="313"/>
      <c r="U386" s="313"/>
      <c r="V386" s="313"/>
      <c r="W386" s="313"/>
      <c r="X386" s="313"/>
      <c r="Y386" s="313"/>
      <c r="Z386" s="313"/>
      <c r="AA386" s="313"/>
    </row>
    <row r="387" spans="1:27" ht="14.25" customHeight="1" x14ac:dyDescent="0.2">
      <c r="A387" s="346">
        <v>43164</v>
      </c>
      <c r="B387" s="313">
        <v>272.19000199999999</v>
      </c>
      <c r="C387" s="313">
        <v>136.80999800000001</v>
      </c>
      <c r="D387" s="345">
        <f t="shared" ref="D387:E387" si="396">B387/B386-1</f>
        <v>1.155795729988629E-2</v>
      </c>
      <c r="E387" s="345">
        <f t="shared" si="396"/>
        <v>2.097013432835837E-2</v>
      </c>
      <c r="F387" s="313"/>
      <c r="G387" s="313"/>
      <c r="H387" s="313"/>
      <c r="I387" s="313"/>
      <c r="J387" s="313"/>
      <c r="K387" s="313"/>
      <c r="L387" s="313"/>
      <c r="M387" s="313"/>
      <c r="N387" s="313"/>
      <c r="O387" s="313"/>
      <c r="P387" s="313"/>
      <c r="Q387" s="313"/>
      <c r="R387" s="313"/>
      <c r="S387" s="313"/>
      <c r="T387" s="313"/>
      <c r="U387" s="313"/>
      <c r="V387" s="313"/>
      <c r="W387" s="313"/>
      <c r="X387" s="313"/>
      <c r="Y387" s="313"/>
      <c r="Z387" s="313"/>
      <c r="AA387" s="313"/>
    </row>
    <row r="388" spans="1:27" ht="14.25" customHeight="1" x14ac:dyDescent="0.2">
      <c r="A388" s="346">
        <v>43165</v>
      </c>
      <c r="B388" s="313">
        <v>272.88000499999998</v>
      </c>
      <c r="C388" s="313">
        <v>138.88000500000001</v>
      </c>
      <c r="D388" s="345">
        <f t="shared" ref="D388:E388" si="397">B388/B387-1</f>
        <v>2.5350049411438924E-3</v>
      </c>
      <c r="E388" s="345">
        <f t="shared" si="397"/>
        <v>1.5130524305687176E-2</v>
      </c>
      <c r="F388" s="313"/>
      <c r="G388" s="313"/>
      <c r="H388" s="313"/>
      <c r="I388" s="313"/>
      <c r="J388" s="313"/>
      <c r="K388" s="313"/>
      <c r="L388" s="313"/>
      <c r="M388" s="313"/>
      <c r="N388" s="313"/>
      <c r="O388" s="313"/>
      <c r="P388" s="313"/>
      <c r="Q388" s="313"/>
      <c r="R388" s="313"/>
      <c r="S388" s="313"/>
      <c r="T388" s="313"/>
      <c r="U388" s="313"/>
      <c r="V388" s="313"/>
      <c r="W388" s="313"/>
      <c r="X388" s="313"/>
      <c r="Y388" s="313"/>
      <c r="Z388" s="313"/>
      <c r="AA388" s="313"/>
    </row>
    <row r="389" spans="1:27" ht="14.25" customHeight="1" x14ac:dyDescent="0.2">
      <c r="A389" s="346">
        <v>43166</v>
      </c>
      <c r="B389" s="313">
        <v>272.77999899999998</v>
      </c>
      <c r="C389" s="313">
        <v>140</v>
      </c>
      <c r="D389" s="345">
        <f t="shared" ref="D389:E389" si="398">B389/B388-1</f>
        <v>-3.6648342922751542E-4</v>
      </c>
      <c r="E389" s="345">
        <f t="shared" si="398"/>
        <v>8.0644798363882497E-3</v>
      </c>
      <c r="F389" s="313"/>
      <c r="G389" s="313"/>
      <c r="H389" s="313"/>
      <c r="I389" s="313"/>
      <c r="J389" s="313"/>
      <c r="K389" s="313"/>
      <c r="L389" s="313"/>
      <c r="M389" s="313"/>
      <c r="N389" s="313"/>
      <c r="O389" s="313"/>
      <c r="P389" s="313"/>
      <c r="Q389" s="313"/>
      <c r="R389" s="313"/>
      <c r="S389" s="313"/>
      <c r="T389" s="313"/>
      <c r="U389" s="313"/>
      <c r="V389" s="313"/>
      <c r="W389" s="313"/>
      <c r="X389" s="313"/>
      <c r="Y389" s="313"/>
      <c r="Z389" s="313"/>
      <c r="AA389" s="313"/>
    </row>
    <row r="390" spans="1:27" ht="14.25" customHeight="1" x14ac:dyDescent="0.2">
      <c r="A390" s="346">
        <v>43167</v>
      </c>
      <c r="B390" s="313">
        <v>274.10000600000001</v>
      </c>
      <c r="C390" s="313">
        <v>142.740005</v>
      </c>
      <c r="D390" s="345">
        <f t="shared" ref="D390:E390" si="399">B390/B389-1</f>
        <v>4.839090126985468E-3</v>
      </c>
      <c r="E390" s="345">
        <f t="shared" si="399"/>
        <v>1.9571464285714324E-2</v>
      </c>
      <c r="F390" s="313"/>
      <c r="G390" s="313"/>
      <c r="H390" s="313"/>
      <c r="I390" s="313"/>
      <c r="J390" s="313"/>
      <c r="K390" s="313"/>
      <c r="L390" s="313"/>
      <c r="M390" s="313"/>
      <c r="N390" s="313"/>
      <c r="O390" s="313"/>
      <c r="P390" s="313"/>
      <c r="Q390" s="313"/>
      <c r="R390" s="313"/>
      <c r="S390" s="313"/>
      <c r="T390" s="313"/>
      <c r="U390" s="313"/>
      <c r="V390" s="313"/>
      <c r="W390" s="313"/>
      <c r="X390" s="313"/>
      <c r="Y390" s="313"/>
      <c r="Z390" s="313"/>
      <c r="AA390" s="313"/>
    </row>
    <row r="391" spans="1:27" ht="14.25" customHeight="1" x14ac:dyDescent="0.2">
      <c r="A391" s="346">
        <v>43168</v>
      </c>
      <c r="B391" s="313">
        <v>278.86999500000002</v>
      </c>
      <c r="C391" s="313">
        <v>143.58000200000001</v>
      </c>
      <c r="D391" s="345">
        <f t="shared" ref="D391:E391" si="400">B391/B390-1</f>
        <v>1.740236736806211E-2</v>
      </c>
      <c r="E391" s="345">
        <f t="shared" si="400"/>
        <v>5.8848043335855138E-3</v>
      </c>
      <c r="F391" s="313"/>
      <c r="G391" s="313"/>
      <c r="H391" s="313"/>
      <c r="I391" s="313"/>
      <c r="J391" s="313"/>
      <c r="K391" s="313"/>
      <c r="L391" s="313"/>
      <c r="M391" s="313"/>
      <c r="N391" s="313"/>
      <c r="O391" s="313"/>
      <c r="P391" s="313"/>
      <c r="Q391" s="313"/>
      <c r="R391" s="313"/>
      <c r="S391" s="313"/>
      <c r="T391" s="313"/>
      <c r="U391" s="313"/>
      <c r="V391" s="313"/>
      <c r="W391" s="313"/>
      <c r="X391" s="313"/>
      <c r="Y391" s="313"/>
      <c r="Z391" s="313"/>
      <c r="AA391" s="313"/>
    </row>
    <row r="392" spans="1:27" ht="14.25" customHeight="1" x14ac:dyDescent="0.2">
      <c r="A392" s="346">
        <v>43171</v>
      </c>
      <c r="B392" s="313">
        <v>278.51998900000001</v>
      </c>
      <c r="C392" s="313">
        <v>145.08000200000001</v>
      </c>
      <c r="D392" s="345">
        <f t="shared" ref="D392:E392" si="401">B392/B391-1</f>
        <v>-1.2550866219939172E-3</v>
      </c>
      <c r="E392" s="345">
        <f t="shared" si="401"/>
        <v>1.0447137338805756E-2</v>
      </c>
      <c r="F392" s="313"/>
      <c r="G392" s="313"/>
      <c r="H392" s="313"/>
      <c r="I392" s="313"/>
      <c r="J392" s="313"/>
      <c r="K392" s="313"/>
      <c r="L392" s="313"/>
      <c r="M392" s="313"/>
      <c r="N392" s="313"/>
      <c r="O392" s="313"/>
      <c r="P392" s="313"/>
      <c r="Q392" s="313"/>
      <c r="R392" s="313"/>
      <c r="S392" s="313"/>
      <c r="T392" s="313"/>
      <c r="U392" s="313"/>
      <c r="V392" s="313"/>
      <c r="W392" s="313"/>
      <c r="X392" s="313"/>
      <c r="Y392" s="313"/>
      <c r="Z392" s="313"/>
      <c r="AA392" s="313"/>
    </row>
    <row r="393" spans="1:27" ht="14.25" customHeight="1" x14ac:dyDescent="0.2">
      <c r="A393" s="346">
        <v>43172</v>
      </c>
      <c r="B393" s="313">
        <v>276.72000100000002</v>
      </c>
      <c r="C393" s="313">
        <v>146.25</v>
      </c>
      <c r="D393" s="345">
        <f t="shared" ref="D393:E393" si="402">B393/B392-1</f>
        <v>-6.4626887515781828E-3</v>
      </c>
      <c r="E393" s="345">
        <f t="shared" si="402"/>
        <v>8.0645022323613258E-3</v>
      </c>
      <c r="F393" s="313"/>
      <c r="G393" s="313"/>
      <c r="H393" s="313"/>
      <c r="I393" s="313"/>
      <c r="J393" s="313"/>
      <c r="K393" s="313"/>
      <c r="L393" s="313"/>
      <c r="M393" s="313"/>
      <c r="N393" s="313"/>
      <c r="O393" s="313"/>
      <c r="P393" s="313"/>
      <c r="Q393" s="313"/>
      <c r="R393" s="313"/>
      <c r="S393" s="313"/>
      <c r="T393" s="313"/>
      <c r="U393" s="313"/>
      <c r="V393" s="313"/>
      <c r="W393" s="313"/>
      <c r="X393" s="313"/>
      <c r="Y393" s="313"/>
      <c r="Z393" s="313"/>
      <c r="AA393" s="313"/>
    </row>
    <row r="394" spans="1:27" ht="14.25" customHeight="1" x14ac:dyDescent="0.2">
      <c r="A394" s="346">
        <v>43173</v>
      </c>
      <c r="B394" s="313">
        <v>275.29998799999998</v>
      </c>
      <c r="C394" s="313">
        <v>146.46000699999999</v>
      </c>
      <c r="D394" s="345">
        <f t="shared" ref="D394:E394" si="403">B394/B393-1</f>
        <v>-5.1315878681282845E-3</v>
      </c>
      <c r="E394" s="345">
        <f t="shared" si="403"/>
        <v>1.4359452991452581E-3</v>
      </c>
      <c r="F394" s="313"/>
      <c r="G394" s="313"/>
      <c r="H394" s="313"/>
      <c r="I394" s="313"/>
      <c r="J394" s="313"/>
      <c r="K394" s="313"/>
      <c r="L394" s="313"/>
      <c r="M394" s="313"/>
      <c r="N394" s="313"/>
      <c r="O394" s="313"/>
      <c r="P394" s="313"/>
      <c r="Q394" s="313"/>
      <c r="R394" s="313"/>
      <c r="S394" s="313"/>
      <c r="T394" s="313"/>
      <c r="U394" s="313"/>
      <c r="V394" s="313"/>
      <c r="W394" s="313"/>
      <c r="X394" s="313"/>
      <c r="Y394" s="313"/>
      <c r="Z394" s="313"/>
      <c r="AA394" s="313"/>
    </row>
    <row r="395" spans="1:27" ht="14.25" customHeight="1" x14ac:dyDescent="0.2">
      <c r="A395" s="346">
        <v>43174</v>
      </c>
      <c r="B395" s="313">
        <v>275</v>
      </c>
      <c r="C395" s="313">
        <v>146.64999399999999</v>
      </c>
      <c r="D395" s="345">
        <f t="shared" ref="D395:E395" si="404">B395/B394-1</f>
        <v>-1.0896767638071125E-3</v>
      </c>
      <c r="E395" s="345">
        <f t="shared" si="404"/>
        <v>1.2971937110448639E-3</v>
      </c>
      <c r="F395" s="313"/>
      <c r="G395" s="313"/>
      <c r="H395" s="313"/>
      <c r="I395" s="313"/>
      <c r="J395" s="313"/>
      <c r="K395" s="313"/>
      <c r="L395" s="313"/>
      <c r="M395" s="313"/>
      <c r="N395" s="313"/>
      <c r="O395" s="313"/>
      <c r="P395" s="313"/>
      <c r="Q395" s="313"/>
      <c r="R395" s="313"/>
      <c r="S395" s="313"/>
      <c r="T395" s="313"/>
      <c r="U395" s="313"/>
      <c r="V395" s="313"/>
      <c r="W395" s="313"/>
      <c r="X395" s="313"/>
      <c r="Y395" s="313"/>
      <c r="Z395" s="313"/>
      <c r="AA395" s="313"/>
    </row>
    <row r="396" spans="1:27" ht="14.25" customHeight="1" x14ac:dyDescent="0.2">
      <c r="A396" s="346">
        <v>43175</v>
      </c>
      <c r="B396" s="313">
        <v>274.20001200000002</v>
      </c>
      <c r="C396" s="313">
        <v>146.550003</v>
      </c>
      <c r="D396" s="345">
        <f t="shared" ref="D396:E396" si="405">B396/B395-1</f>
        <v>-2.9090472727272276E-3</v>
      </c>
      <c r="E396" s="345">
        <f t="shared" si="405"/>
        <v>-6.8183432724855386E-4</v>
      </c>
      <c r="F396" s="313"/>
      <c r="G396" s="313"/>
      <c r="H396" s="313"/>
      <c r="I396" s="313"/>
      <c r="J396" s="313"/>
      <c r="K396" s="313"/>
      <c r="L396" s="313"/>
      <c r="M396" s="313"/>
      <c r="N396" s="313"/>
      <c r="O396" s="313"/>
      <c r="P396" s="313"/>
      <c r="Q396" s="313"/>
      <c r="R396" s="313"/>
      <c r="S396" s="313"/>
      <c r="T396" s="313"/>
      <c r="U396" s="313"/>
      <c r="V396" s="313"/>
      <c r="W396" s="313"/>
      <c r="X396" s="313"/>
      <c r="Y396" s="313"/>
      <c r="Z396" s="313"/>
      <c r="AA396" s="313"/>
    </row>
    <row r="397" spans="1:27" ht="14.25" customHeight="1" x14ac:dyDescent="0.2">
      <c r="A397" s="346">
        <v>43178</v>
      </c>
      <c r="B397" s="313">
        <v>270.48998999999998</v>
      </c>
      <c r="C397" s="313">
        <v>145.11999499999999</v>
      </c>
      <c r="D397" s="345">
        <f t="shared" ref="D397:E397" si="406">B397/B396-1</f>
        <v>-1.35303495172715E-2</v>
      </c>
      <c r="E397" s="345">
        <f t="shared" si="406"/>
        <v>-9.7578162451488204E-3</v>
      </c>
      <c r="F397" s="313"/>
      <c r="G397" s="313"/>
      <c r="H397" s="313"/>
      <c r="I397" s="313"/>
      <c r="J397" s="313"/>
      <c r="K397" s="313"/>
      <c r="L397" s="313"/>
      <c r="M397" s="313"/>
      <c r="N397" s="313"/>
      <c r="O397" s="313"/>
      <c r="P397" s="313"/>
      <c r="Q397" s="313"/>
      <c r="R397" s="313"/>
      <c r="S397" s="313"/>
      <c r="T397" s="313"/>
      <c r="U397" s="313"/>
      <c r="V397" s="313"/>
      <c r="W397" s="313"/>
      <c r="X397" s="313"/>
      <c r="Y397" s="313"/>
      <c r="Z397" s="313"/>
      <c r="AA397" s="313"/>
    </row>
    <row r="398" spans="1:27" ht="14.25" customHeight="1" x14ac:dyDescent="0.2">
      <c r="A398" s="346">
        <v>43179</v>
      </c>
      <c r="B398" s="313">
        <v>270.95001200000002</v>
      </c>
      <c r="C398" s="313">
        <v>146.30999800000001</v>
      </c>
      <c r="D398" s="345">
        <f t="shared" ref="D398:E398" si="407">B398/B397-1</f>
        <v>1.7006987948058327E-3</v>
      </c>
      <c r="E398" s="345">
        <f t="shared" si="407"/>
        <v>8.200131208659478E-3</v>
      </c>
      <c r="F398" s="313"/>
      <c r="G398" s="313"/>
      <c r="H398" s="313"/>
      <c r="I398" s="313"/>
      <c r="J398" s="313"/>
      <c r="K398" s="313"/>
      <c r="L398" s="313"/>
      <c r="M398" s="313"/>
      <c r="N398" s="313"/>
      <c r="O398" s="313"/>
      <c r="P398" s="313"/>
      <c r="Q398" s="313"/>
      <c r="R398" s="313"/>
      <c r="S398" s="313"/>
      <c r="T398" s="313"/>
      <c r="U398" s="313"/>
      <c r="V398" s="313"/>
      <c r="W398" s="313"/>
      <c r="X398" s="313"/>
      <c r="Y398" s="313"/>
      <c r="Z398" s="313"/>
      <c r="AA398" s="313"/>
    </row>
    <row r="399" spans="1:27" ht="14.25" customHeight="1" x14ac:dyDescent="0.2">
      <c r="A399" s="346">
        <v>43180</v>
      </c>
      <c r="B399" s="313">
        <v>270.42999300000002</v>
      </c>
      <c r="C399" s="313">
        <v>142.33000200000001</v>
      </c>
      <c r="D399" s="345">
        <f t="shared" ref="D399:E399" si="408">B399/B398-1</f>
        <v>-1.9192433178412127E-3</v>
      </c>
      <c r="E399" s="345">
        <f t="shared" si="408"/>
        <v>-2.720248824007232E-2</v>
      </c>
      <c r="F399" s="313"/>
      <c r="G399" s="313"/>
      <c r="H399" s="313"/>
      <c r="I399" s="313"/>
      <c r="J399" s="313"/>
      <c r="K399" s="313"/>
      <c r="L399" s="313"/>
      <c r="M399" s="313"/>
      <c r="N399" s="313"/>
      <c r="O399" s="313"/>
      <c r="P399" s="313"/>
      <c r="Q399" s="313"/>
      <c r="R399" s="313"/>
      <c r="S399" s="313"/>
      <c r="T399" s="313"/>
      <c r="U399" s="313"/>
      <c r="V399" s="313"/>
      <c r="W399" s="313"/>
      <c r="X399" s="313"/>
      <c r="Y399" s="313"/>
      <c r="Z399" s="313"/>
      <c r="AA399" s="313"/>
    </row>
    <row r="400" spans="1:27" ht="14.25" customHeight="1" x14ac:dyDescent="0.2">
      <c r="A400" s="346">
        <v>43181</v>
      </c>
      <c r="B400" s="313">
        <v>263.67001299999998</v>
      </c>
      <c r="C400" s="313">
        <v>143.009995</v>
      </c>
      <c r="D400" s="345">
        <f t="shared" ref="D400:E400" si="409">B400/B399-1</f>
        <v>-2.4997153329808453E-2</v>
      </c>
      <c r="E400" s="345">
        <f t="shared" si="409"/>
        <v>4.7775802040668225E-3</v>
      </c>
      <c r="F400" s="313"/>
      <c r="G400" s="313"/>
      <c r="H400" s="313"/>
      <c r="I400" s="313"/>
      <c r="J400" s="313"/>
      <c r="K400" s="313"/>
      <c r="L400" s="313"/>
      <c r="M400" s="313"/>
      <c r="N400" s="313"/>
      <c r="O400" s="313"/>
      <c r="P400" s="313"/>
      <c r="Q400" s="313"/>
      <c r="R400" s="313"/>
      <c r="S400" s="313"/>
      <c r="T400" s="313"/>
      <c r="U400" s="313"/>
      <c r="V400" s="313"/>
      <c r="W400" s="313"/>
      <c r="X400" s="313"/>
      <c r="Y400" s="313"/>
      <c r="Z400" s="313"/>
      <c r="AA400" s="313"/>
    </row>
    <row r="401" spans="1:27" ht="14.25" customHeight="1" x14ac:dyDescent="0.2">
      <c r="A401" s="346">
        <v>43182</v>
      </c>
      <c r="B401" s="313">
        <v>258.04998799999998</v>
      </c>
      <c r="C401" s="313">
        <v>142.270004</v>
      </c>
      <c r="D401" s="345">
        <f t="shared" ref="D401:E401" si="410">B401/B400-1</f>
        <v>-2.1314615704896234E-2</v>
      </c>
      <c r="E401" s="345">
        <f t="shared" si="410"/>
        <v>-5.1744005724915221E-3</v>
      </c>
      <c r="F401" s="313"/>
      <c r="G401" s="313"/>
      <c r="H401" s="313"/>
      <c r="I401" s="313"/>
      <c r="J401" s="313"/>
      <c r="K401" s="313"/>
      <c r="L401" s="313"/>
      <c r="M401" s="313"/>
      <c r="N401" s="313"/>
      <c r="O401" s="313"/>
      <c r="P401" s="313"/>
      <c r="Q401" s="313"/>
      <c r="R401" s="313"/>
      <c r="S401" s="313"/>
      <c r="T401" s="313"/>
      <c r="U401" s="313"/>
      <c r="V401" s="313"/>
      <c r="W401" s="313"/>
      <c r="X401" s="313"/>
      <c r="Y401" s="313"/>
      <c r="Z401" s="313"/>
      <c r="AA401" s="313"/>
    </row>
    <row r="402" spans="1:27" ht="14.25" customHeight="1" x14ac:dyDescent="0.2">
      <c r="A402" s="346">
        <v>43185</v>
      </c>
      <c r="B402" s="313">
        <v>265.10998499999999</v>
      </c>
      <c r="C402" s="313">
        <v>145.21000699999999</v>
      </c>
      <c r="D402" s="345">
        <f t="shared" ref="D402:E402" si="411">B402/B401-1</f>
        <v>2.7359028592553125E-2</v>
      </c>
      <c r="E402" s="345">
        <f t="shared" si="411"/>
        <v>2.0664953379772033E-2</v>
      </c>
      <c r="F402" s="313"/>
      <c r="G402" s="313"/>
      <c r="H402" s="313"/>
      <c r="I402" s="313"/>
      <c r="J402" s="313"/>
      <c r="K402" s="313"/>
      <c r="L402" s="313"/>
      <c r="M402" s="313"/>
      <c r="N402" s="313"/>
      <c r="O402" s="313"/>
      <c r="P402" s="313"/>
      <c r="Q402" s="313"/>
      <c r="R402" s="313"/>
      <c r="S402" s="313"/>
      <c r="T402" s="313"/>
      <c r="U402" s="313"/>
      <c r="V402" s="313"/>
      <c r="W402" s="313"/>
      <c r="X402" s="313"/>
      <c r="Y402" s="313"/>
      <c r="Z402" s="313"/>
      <c r="AA402" s="313"/>
    </row>
    <row r="403" spans="1:27" ht="14.25" customHeight="1" x14ac:dyDescent="0.2">
      <c r="A403" s="346">
        <v>43186</v>
      </c>
      <c r="B403" s="313">
        <v>260.60000600000001</v>
      </c>
      <c r="C403" s="313">
        <v>144.46000699999999</v>
      </c>
      <c r="D403" s="345">
        <f t="shared" ref="D403:E403" si="412">B403/B402-1</f>
        <v>-1.7011728170102658E-2</v>
      </c>
      <c r="E403" s="345">
        <f t="shared" si="412"/>
        <v>-5.1649332955406857E-3</v>
      </c>
      <c r="F403" s="313"/>
      <c r="G403" s="313"/>
      <c r="H403" s="313"/>
      <c r="I403" s="313"/>
      <c r="J403" s="313"/>
      <c r="K403" s="313"/>
      <c r="L403" s="313"/>
      <c r="M403" s="313"/>
      <c r="N403" s="313"/>
      <c r="O403" s="313"/>
      <c r="P403" s="313"/>
      <c r="Q403" s="313"/>
      <c r="R403" s="313"/>
      <c r="S403" s="313"/>
      <c r="T403" s="313"/>
      <c r="U403" s="313"/>
      <c r="V403" s="313"/>
      <c r="W403" s="313"/>
      <c r="X403" s="313"/>
      <c r="Y403" s="313"/>
      <c r="Z403" s="313"/>
      <c r="AA403" s="313"/>
    </row>
    <row r="404" spans="1:27" ht="14.25" customHeight="1" x14ac:dyDescent="0.2">
      <c r="A404" s="346">
        <v>43187</v>
      </c>
      <c r="B404" s="313">
        <v>259.82998700000002</v>
      </c>
      <c r="C404" s="313">
        <v>144.300003</v>
      </c>
      <c r="D404" s="345">
        <f t="shared" ref="D404:E404" si="413">B404/B403-1</f>
        <v>-2.9547927178481537E-3</v>
      </c>
      <c r="E404" s="345">
        <f t="shared" si="413"/>
        <v>-1.1076006662521509E-3</v>
      </c>
      <c r="F404" s="313"/>
      <c r="G404" s="313"/>
      <c r="H404" s="313"/>
      <c r="I404" s="313"/>
      <c r="J404" s="313"/>
      <c r="K404" s="313"/>
      <c r="L404" s="313"/>
      <c r="M404" s="313"/>
      <c r="N404" s="313"/>
      <c r="O404" s="313"/>
      <c r="P404" s="313"/>
      <c r="Q404" s="313"/>
      <c r="R404" s="313"/>
      <c r="S404" s="313"/>
      <c r="T404" s="313"/>
      <c r="U404" s="313"/>
      <c r="V404" s="313"/>
      <c r="W404" s="313"/>
      <c r="X404" s="313"/>
      <c r="Y404" s="313"/>
      <c r="Z404" s="313"/>
      <c r="AA404" s="313"/>
    </row>
    <row r="405" spans="1:27" ht="14.25" customHeight="1" x14ac:dyDescent="0.2">
      <c r="A405" s="346">
        <v>43188</v>
      </c>
      <c r="B405" s="313">
        <v>263.14999399999999</v>
      </c>
      <c r="C405" s="313">
        <v>145.33999600000001</v>
      </c>
      <c r="D405" s="345">
        <f t="shared" ref="D405:E405" si="414">B405/B404-1</f>
        <v>1.2777612924254056E-2</v>
      </c>
      <c r="E405" s="345">
        <f t="shared" si="414"/>
        <v>7.2071585473216793E-3</v>
      </c>
      <c r="F405" s="313"/>
      <c r="G405" s="313"/>
      <c r="H405" s="313"/>
      <c r="I405" s="313"/>
      <c r="J405" s="313"/>
      <c r="K405" s="313"/>
      <c r="L405" s="313"/>
      <c r="M405" s="313"/>
      <c r="N405" s="313"/>
      <c r="O405" s="313"/>
      <c r="P405" s="313"/>
      <c r="Q405" s="313"/>
      <c r="R405" s="313"/>
      <c r="S405" s="313"/>
      <c r="T405" s="313"/>
      <c r="U405" s="313"/>
      <c r="V405" s="313"/>
      <c r="W405" s="313"/>
      <c r="X405" s="313"/>
      <c r="Y405" s="313"/>
      <c r="Z405" s="313"/>
      <c r="AA405" s="313"/>
    </row>
    <row r="406" spans="1:27" ht="14.25" customHeight="1" x14ac:dyDescent="0.2">
      <c r="A406" s="346">
        <v>43192</v>
      </c>
      <c r="B406" s="313">
        <v>257.47000100000002</v>
      </c>
      <c r="C406" s="313">
        <v>143.83000200000001</v>
      </c>
      <c r="D406" s="345">
        <f t="shared" ref="D406:E406" si="415">B406/B405-1</f>
        <v>-2.1584621430772222E-2</v>
      </c>
      <c r="E406" s="345">
        <f t="shared" si="415"/>
        <v>-1.0389390680869415E-2</v>
      </c>
      <c r="F406" s="313"/>
      <c r="G406" s="313"/>
      <c r="H406" s="313"/>
      <c r="I406" s="313"/>
      <c r="J406" s="313"/>
      <c r="K406" s="313"/>
      <c r="L406" s="313"/>
      <c r="M406" s="313"/>
      <c r="N406" s="313"/>
      <c r="O406" s="313"/>
      <c r="P406" s="313"/>
      <c r="Q406" s="313"/>
      <c r="R406" s="313"/>
      <c r="S406" s="313"/>
      <c r="T406" s="313"/>
      <c r="U406" s="313"/>
      <c r="V406" s="313"/>
      <c r="W406" s="313"/>
      <c r="X406" s="313"/>
      <c r="Y406" s="313"/>
      <c r="Z406" s="313"/>
      <c r="AA406" s="313"/>
    </row>
    <row r="407" spans="1:27" ht="14.25" customHeight="1" x14ac:dyDescent="0.2">
      <c r="A407" s="346">
        <v>43193</v>
      </c>
      <c r="B407" s="313">
        <v>260.76998900000001</v>
      </c>
      <c r="C407" s="313">
        <v>141.41999799999999</v>
      </c>
      <c r="D407" s="345">
        <f t="shared" ref="D407:E407" si="416">B407/B406-1</f>
        <v>1.2816980569320791E-2</v>
      </c>
      <c r="E407" s="345">
        <f t="shared" si="416"/>
        <v>-1.6755919950553921E-2</v>
      </c>
      <c r="F407" s="313"/>
      <c r="G407" s="313"/>
      <c r="H407" s="313"/>
      <c r="I407" s="313"/>
      <c r="J407" s="313"/>
      <c r="K407" s="313"/>
      <c r="L407" s="313"/>
      <c r="M407" s="313"/>
      <c r="N407" s="313"/>
      <c r="O407" s="313"/>
      <c r="P407" s="313"/>
      <c r="Q407" s="313"/>
      <c r="R407" s="313"/>
      <c r="S407" s="313"/>
      <c r="T407" s="313"/>
      <c r="U407" s="313"/>
      <c r="V407" s="313"/>
      <c r="W407" s="313"/>
      <c r="X407" s="313"/>
      <c r="Y407" s="313"/>
      <c r="Z407" s="313"/>
      <c r="AA407" s="313"/>
    </row>
    <row r="408" spans="1:27" ht="14.25" customHeight="1" x14ac:dyDescent="0.2">
      <c r="A408" s="346">
        <v>43194</v>
      </c>
      <c r="B408" s="313">
        <v>263.55999800000001</v>
      </c>
      <c r="C408" s="313">
        <v>143.050003</v>
      </c>
      <c r="D408" s="345">
        <f t="shared" ref="D408:E408" si="417">B408/B407-1</f>
        <v>1.0699118448020517E-2</v>
      </c>
      <c r="E408" s="345">
        <f t="shared" si="417"/>
        <v>1.1525986586423231E-2</v>
      </c>
      <c r="F408" s="313"/>
      <c r="G408" s="313"/>
      <c r="H408" s="313"/>
      <c r="I408" s="313"/>
      <c r="J408" s="313"/>
      <c r="K408" s="313"/>
      <c r="L408" s="313"/>
      <c r="M408" s="313"/>
      <c r="N408" s="313"/>
      <c r="O408" s="313"/>
      <c r="P408" s="313"/>
      <c r="Q408" s="313"/>
      <c r="R408" s="313"/>
      <c r="S408" s="313"/>
      <c r="T408" s="313"/>
      <c r="U408" s="313"/>
      <c r="V408" s="313"/>
      <c r="W408" s="313"/>
      <c r="X408" s="313"/>
      <c r="Y408" s="313"/>
      <c r="Z408" s="313"/>
      <c r="AA408" s="313"/>
    </row>
    <row r="409" spans="1:27" ht="14.25" customHeight="1" x14ac:dyDescent="0.2">
      <c r="A409" s="346">
        <v>43195</v>
      </c>
      <c r="B409" s="313">
        <v>265.64001500000001</v>
      </c>
      <c r="C409" s="313">
        <v>144.08000200000001</v>
      </c>
      <c r="D409" s="345">
        <f t="shared" ref="D409:E409" si="418">B409/B408-1</f>
        <v>7.8920056753073453E-3</v>
      </c>
      <c r="E409" s="345">
        <f t="shared" si="418"/>
        <v>7.2002724809450136E-3</v>
      </c>
      <c r="F409" s="313"/>
      <c r="G409" s="313"/>
      <c r="H409" s="313"/>
      <c r="I409" s="313"/>
      <c r="J409" s="313"/>
      <c r="K409" s="313"/>
      <c r="L409" s="313"/>
      <c r="M409" s="313"/>
      <c r="N409" s="313"/>
      <c r="O409" s="313"/>
      <c r="P409" s="313"/>
      <c r="Q409" s="313"/>
      <c r="R409" s="313"/>
      <c r="S409" s="313"/>
      <c r="T409" s="313"/>
      <c r="U409" s="313"/>
      <c r="V409" s="313"/>
      <c r="W409" s="313"/>
      <c r="X409" s="313"/>
      <c r="Y409" s="313"/>
      <c r="Z409" s="313"/>
      <c r="AA409" s="313"/>
    </row>
    <row r="410" spans="1:27" ht="14.25" customHeight="1" x14ac:dyDescent="0.2">
      <c r="A410" s="346">
        <v>43196</v>
      </c>
      <c r="B410" s="313">
        <v>259.72000100000002</v>
      </c>
      <c r="C410" s="313">
        <v>142.16000399999999</v>
      </c>
      <c r="D410" s="345">
        <f t="shared" ref="D410:E410" si="419">B410/B409-1</f>
        <v>-2.2285851775757481E-2</v>
      </c>
      <c r="E410" s="345">
        <f t="shared" si="419"/>
        <v>-1.3325915972710933E-2</v>
      </c>
      <c r="F410" s="313"/>
      <c r="G410" s="313"/>
      <c r="H410" s="313"/>
      <c r="I410" s="313"/>
      <c r="J410" s="313"/>
      <c r="K410" s="313"/>
      <c r="L410" s="313"/>
      <c r="M410" s="313"/>
      <c r="N410" s="313"/>
      <c r="O410" s="313"/>
      <c r="P410" s="313"/>
      <c r="Q410" s="313"/>
      <c r="R410" s="313"/>
      <c r="S410" s="313"/>
      <c r="T410" s="313"/>
      <c r="U410" s="313"/>
      <c r="V410" s="313"/>
      <c r="W410" s="313"/>
      <c r="X410" s="313"/>
      <c r="Y410" s="313"/>
      <c r="Z410" s="313"/>
      <c r="AA410" s="313"/>
    </row>
    <row r="411" spans="1:27" ht="14.25" customHeight="1" x14ac:dyDescent="0.2">
      <c r="A411" s="346">
        <v>43199</v>
      </c>
      <c r="B411" s="313">
        <v>261</v>
      </c>
      <c r="C411" s="313">
        <v>143.19000199999999</v>
      </c>
      <c r="D411" s="345">
        <f t="shared" ref="D411:E411" si="420">B411/B410-1</f>
        <v>4.9283805447082329E-3</v>
      </c>
      <c r="E411" s="345">
        <f t="shared" si="420"/>
        <v>7.2453430713184108E-3</v>
      </c>
      <c r="F411" s="313"/>
      <c r="G411" s="313"/>
      <c r="H411" s="313"/>
      <c r="I411" s="313"/>
      <c r="J411" s="313"/>
      <c r="K411" s="313"/>
      <c r="L411" s="313"/>
      <c r="M411" s="313"/>
      <c r="N411" s="313"/>
      <c r="O411" s="313"/>
      <c r="P411" s="313"/>
      <c r="Q411" s="313"/>
      <c r="R411" s="313"/>
      <c r="S411" s="313"/>
      <c r="T411" s="313"/>
      <c r="U411" s="313"/>
      <c r="V411" s="313"/>
      <c r="W411" s="313"/>
      <c r="X411" s="313"/>
      <c r="Y411" s="313"/>
      <c r="Z411" s="313"/>
      <c r="AA411" s="313"/>
    </row>
    <row r="412" spans="1:27" ht="14.25" customHeight="1" x14ac:dyDescent="0.2">
      <c r="A412" s="346">
        <v>43200</v>
      </c>
      <c r="B412" s="313">
        <v>265.14999399999999</v>
      </c>
      <c r="C412" s="313">
        <v>137.39999399999999</v>
      </c>
      <c r="D412" s="345">
        <f t="shared" ref="D412:E412" si="421">B412/B411-1</f>
        <v>1.5900360153256576E-2</v>
      </c>
      <c r="E412" s="345">
        <f t="shared" si="421"/>
        <v>-4.0435839926868611E-2</v>
      </c>
      <c r="F412" s="313"/>
      <c r="G412" s="313"/>
      <c r="H412" s="313"/>
      <c r="I412" s="313"/>
      <c r="J412" s="313"/>
      <c r="K412" s="313"/>
      <c r="L412" s="313"/>
      <c r="M412" s="313"/>
      <c r="N412" s="313"/>
      <c r="O412" s="313"/>
      <c r="P412" s="313"/>
      <c r="Q412" s="313"/>
      <c r="R412" s="313"/>
      <c r="S412" s="313"/>
      <c r="T412" s="313"/>
      <c r="U412" s="313"/>
      <c r="V412" s="313"/>
      <c r="W412" s="313"/>
      <c r="X412" s="313"/>
      <c r="Y412" s="313"/>
      <c r="Z412" s="313"/>
      <c r="AA412" s="313"/>
    </row>
    <row r="413" spans="1:27" ht="14.25" customHeight="1" x14ac:dyDescent="0.2">
      <c r="A413" s="346">
        <v>43201</v>
      </c>
      <c r="B413" s="313">
        <v>263.76001000000002</v>
      </c>
      <c r="C413" s="313">
        <v>139.91999799999999</v>
      </c>
      <c r="D413" s="345">
        <f t="shared" ref="D413:E413" si="422">B413/B412-1</f>
        <v>-5.2422554457985937E-3</v>
      </c>
      <c r="E413" s="345">
        <f t="shared" si="422"/>
        <v>1.8340641266694657E-2</v>
      </c>
      <c r="F413" s="313"/>
      <c r="G413" s="313"/>
      <c r="H413" s="313"/>
      <c r="I413" s="313"/>
      <c r="J413" s="313"/>
      <c r="K413" s="313"/>
      <c r="L413" s="313"/>
      <c r="M413" s="313"/>
      <c r="N413" s="313"/>
      <c r="O413" s="313"/>
      <c r="P413" s="313"/>
      <c r="Q413" s="313"/>
      <c r="R413" s="313"/>
      <c r="S413" s="313"/>
      <c r="T413" s="313"/>
      <c r="U413" s="313"/>
      <c r="V413" s="313"/>
      <c r="W413" s="313"/>
      <c r="X413" s="313"/>
      <c r="Y413" s="313"/>
      <c r="Z413" s="313"/>
      <c r="AA413" s="313"/>
    </row>
    <row r="414" spans="1:27" ht="14.25" customHeight="1" x14ac:dyDescent="0.2">
      <c r="A414" s="346">
        <v>43202</v>
      </c>
      <c r="B414" s="313">
        <v>265.92999300000002</v>
      </c>
      <c r="C414" s="313">
        <v>138.38000500000001</v>
      </c>
      <c r="D414" s="345">
        <f t="shared" ref="D414:E414" si="423">B414/B413-1</f>
        <v>8.227111456357683E-3</v>
      </c>
      <c r="E414" s="345">
        <f t="shared" si="423"/>
        <v>-1.1006239436910148E-2</v>
      </c>
      <c r="F414" s="313"/>
      <c r="G414" s="313"/>
      <c r="H414" s="313"/>
      <c r="I414" s="313"/>
      <c r="J414" s="313"/>
      <c r="K414" s="313"/>
      <c r="L414" s="313"/>
      <c r="M414" s="313"/>
      <c r="N414" s="313"/>
      <c r="O414" s="313"/>
      <c r="P414" s="313"/>
      <c r="Q414" s="313"/>
      <c r="R414" s="313"/>
      <c r="S414" s="313"/>
      <c r="T414" s="313"/>
      <c r="U414" s="313"/>
      <c r="V414" s="313"/>
      <c r="W414" s="313"/>
      <c r="X414" s="313"/>
      <c r="Y414" s="313"/>
      <c r="Z414" s="313"/>
      <c r="AA414" s="313"/>
    </row>
    <row r="415" spans="1:27" ht="14.25" customHeight="1" x14ac:dyDescent="0.2">
      <c r="A415" s="346">
        <v>43203</v>
      </c>
      <c r="B415" s="313">
        <v>265.14999399999999</v>
      </c>
      <c r="C415" s="313">
        <v>138.89999399999999</v>
      </c>
      <c r="D415" s="345">
        <f t="shared" ref="D415:E415" si="424">B415/B414-1</f>
        <v>-2.933099013017415E-3</v>
      </c>
      <c r="E415" s="345">
        <f t="shared" si="424"/>
        <v>3.7576888366204209E-3</v>
      </c>
      <c r="F415" s="313"/>
      <c r="G415" s="313"/>
      <c r="H415" s="313"/>
      <c r="I415" s="313"/>
      <c r="J415" s="313"/>
      <c r="K415" s="313"/>
      <c r="L415" s="313"/>
      <c r="M415" s="313"/>
      <c r="N415" s="313"/>
      <c r="O415" s="313"/>
      <c r="P415" s="313"/>
      <c r="Q415" s="313"/>
      <c r="R415" s="313"/>
      <c r="S415" s="313"/>
      <c r="T415" s="313"/>
      <c r="U415" s="313"/>
      <c r="V415" s="313"/>
      <c r="W415" s="313"/>
      <c r="X415" s="313"/>
      <c r="Y415" s="313"/>
      <c r="Z415" s="313"/>
      <c r="AA415" s="313"/>
    </row>
    <row r="416" spans="1:27" ht="14.25" customHeight="1" x14ac:dyDescent="0.2">
      <c r="A416" s="346">
        <v>43206</v>
      </c>
      <c r="B416" s="313">
        <v>267.32998700000002</v>
      </c>
      <c r="C416" s="313">
        <v>138.520004</v>
      </c>
      <c r="D416" s="345">
        <f t="shared" ref="D416:E416" si="425">B416/B415-1</f>
        <v>8.2217350531037514E-3</v>
      </c>
      <c r="E416" s="345">
        <f t="shared" si="425"/>
        <v>-2.7357092614416212E-3</v>
      </c>
      <c r="F416" s="313"/>
      <c r="G416" s="313"/>
      <c r="H416" s="313"/>
      <c r="I416" s="313"/>
      <c r="J416" s="313"/>
      <c r="K416" s="313"/>
      <c r="L416" s="313"/>
      <c r="M416" s="313"/>
      <c r="N416" s="313"/>
      <c r="O416" s="313"/>
      <c r="P416" s="313"/>
      <c r="Q416" s="313"/>
      <c r="R416" s="313"/>
      <c r="S416" s="313"/>
      <c r="T416" s="313"/>
      <c r="U416" s="313"/>
      <c r="V416" s="313"/>
      <c r="W416" s="313"/>
      <c r="X416" s="313"/>
      <c r="Y416" s="313"/>
      <c r="Z416" s="313"/>
      <c r="AA416" s="313"/>
    </row>
    <row r="417" spans="1:27" ht="14.25" customHeight="1" x14ac:dyDescent="0.2">
      <c r="A417" s="346">
        <v>43207</v>
      </c>
      <c r="B417" s="313">
        <v>270.19000199999999</v>
      </c>
      <c r="C417" s="313">
        <v>141.020004</v>
      </c>
      <c r="D417" s="345">
        <f t="shared" ref="D417:E417" si="426">B417/B416-1</f>
        <v>1.0698444391126216E-2</v>
      </c>
      <c r="E417" s="345">
        <f t="shared" si="426"/>
        <v>1.8047934795035081E-2</v>
      </c>
      <c r="F417" s="313"/>
      <c r="G417" s="313"/>
      <c r="H417" s="313"/>
      <c r="I417" s="313"/>
      <c r="J417" s="313"/>
      <c r="K417" s="313"/>
      <c r="L417" s="313"/>
      <c r="M417" s="313"/>
      <c r="N417" s="313"/>
      <c r="O417" s="313"/>
      <c r="P417" s="313"/>
      <c r="Q417" s="313"/>
      <c r="R417" s="313"/>
      <c r="S417" s="313"/>
      <c r="T417" s="313"/>
      <c r="U417" s="313"/>
      <c r="V417" s="313"/>
      <c r="W417" s="313"/>
      <c r="X417" s="313"/>
      <c r="Y417" s="313"/>
      <c r="Z417" s="313"/>
      <c r="AA417" s="313"/>
    </row>
    <row r="418" spans="1:27" ht="14.25" customHeight="1" x14ac:dyDescent="0.2">
      <c r="A418" s="346">
        <v>43208</v>
      </c>
      <c r="B418" s="313">
        <v>270.39001500000001</v>
      </c>
      <c r="C418" s="313">
        <v>139.80999800000001</v>
      </c>
      <c r="D418" s="345">
        <f t="shared" ref="D418:E418" si="427">B418/B417-1</f>
        <v>7.4026795410442325E-4</v>
      </c>
      <c r="E418" s="345">
        <f t="shared" si="427"/>
        <v>-8.5803855175042854E-3</v>
      </c>
      <c r="F418" s="313"/>
      <c r="G418" s="313"/>
      <c r="H418" s="313"/>
      <c r="I418" s="313"/>
      <c r="J418" s="313"/>
      <c r="K418" s="313"/>
      <c r="L418" s="313"/>
      <c r="M418" s="313"/>
      <c r="N418" s="313"/>
      <c r="O418" s="313"/>
      <c r="P418" s="313"/>
      <c r="Q418" s="313"/>
      <c r="R418" s="313"/>
      <c r="S418" s="313"/>
      <c r="T418" s="313"/>
      <c r="U418" s="313"/>
      <c r="V418" s="313"/>
      <c r="W418" s="313"/>
      <c r="X418" s="313"/>
      <c r="Y418" s="313"/>
      <c r="Z418" s="313"/>
      <c r="AA418" s="313"/>
    </row>
    <row r="419" spans="1:27" ht="14.25" customHeight="1" x14ac:dyDescent="0.2">
      <c r="A419" s="346">
        <v>43209</v>
      </c>
      <c r="B419" s="313">
        <v>268.89001500000001</v>
      </c>
      <c r="C419" s="313">
        <v>137.41999799999999</v>
      </c>
      <c r="D419" s="345">
        <f t="shared" ref="D419:E419" si="428">B419/B418-1</f>
        <v>-5.547542130947436E-3</v>
      </c>
      <c r="E419" s="345">
        <f t="shared" si="428"/>
        <v>-1.7094628668831047E-2</v>
      </c>
      <c r="F419" s="313"/>
      <c r="G419" s="313"/>
      <c r="H419" s="313"/>
      <c r="I419" s="313"/>
      <c r="J419" s="313"/>
      <c r="K419" s="313"/>
      <c r="L419" s="313"/>
      <c r="M419" s="313"/>
      <c r="N419" s="313"/>
      <c r="O419" s="313"/>
      <c r="P419" s="313"/>
      <c r="Q419" s="313"/>
      <c r="R419" s="313"/>
      <c r="S419" s="313"/>
      <c r="T419" s="313"/>
      <c r="U419" s="313"/>
      <c r="V419" s="313"/>
      <c r="W419" s="313"/>
      <c r="X419" s="313"/>
      <c r="Y419" s="313"/>
      <c r="Z419" s="313"/>
      <c r="AA419" s="313"/>
    </row>
    <row r="420" spans="1:27" ht="14.25" customHeight="1" x14ac:dyDescent="0.2">
      <c r="A420" s="346">
        <v>43210</v>
      </c>
      <c r="B420" s="313">
        <v>266.60998499999999</v>
      </c>
      <c r="C420" s="313">
        <v>136.61999499999999</v>
      </c>
      <c r="D420" s="345">
        <f t="shared" ref="D420:E420" si="429">B420/B419-1</f>
        <v>-8.4794149012934472E-3</v>
      </c>
      <c r="E420" s="345">
        <f t="shared" si="429"/>
        <v>-5.8215908284324769E-3</v>
      </c>
      <c r="F420" s="313"/>
      <c r="G420" s="313"/>
      <c r="H420" s="313"/>
      <c r="I420" s="313"/>
      <c r="J420" s="313"/>
      <c r="K420" s="313"/>
      <c r="L420" s="313"/>
      <c r="M420" s="313"/>
      <c r="N420" s="313"/>
      <c r="O420" s="313"/>
      <c r="P420" s="313"/>
      <c r="Q420" s="313"/>
      <c r="R420" s="313"/>
      <c r="S420" s="313"/>
      <c r="T420" s="313"/>
      <c r="U420" s="313"/>
      <c r="V420" s="313"/>
      <c r="W420" s="313"/>
      <c r="X420" s="313"/>
      <c r="Y420" s="313"/>
      <c r="Z420" s="313"/>
      <c r="AA420" s="313"/>
    </row>
    <row r="421" spans="1:27" ht="14.25" customHeight="1" x14ac:dyDescent="0.2">
      <c r="A421" s="346">
        <v>43213</v>
      </c>
      <c r="B421" s="313">
        <v>266.57000699999998</v>
      </c>
      <c r="C421" s="313">
        <v>138.199997</v>
      </c>
      <c r="D421" s="345">
        <f t="shared" ref="D421:E421" si="430">B421/B420-1</f>
        <v>-1.4994937267642783E-4</v>
      </c>
      <c r="E421" s="345">
        <f t="shared" si="430"/>
        <v>1.1564939670799967E-2</v>
      </c>
      <c r="F421" s="313"/>
      <c r="G421" s="313"/>
      <c r="H421" s="313"/>
      <c r="I421" s="313"/>
      <c r="J421" s="313"/>
      <c r="K421" s="313"/>
      <c r="L421" s="313"/>
      <c r="M421" s="313"/>
      <c r="N421" s="313"/>
      <c r="O421" s="313"/>
      <c r="P421" s="313"/>
      <c r="Q421" s="313"/>
      <c r="R421" s="313"/>
      <c r="S421" s="313"/>
      <c r="T421" s="313"/>
      <c r="U421" s="313"/>
      <c r="V421" s="313"/>
      <c r="W421" s="313"/>
      <c r="X421" s="313"/>
      <c r="Y421" s="313"/>
      <c r="Z421" s="313"/>
      <c r="AA421" s="313"/>
    </row>
    <row r="422" spans="1:27" ht="14.25" customHeight="1" x14ac:dyDescent="0.2">
      <c r="A422" s="346">
        <v>43214</v>
      </c>
      <c r="B422" s="313">
        <v>262.98001099999999</v>
      </c>
      <c r="C422" s="313">
        <v>136.96000699999999</v>
      </c>
      <c r="D422" s="345">
        <f t="shared" ref="D422:E422" si="431">B422/B421-1</f>
        <v>-1.3467366566862093E-2</v>
      </c>
      <c r="E422" s="345">
        <f t="shared" si="431"/>
        <v>-8.9724314538154326E-3</v>
      </c>
      <c r="F422" s="313"/>
      <c r="G422" s="313"/>
      <c r="H422" s="313"/>
      <c r="I422" s="313"/>
      <c r="J422" s="313"/>
      <c r="K422" s="313"/>
      <c r="L422" s="313"/>
      <c r="M422" s="313"/>
      <c r="N422" s="313"/>
      <c r="O422" s="313"/>
      <c r="P422" s="313"/>
      <c r="Q422" s="313"/>
      <c r="R422" s="313"/>
      <c r="S422" s="313"/>
      <c r="T422" s="313"/>
      <c r="U422" s="313"/>
      <c r="V422" s="313"/>
      <c r="W422" s="313"/>
      <c r="X422" s="313"/>
      <c r="Y422" s="313"/>
      <c r="Z422" s="313"/>
      <c r="AA422" s="313"/>
    </row>
    <row r="423" spans="1:27" ht="14.25" customHeight="1" x14ac:dyDescent="0.2">
      <c r="A423" s="346">
        <v>43215</v>
      </c>
      <c r="B423" s="313">
        <v>263.63000499999998</v>
      </c>
      <c r="C423" s="313">
        <v>135.729996</v>
      </c>
      <c r="D423" s="345">
        <f t="shared" ref="D423:E423" si="432">B423/B422-1</f>
        <v>2.471647930686327E-3</v>
      </c>
      <c r="E423" s="345">
        <f t="shared" si="432"/>
        <v>-8.9808041554786389E-3</v>
      </c>
      <c r="F423" s="313"/>
      <c r="G423" s="313"/>
      <c r="H423" s="313"/>
      <c r="I423" s="313"/>
      <c r="J423" s="313"/>
      <c r="K423" s="313"/>
      <c r="L423" s="313"/>
      <c r="M423" s="313"/>
      <c r="N423" s="313"/>
      <c r="O423" s="313"/>
      <c r="P423" s="313"/>
      <c r="Q423" s="313"/>
      <c r="R423" s="313"/>
      <c r="S423" s="313"/>
      <c r="T423" s="313"/>
      <c r="U423" s="313"/>
      <c r="V423" s="313"/>
      <c r="W423" s="313"/>
      <c r="X423" s="313"/>
      <c r="Y423" s="313"/>
      <c r="Z423" s="313"/>
      <c r="AA423" s="313"/>
    </row>
    <row r="424" spans="1:27" ht="14.25" customHeight="1" x14ac:dyDescent="0.2">
      <c r="A424" s="346">
        <v>43216</v>
      </c>
      <c r="B424" s="313">
        <v>266.30999800000001</v>
      </c>
      <c r="C424" s="313">
        <v>136.83999600000001</v>
      </c>
      <c r="D424" s="345">
        <f t="shared" ref="D424:E424" si="433">B424/B423-1</f>
        <v>1.0165735876688231E-2</v>
      </c>
      <c r="E424" s="345">
        <f t="shared" si="433"/>
        <v>8.17800068306207E-3</v>
      </c>
      <c r="F424" s="313"/>
      <c r="G424" s="313"/>
      <c r="H424" s="313"/>
      <c r="I424" s="313"/>
      <c r="J424" s="313"/>
      <c r="K424" s="313"/>
      <c r="L424" s="313"/>
      <c r="M424" s="313"/>
      <c r="N424" s="313"/>
      <c r="O424" s="313"/>
      <c r="P424" s="313"/>
      <c r="Q424" s="313"/>
      <c r="R424" s="313"/>
      <c r="S424" s="313"/>
      <c r="T424" s="313"/>
      <c r="U424" s="313"/>
      <c r="V424" s="313"/>
      <c r="W424" s="313"/>
      <c r="X424" s="313"/>
      <c r="Y424" s="313"/>
      <c r="Z424" s="313"/>
      <c r="AA424" s="313"/>
    </row>
    <row r="425" spans="1:27" ht="14.25" customHeight="1" x14ac:dyDescent="0.2">
      <c r="A425" s="346">
        <v>43217</v>
      </c>
      <c r="B425" s="313">
        <v>266.55999800000001</v>
      </c>
      <c r="C425" s="313">
        <v>135.240005</v>
      </c>
      <c r="D425" s="345">
        <f t="shared" ref="D425:E425" si="434">B425/B424-1</f>
        <v>9.3875559264589015E-4</v>
      </c>
      <c r="E425" s="345">
        <f t="shared" si="434"/>
        <v>-1.1692422148273152E-2</v>
      </c>
      <c r="F425" s="313"/>
      <c r="G425" s="313"/>
      <c r="H425" s="313"/>
      <c r="I425" s="313"/>
      <c r="J425" s="313"/>
      <c r="K425" s="313"/>
      <c r="L425" s="313"/>
      <c r="M425" s="313"/>
      <c r="N425" s="313"/>
      <c r="O425" s="313"/>
      <c r="P425" s="313"/>
      <c r="Q425" s="313"/>
      <c r="R425" s="313"/>
      <c r="S425" s="313"/>
      <c r="T425" s="313"/>
      <c r="U425" s="313"/>
      <c r="V425" s="313"/>
      <c r="W425" s="313"/>
      <c r="X425" s="313"/>
      <c r="Y425" s="313"/>
      <c r="Z425" s="313"/>
      <c r="AA425" s="313"/>
    </row>
    <row r="426" spans="1:27" ht="14.25" customHeight="1" x14ac:dyDescent="0.2">
      <c r="A426" s="346">
        <v>43220</v>
      </c>
      <c r="B426" s="313">
        <v>264.51001000000002</v>
      </c>
      <c r="C426" s="313">
        <v>136.36000100000001</v>
      </c>
      <c r="D426" s="345">
        <f t="shared" ref="D426:E426" si="435">B426/B425-1</f>
        <v>-7.6905312701870399E-3</v>
      </c>
      <c r="E426" s="345">
        <f t="shared" si="435"/>
        <v>8.2815436157370748E-3</v>
      </c>
      <c r="F426" s="313"/>
      <c r="G426" s="313"/>
      <c r="H426" s="313"/>
      <c r="I426" s="313"/>
      <c r="J426" s="313"/>
      <c r="K426" s="313"/>
      <c r="L426" s="313"/>
      <c r="M426" s="313"/>
      <c r="N426" s="313"/>
      <c r="O426" s="313"/>
      <c r="P426" s="313"/>
      <c r="Q426" s="313"/>
      <c r="R426" s="313"/>
      <c r="S426" s="313"/>
      <c r="T426" s="313"/>
      <c r="U426" s="313"/>
      <c r="V426" s="313"/>
      <c r="W426" s="313"/>
      <c r="X426" s="313"/>
      <c r="Y426" s="313"/>
      <c r="Z426" s="313"/>
      <c r="AA426" s="313"/>
    </row>
    <row r="427" spans="1:27" ht="14.25" customHeight="1" x14ac:dyDescent="0.2">
      <c r="A427" s="346">
        <v>43221</v>
      </c>
      <c r="B427" s="313">
        <v>264.98001099999999</v>
      </c>
      <c r="C427" s="313">
        <v>135.10000600000001</v>
      </c>
      <c r="D427" s="345">
        <f t="shared" ref="D427:E427" si="436">B427/B426-1</f>
        <v>1.7768741530801435E-3</v>
      </c>
      <c r="E427" s="345">
        <f t="shared" si="436"/>
        <v>-9.2402096711630133E-3</v>
      </c>
      <c r="F427" s="313"/>
      <c r="G427" s="313"/>
      <c r="H427" s="313"/>
      <c r="I427" s="313"/>
      <c r="J427" s="313"/>
      <c r="K427" s="313"/>
      <c r="L427" s="313"/>
      <c r="M427" s="313"/>
      <c r="N427" s="313"/>
      <c r="O427" s="313"/>
      <c r="P427" s="313"/>
      <c r="Q427" s="313"/>
      <c r="R427" s="313"/>
      <c r="S427" s="313"/>
      <c r="T427" s="313"/>
      <c r="U427" s="313"/>
      <c r="V427" s="313"/>
      <c r="W427" s="313"/>
      <c r="X427" s="313"/>
      <c r="Y427" s="313"/>
      <c r="Z427" s="313"/>
      <c r="AA427" s="313"/>
    </row>
    <row r="428" spans="1:27" ht="14.25" customHeight="1" x14ac:dyDescent="0.2">
      <c r="A428" s="346">
        <v>43222</v>
      </c>
      <c r="B428" s="313">
        <v>263.20001200000002</v>
      </c>
      <c r="C428" s="313">
        <v>136.470001</v>
      </c>
      <c r="D428" s="345">
        <f t="shared" ref="D428:E428" si="437">B428/B427-1</f>
        <v>-6.717484059580503E-3</v>
      </c>
      <c r="E428" s="345">
        <f t="shared" si="437"/>
        <v>1.0140599105524783E-2</v>
      </c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  <c r="Z428" s="313"/>
      <c r="AA428" s="313"/>
    </row>
    <row r="429" spans="1:27" ht="14.25" customHeight="1" x14ac:dyDescent="0.2">
      <c r="A429" s="346">
        <v>43223</v>
      </c>
      <c r="B429" s="313">
        <v>262.61999500000002</v>
      </c>
      <c r="C429" s="313">
        <v>137.58000200000001</v>
      </c>
      <c r="D429" s="345">
        <f t="shared" ref="D429:E429" si="438">B429/B428-1</f>
        <v>-2.2037119056058652E-3</v>
      </c>
      <c r="E429" s="345">
        <f t="shared" si="438"/>
        <v>8.133663016533621E-3</v>
      </c>
      <c r="F429" s="313"/>
      <c r="G429" s="313"/>
      <c r="H429" s="313"/>
      <c r="I429" s="313"/>
      <c r="J429" s="313"/>
      <c r="K429" s="313"/>
      <c r="L429" s="313"/>
      <c r="M429" s="313"/>
      <c r="N429" s="313"/>
      <c r="O429" s="313"/>
      <c r="P429" s="313"/>
      <c r="Q429" s="313"/>
      <c r="R429" s="313"/>
      <c r="S429" s="313"/>
      <c r="T429" s="313"/>
      <c r="U429" s="313"/>
      <c r="V429" s="313"/>
      <c r="W429" s="313"/>
      <c r="X429" s="313"/>
      <c r="Y429" s="313"/>
      <c r="Z429" s="313"/>
      <c r="AA429" s="313"/>
    </row>
    <row r="430" spans="1:27" ht="14.25" customHeight="1" x14ac:dyDescent="0.2">
      <c r="A430" s="346">
        <v>43224</v>
      </c>
      <c r="B430" s="313">
        <v>266.01998900000001</v>
      </c>
      <c r="C430" s="313">
        <v>138.85000600000001</v>
      </c>
      <c r="D430" s="345">
        <f t="shared" ref="D430:E430" si="439">B430/B429-1</f>
        <v>1.2946439969279577E-2</v>
      </c>
      <c r="E430" s="345">
        <f t="shared" si="439"/>
        <v>9.231021816673568E-3</v>
      </c>
      <c r="F430" s="313"/>
      <c r="G430" s="313"/>
      <c r="H430" s="313"/>
      <c r="I430" s="313"/>
      <c r="J430" s="313"/>
      <c r="K430" s="313"/>
      <c r="L430" s="313"/>
      <c r="M430" s="313"/>
      <c r="N430" s="313"/>
      <c r="O430" s="313"/>
      <c r="P430" s="313"/>
      <c r="Q430" s="313"/>
      <c r="R430" s="313"/>
      <c r="S430" s="313"/>
      <c r="T430" s="313"/>
      <c r="U430" s="313"/>
      <c r="V430" s="313"/>
      <c r="W430" s="313"/>
      <c r="X430" s="313"/>
      <c r="Y430" s="313"/>
      <c r="Z430" s="313"/>
      <c r="AA430" s="313"/>
    </row>
    <row r="431" spans="1:27" ht="14.25" customHeight="1" x14ac:dyDescent="0.2">
      <c r="A431" s="346">
        <v>43227</v>
      </c>
      <c r="B431" s="313">
        <v>266.92001299999998</v>
      </c>
      <c r="C431" s="313">
        <v>138.13999899999999</v>
      </c>
      <c r="D431" s="345">
        <f t="shared" ref="D431:E431" si="440">B431/B430-1</f>
        <v>3.3832946290361932E-3</v>
      </c>
      <c r="E431" s="345">
        <f t="shared" si="440"/>
        <v>-5.1134819540448184E-3</v>
      </c>
      <c r="F431" s="313"/>
      <c r="G431" s="313"/>
      <c r="H431" s="313"/>
      <c r="I431" s="313"/>
      <c r="J431" s="313"/>
      <c r="K431" s="313"/>
      <c r="L431" s="313"/>
      <c r="M431" s="313"/>
      <c r="N431" s="313"/>
      <c r="O431" s="313"/>
      <c r="P431" s="313"/>
      <c r="Q431" s="313"/>
      <c r="R431" s="313"/>
      <c r="S431" s="313"/>
      <c r="T431" s="313"/>
      <c r="U431" s="313"/>
      <c r="V431" s="313"/>
      <c r="W431" s="313"/>
      <c r="X431" s="313"/>
      <c r="Y431" s="313"/>
      <c r="Z431" s="313"/>
      <c r="AA431" s="313"/>
    </row>
    <row r="432" spans="1:27" ht="14.25" customHeight="1" x14ac:dyDescent="0.2">
      <c r="A432" s="346">
        <v>43228</v>
      </c>
      <c r="B432" s="313">
        <v>266.92001299999998</v>
      </c>
      <c r="C432" s="313">
        <v>137.009995</v>
      </c>
      <c r="D432" s="345">
        <f t="shared" ref="D432:E432" si="441">B432/B431-1</f>
        <v>0</v>
      </c>
      <c r="E432" s="345">
        <f t="shared" si="441"/>
        <v>-8.1801361530340344E-3</v>
      </c>
      <c r="F432" s="313"/>
      <c r="G432" s="313"/>
      <c r="H432" s="313"/>
      <c r="I432" s="313"/>
      <c r="J432" s="313"/>
      <c r="K432" s="313"/>
      <c r="L432" s="313"/>
      <c r="M432" s="313"/>
      <c r="N432" s="313"/>
      <c r="O432" s="313"/>
      <c r="P432" s="313"/>
      <c r="Q432" s="313"/>
      <c r="R432" s="313"/>
      <c r="S432" s="313"/>
      <c r="T432" s="313"/>
      <c r="U432" s="313"/>
      <c r="V432" s="313"/>
      <c r="W432" s="313"/>
      <c r="X432" s="313"/>
      <c r="Y432" s="313"/>
      <c r="Z432" s="313"/>
      <c r="AA432" s="313"/>
    </row>
    <row r="433" spans="1:27" ht="14.25" customHeight="1" x14ac:dyDescent="0.2">
      <c r="A433" s="346">
        <v>43229</v>
      </c>
      <c r="B433" s="313">
        <v>269.5</v>
      </c>
      <c r="C433" s="313">
        <v>137.949997</v>
      </c>
      <c r="D433" s="345">
        <f t="shared" ref="D433:E433" si="442">B433/B432-1</f>
        <v>9.6657682989098603E-3</v>
      </c>
      <c r="E433" s="345">
        <f t="shared" si="442"/>
        <v>6.860827927188673E-3</v>
      </c>
      <c r="F433" s="313"/>
      <c r="G433" s="313"/>
      <c r="H433" s="313"/>
      <c r="I433" s="313"/>
      <c r="J433" s="313"/>
      <c r="K433" s="313"/>
      <c r="L433" s="313"/>
      <c r="M433" s="313"/>
      <c r="N433" s="313"/>
      <c r="O433" s="313"/>
      <c r="P433" s="313"/>
      <c r="Q433" s="313"/>
      <c r="R433" s="313"/>
      <c r="S433" s="313"/>
      <c r="T433" s="313"/>
      <c r="U433" s="313"/>
      <c r="V433" s="313"/>
      <c r="W433" s="313"/>
      <c r="X433" s="313"/>
      <c r="Y433" s="313"/>
      <c r="Z433" s="313"/>
      <c r="AA433" s="313"/>
    </row>
    <row r="434" spans="1:27" ht="14.25" customHeight="1" x14ac:dyDescent="0.2">
      <c r="A434" s="346">
        <v>43230</v>
      </c>
      <c r="B434" s="313">
        <v>272.01998900000001</v>
      </c>
      <c r="C434" s="313">
        <v>139.88999899999999</v>
      </c>
      <c r="D434" s="345">
        <f t="shared" ref="D434:E434" si="443">B434/B433-1</f>
        <v>9.3506085343229017E-3</v>
      </c>
      <c r="E434" s="345">
        <f t="shared" si="443"/>
        <v>1.4063081132216215E-2</v>
      </c>
      <c r="F434" s="313"/>
      <c r="G434" s="313"/>
      <c r="H434" s="313"/>
      <c r="I434" s="313"/>
      <c r="J434" s="313"/>
      <c r="K434" s="313"/>
      <c r="L434" s="313"/>
      <c r="M434" s="313"/>
      <c r="N434" s="313"/>
      <c r="O434" s="313"/>
      <c r="P434" s="313"/>
      <c r="Q434" s="313"/>
      <c r="R434" s="313"/>
      <c r="S434" s="313"/>
      <c r="T434" s="313"/>
      <c r="U434" s="313"/>
      <c r="V434" s="313"/>
      <c r="W434" s="313"/>
      <c r="X434" s="313"/>
      <c r="Y434" s="313"/>
      <c r="Z434" s="313"/>
      <c r="AA434" s="313"/>
    </row>
    <row r="435" spans="1:27" ht="14.25" customHeight="1" x14ac:dyDescent="0.2">
      <c r="A435" s="346">
        <v>43231</v>
      </c>
      <c r="B435" s="313">
        <v>272.85000600000001</v>
      </c>
      <c r="C435" s="313">
        <v>138.86000100000001</v>
      </c>
      <c r="D435" s="345">
        <f t="shared" ref="D435:E435" si="444">B435/B434-1</f>
        <v>3.0513088506889385E-3</v>
      </c>
      <c r="E435" s="345">
        <f t="shared" si="444"/>
        <v>-7.3629137705546466E-3</v>
      </c>
      <c r="F435" s="313"/>
      <c r="G435" s="313"/>
      <c r="H435" s="313"/>
      <c r="I435" s="313"/>
      <c r="J435" s="313"/>
      <c r="K435" s="313"/>
      <c r="L435" s="313"/>
      <c r="M435" s="313"/>
      <c r="N435" s="313"/>
      <c r="O435" s="313"/>
      <c r="P435" s="313"/>
      <c r="Q435" s="313"/>
      <c r="R435" s="313"/>
      <c r="S435" s="313"/>
      <c r="T435" s="313"/>
      <c r="U435" s="313"/>
      <c r="V435" s="313"/>
      <c r="W435" s="313"/>
      <c r="X435" s="313"/>
      <c r="Y435" s="313"/>
      <c r="Z435" s="313"/>
      <c r="AA435" s="313"/>
    </row>
    <row r="436" spans="1:27" ht="14.25" customHeight="1" x14ac:dyDescent="0.2">
      <c r="A436" s="346">
        <v>43234</v>
      </c>
      <c r="B436" s="313">
        <v>272.98001099999999</v>
      </c>
      <c r="C436" s="313">
        <v>138.28999300000001</v>
      </c>
      <c r="D436" s="345">
        <f t="shared" ref="D436:E436" si="445">B436/B435-1</f>
        <v>4.7647057775757062E-4</v>
      </c>
      <c r="E436" s="345">
        <f t="shared" si="445"/>
        <v>-4.1049113920141878E-3</v>
      </c>
      <c r="F436" s="313"/>
      <c r="G436" s="313"/>
      <c r="H436" s="313"/>
      <c r="I436" s="313"/>
      <c r="J436" s="313"/>
      <c r="K436" s="313"/>
      <c r="L436" s="313"/>
      <c r="M436" s="313"/>
      <c r="N436" s="313"/>
      <c r="O436" s="313"/>
      <c r="P436" s="313"/>
      <c r="Q436" s="313"/>
      <c r="R436" s="313"/>
      <c r="S436" s="313"/>
      <c r="T436" s="313"/>
      <c r="U436" s="313"/>
      <c r="V436" s="313"/>
      <c r="W436" s="313"/>
      <c r="X436" s="313"/>
      <c r="Y436" s="313"/>
      <c r="Z436" s="313"/>
      <c r="AA436" s="313"/>
    </row>
    <row r="437" spans="1:27" ht="14.25" customHeight="1" x14ac:dyDescent="0.2">
      <c r="A437" s="346">
        <v>43235</v>
      </c>
      <c r="B437" s="313">
        <v>271.10000600000001</v>
      </c>
      <c r="C437" s="313">
        <v>136.699997</v>
      </c>
      <c r="D437" s="345">
        <f t="shared" ref="D437:E437" si="446">B437/B436-1</f>
        <v>-6.8869694638556966E-3</v>
      </c>
      <c r="E437" s="345">
        <f t="shared" si="446"/>
        <v>-1.1497549211677338E-2</v>
      </c>
      <c r="F437" s="313"/>
      <c r="G437" s="313"/>
      <c r="H437" s="313"/>
      <c r="I437" s="313"/>
      <c r="J437" s="313"/>
      <c r="K437" s="313"/>
      <c r="L437" s="313"/>
      <c r="M437" s="313"/>
      <c r="N437" s="313"/>
      <c r="O437" s="313"/>
      <c r="P437" s="313"/>
      <c r="Q437" s="313"/>
      <c r="R437" s="313"/>
      <c r="S437" s="313"/>
      <c r="T437" s="313"/>
      <c r="U437" s="313"/>
      <c r="V437" s="313"/>
      <c r="W437" s="313"/>
      <c r="X437" s="313"/>
      <c r="Y437" s="313"/>
      <c r="Z437" s="313"/>
      <c r="AA437" s="313"/>
    </row>
    <row r="438" spans="1:27" ht="14.25" customHeight="1" x14ac:dyDescent="0.2">
      <c r="A438" s="346">
        <v>43236</v>
      </c>
      <c r="B438" s="313">
        <v>272.23998999999998</v>
      </c>
      <c r="C438" s="313">
        <v>136.470001</v>
      </c>
      <c r="D438" s="345">
        <f t="shared" ref="D438:E438" si="447">B438/B437-1</f>
        <v>4.2050312606778384E-3</v>
      </c>
      <c r="E438" s="345">
        <f t="shared" si="447"/>
        <v>-1.682487235167951E-3</v>
      </c>
      <c r="F438" s="313"/>
      <c r="G438" s="313"/>
      <c r="H438" s="313"/>
      <c r="I438" s="313"/>
      <c r="J438" s="313"/>
      <c r="K438" s="313"/>
      <c r="L438" s="313"/>
      <c r="M438" s="313"/>
      <c r="N438" s="313"/>
      <c r="O438" s="313"/>
      <c r="P438" s="313"/>
      <c r="Q438" s="313"/>
      <c r="R438" s="313"/>
      <c r="S438" s="313"/>
      <c r="T438" s="313"/>
      <c r="U438" s="313"/>
      <c r="V438" s="313"/>
      <c r="W438" s="313"/>
      <c r="X438" s="313"/>
      <c r="Y438" s="313"/>
      <c r="Z438" s="313"/>
      <c r="AA438" s="313"/>
    </row>
    <row r="439" spans="1:27" ht="14.25" customHeight="1" x14ac:dyDescent="0.2">
      <c r="A439" s="346">
        <v>43237</v>
      </c>
      <c r="B439" s="313">
        <v>272.01001000000002</v>
      </c>
      <c r="C439" s="313">
        <v>136.85000600000001</v>
      </c>
      <c r="D439" s="345">
        <f t="shared" ref="D439:E439" si="448">B439/B438-1</f>
        <v>-8.4476935221733385E-4</v>
      </c>
      <c r="E439" s="345">
        <f t="shared" si="448"/>
        <v>2.7845313784382597E-3</v>
      </c>
      <c r="F439" s="313"/>
      <c r="G439" s="313"/>
      <c r="H439" s="313"/>
      <c r="I439" s="313"/>
      <c r="J439" s="313"/>
      <c r="K439" s="313"/>
      <c r="L439" s="313"/>
      <c r="M439" s="313"/>
      <c r="N439" s="313"/>
      <c r="O439" s="313"/>
      <c r="P439" s="313"/>
      <c r="Q439" s="313"/>
      <c r="R439" s="313"/>
      <c r="S439" s="313"/>
      <c r="T439" s="313"/>
      <c r="U439" s="313"/>
      <c r="V439" s="313"/>
      <c r="W439" s="313"/>
      <c r="X439" s="313"/>
      <c r="Y439" s="313"/>
      <c r="Z439" s="313"/>
      <c r="AA439" s="313"/>
    </row>
    <row r="440" spans="1:27" ht="14.25" customHeight="1" x14ac:dyDescent="0.2">
      <c r="A440" s="346">
        <v>43238</v>
      </c>
      <c r="B440" s="313">
        <v>271.32998700000002</v>
      </c>
      <c r="C440" s="313">
        <v>137.050003</v>
      </c>
      <c r="D440" s="345">
        <f t="shared" ref="D440:E440" si="449">B440/B439-1</f>
        <v>-2.4999925554211044E-3</v>
      </c>
      <c r="E440" s="345">
        <f t="shared" si="449"/>
        <v>1.4614321609893732E-3</v>
      </c>
      <c r="F440" s="313"/>
      <c r="G440" s="313"/>
      <c r="H440" s="313"/>
      <c r="I440" s="313"/>
      <c r="J440" s="313"/>
      <c r="K440" s="313"/>
      <c r="L440" s="313"/>
      <c r="M440" s="313"/>
      <c r="N440" s="313"/>
      <c r="O440" s="313"/>
      <c r="P440" s="313"/>
      <c r="Q440" s="313"/>
      <c r="R440" s="313"/>
      <c r="S440" s="313"/>
      <c r="T440" s="313"/>
      <c r="U440" s="313"/>
      <c r="V440" s="313"/>
      <c r="W440" s="313"/>
      <c r="X440" s="313"/>
      <c r="Y440" s="313"/>
      <c r="Z440" s="313"/>
      <c r="AA440" s="313"/>
    </row>
    <row r="441" spans="1:27" ht="14.25" customHeight="1" x14ac:dyDescent="0.2">
      <c r="A441" s="346">
        <v>43241</v>
      </c>
      <c r="B441" s="313">
        <v>273.36999500000002</v>
      </c>
      <c r="C441" s="313">
        <v>137.38000500000001</v>
      </c>
      <c r="D441" s="345">
        <f t="shared" ref="D441:E441" si="450">B441/B440-1</f>
        <v>7.5185497281582414E-3</v>
      </c>
      <c r="E441" s="345">
        <f t="shared" si="450"/>
        <v>2.4078948761496743E-3</v>
      </c>
      <c r="F441" s="313"/>
      <c r="G441" s="313"/>
      <c r="H441" s="313"/>
      <c r="I441" s="313"/>
      <c r="J441" s="313"/>
      <c r="K441" s="313"/>
      <c r="L441" s="313"/>
      <c r="M441" s="313"/>
      <c r="N441" s="313"/>
      <c r="O441" s="313"/>
      <c r="P441" s="313"/>
      <c r="Q441" s="313"/>
      <c r="R441" s="313"/>
      <c r="S441" s="313"/>
      <c r="T441" s="313"/>
      <c r="U441" s="313"/>
      <c r="V441" s="313"/>
      <c r="W441" s="313"/>
      <c r="X441" s="313"/>
      <c r="Y441" s="313"/>
      <c r="Z441" s="313"/>
      <c r="AA441" s="313"/>
    </row>
    <row r="442" spans="1:27" ht="14.25" customHeight="1" x14ac:dyDescent="0.2">
      <c r="A442" s="346">
        <v>43242</v>
      </c>
      <c r="B442" s="313">
        <v>272.60998499999999</v>
      </c>
      <c r="C442" s="313">
        <v>137.14999399999999</v>
      </c>
      <c r="D442" s="345">
        <f t="shared" ref="D442:E442" si="451">B442/B441-1</f>
        <v>-2.7801514939488348E-3</v>
      </c>
      <c r="E442" s="345">
        <f t="shared" si="451"/>
        <v>-1.6742683915320633E-3</v>
      </c>
      <c r="F442" s="313"/>
      <c r="G442" s="313"/>
      <c r="H442" s="313"/>
      <c r="I442" s="313"/>
      <c r="J442" s="313"/>
      <c r="K442" s="313"/>
      <c r="L442" s="313"/>
      <c r="M442" s="313"/>
      <c r="N442" s="313"/>
      <c r="O442" s="313"/>
      <c r="P442" s="313"/>
      <c r="Q442" s="313"/>
      <c r="R442" s="313"/>
      <c r="S442" s="313"/>
      <c r="T442" s="313"/>
      <c r="U442" s="313"/>
      <c r="V442" s="313"/>
      <c r="W442" s="313"/>
      <c r="X442" s="313"/>
      <c r="Y442" s="313"/>
      <c r="Z442" s="313"/>
      <c r="AA442" s="313"/>
    </row>
    <row r="443" spans="1:27" ht="14.25" customHeight="1" x14ac:dyDescent="0.2">
      <c r="A443" s="346">
        <v>43243</v>
      </c>
      <c r="B443" s="313">
        <v>273.35998499999999</v>
      </c>
      <c r="C443" s="313">
        <v>136.83000200000001</v>
      </c>
      <c r="D443" s="345">
        <f t="shared" ref="D443:E443" si="452">B443/B442-1</f>
        <v>2.7511831600739445E-3</v>
      </c>
      <c r="E443" s="345">
        <f t="shared" si="452"/>
        <v>-2.3331535836595974E-3</v>
      </c>
      <c r="F443" s="313"/>
      <c r="G443" s="313"/>
      <c r="H443" s="313"/>
      <c r="I443" s="313"/>
      <c r="J443" s="313"/>
      <c r="K443" s="313"/>
      <c r="L443" s="313"/>
      <c r="M443" s="313"/>
      <c r="N443" s="313"/>
      <c r="O443" s="313"/>
      <c r="P443" s="313"/>
      <c r="Q443" s="313"/>
      <c r="R443" s="313"/>
      <c r="S443" s="313"/>
      <c r="T443" s="313"/>
      <c r="U443" s="313"/>
      <c r="V443" s="313"/>
      <c r="W443" s="313"/>
      <c r="X443" s="313"/>
      <c r="Y443" s="313"/>
      <c r="Z443" s="313"/>
      <c r="AA443" s="313"/>
    </row>
    <row r="444" spans="1:27" ht="14.25" customHeight="1" x14ac:dyDescent="0.2">
      <c r="A444" s="346">
        <v>43244</v>
      </c>
      <c r="B444" s="313">
        <v>272.79998799999998</v>
      </c>
      <c r="C444" s="313">
        <v>135.5</v>
      </c>
      <c r="D444" s="345">
        <f t="shared" ref="D444:E444" si="453">B444/B443-1</f>
        <v>-2.0485697641519085E-3</v>
      </c>
      <c r="E444" s="345">
        <f t="shared" si="453"/>
        <v>-9.7201050980033621E-3</v>
      </c>
      <c r="F444" s="313"/>
      <c r="G444" s="313"/>
      <c r="H444" s="313"/>
      <c r="I444" s="313"/>
      <c r="J444" s="313"/>
      <c r="K444" s="313"/>
      <c r="L444" s="313"/>
      <c r="M444" s="313"/>
      <c r="N444" s="313"/>
      <c r="O444" s="313"/>
      <c r="P444" s="313"/>
      <c r="Q444" s="313"/>
      <c r="R444" s="313"/>
      <c r="S444" s="313"/>
      <c r="T444" s="313"/>
      <c r="U444" s="313"/>
      <c r="V444" s="313"/>
      <c r="W444" s="313"/>
      <c r="X444" s="313"/>
      <c r="Y444" s="313"/>
      <c r="Z444" s="313"/>
      <c r="AA444" s="313"/>
    </row>
    <row r="445" spans="1:27" ht="14.25" customHeight="1" x14ac:dyDescent="0.2">
      <c r="A445" s="346">
        <v>43245</v>
      </c>
      <c r="B445" s="313">
        <v>272.14999399999999</v>
      </c>
      <c r="C445" s="313">
        <v>136.33000200000001</v>
      </c>
      <c r="D445" s="345">
        <f t="shared" ref="D445:E445" si="454">B445/B444-1</f>
        <v>-2.3826760578889994E-3</v>
      </c>
      <c r="E445" s="345">
        <f t="shared" si="454"/>
        <v>6.1254760147602116E-3</v>
      </c>
      <c r="F445" s="313"/>
      <c r="G445" s="313"/>
      <c r="H445" s="313"/>
      <c r="I445" s="313"/>
      <c r="J445" s="313"/>
      <c r="K445" s="313"/>
      <c r="L445" s="313"/>
      <c r="M445" s="313"/>
      <c r="N445" s="313"/>
      <c r="O445" s="313"/>
      <c r="P445" s="313"/>
      <c r="Q445" s="313"/>
      <c r="R445" s="313"/>
      <c r="S445" s="313"/>
      <c r="T445" s="313"/>
      <c r="U445" s="313"/>
      <c r="V445" s="313"/>
      <c r="W445" s="313"/>
      <c r="X445" s="313"/>
      <c r="Y445" s="313"/>
      <c r="Z445" s="313"/>
      <c r="AA445" s="313"/>
    </row>
    <row r="446" spans="1:27" ht="14.25" customHeight="1" x14ac:dyDescent="0.2">
      <c r="A446" s="346">
        <v>43249</v>
      </c>
      <c r="B446" s="313">
        <v>269.01998900000001</v>
      </c>
      <c r="C446" s="313">
        <v>135.970001</v>
      </c>
      <c r="D446" s="345">
        <f t="shared" ref="D446:E446" si="455">B446/B445-1</f>
        <v>-1.1501029097946591E-2</v>
      </c>
      <c r="E446" s="345">
        <f t="shared" si="455"/>
        <v>-2.6406586570725255E-3</v>
      </c>
      <c r="F446" s="313"/>
      <c r="G446" s="313"/>
      <c r="H446" s="313"/>
      <c r="I446" s="313"/>
      <c r="J446" s="313"/>
      <c r="K446" s="313"/>
      <c r="L446" s="313"/>
      <c r="M446" s="313"/>
      <c r="N446" s="313"/>
      <c r="O446" s="313"/>
      <c r="P446" s="313"/>
      <c r="Q446" s="313"/>
      <c r="R446" s="313"/>
      <c r="S446" s="313"/>
      <c r="T446" s="313"/>
      <c r="U446" s="313"/>
      <c r="V446" s="313"/>
      <c r="W446" s="313"/>
      <c r="X446" s="313"/>
      <c r="Y446" s="313"/>
      <c r="Z446" s="313"/>
      <c r="AA446" s="313"/>
    </row>
    <row r="447" spans="1:27" ht="14.25" customHeight="1" x14ac:dyDescent="0.2">
      <c r="A447" s="346">
        <v>43250</v>
      </c>
      <c r="B447" s="313">
        <v>272.60998499999999</v>
      </c>
      <c r="C447" s="313">
        <v>137.83000200000001</v>
      </c>
      <c r="D447" s="345">
        <f t="shared" ref="D447:E447" si="456">B447/B446-1</f>
        <v>1.3344718410496892E-2</v>
      </c>
      <c r="E447" s="345">
        <f t="shared" si="456"/>
        <v>1.3679495376336837E-2</v>
      </c>
      <c r="F447" s="313"/>
      <c r="G447" s="313"/>
      <c r="H447" s="313"/>
      <c r="I447" s="313"/>
      <c r="J447" s="313"/>
      <c r="K447" s="313"/>
      <c r="L447" s="313"/>
      <c r="M447" s="313"/>
      <c r="N447" s="313"/>
      <c r="O447" s="313"/>
      <c r="P447" s="313"/>
      <c r="Q447" s="313"/>
      <c r="R447" s="313"/>
      <c r="S447" s="313"/>
      <c r="T447" s="313"/>
      <c r="U447" s="313"/>
      <c r="V447" s="313"/>
      <c r="W447" s="313"/>
      <c r="X447" s="313"/>
      <c r="Y447" s="313"/>
      <c r="Z447" s="313"/>
      <c r="AA447" s="313"/>
    </row>
    <row r="448" spans="1:27" ht="14.25" customHeight="1" x14ac:dyDescent="0.2">
      <c r="A448" s="346">
        <v>43251</v>
      </c>
      <c r="B448" s="313">
        <v>270.94000199999999</v>
      </c>
      <c r="C448" s="313">
        <v>138.36999499999999</v>
      </c>
      <c r="D448" s="345">
        <f t="shared" ref="D448:E448" si="457">B448/B447-1</f>
        <v>-6.1259054762795584E-3</v>
      </c>
      <c r="E448" s="345">
        <f t="shared" si="457"/>
        <v>3.9178189956057263E-3</v>
      </c>
      <c r="F448" s="313"/>
      <c r="G448" s="313"/>
      <c r="H448" s="313"/>
      <c r="I448" s="313"/>
      <c r="J448" s="313"/>
      <c r="K448" s="313"/>
      <c r="L448" s="313"/>
      <c r="M448" s="313"/>
      <c r="N448" s="313"/>
      <c r="O448" s="313"/>
      <c r="P448" s="313"/>
      <c r="Q448" s="313"/>
      <c r="R448" s="313"/>
      <c r="S448" s="313"/>
      <c r="T448" s="313"/>
      <c r="U448" s="313"/>
      <c r="V448" s="313"/>
      <c r="W448" s="313"/>
      <c r="X448" s="313"/>
      <c r="Y448" s="313"/>
      <c r="Z448" s="313"/>
      <c r="AA448" s="313"/>
    </row>
    <row r="449" spans="1:27" ht="14.25" customHeight="1" x14ac:dyDescent="0.2">
      <c r="A449" s="346">
        <v>43252</v>
      </c>
      <c r="B449" s="313">
        <v>273.60000600000001</v>
      </c>
      <c r="C449" s="313">
        <v>138.520004</v>
      </c>
      <c r="D449" s="345">
        <f t="shared" ref="D449:E449" si="458">B449/B448-1</f>
        <v>9.817686500201761E-3</v>
      </c>
      <c r="E449" s="345">
        <f t="shared" si="458"/>
        <v>1.0841150930156473E-3</v>
      </c>
      <c r="F449" s="313"/>
      <c r="G449" s="313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  <c r="R449" s="313"/>
      <c r="S449" s="313"/>
      <c r="T449" s="313"/>
      <c r="U449" s="313"/>
      <c r="V449" s="313"/>
      <c r="W449" s="313"/>
      <c r="X449" s="313"/>
      <c r="Y449" s="313"/>
      <c r="Z449" s="313"/>
      <c r="AA449" s="313"/>
    </row>
    <row r="450" spans="1:27" ht="14.25" customHeight="1" x14ac:dyDescent="0.2">
      <c r="A450" s="346">
        <v>43255</v>
      </c>
      <c r="B450" s="313">
        <v>274.89999399999999</v>
      </c>
      <c r="C450" s="313">
        <v>140.05999800000001</v>
      </c>
      <c r="D450" s="345">
        <f t="shared" ref="D450:E450" si="459">B450/B449-1</f>
        <v>4.7514180244572213E-3</v>
      </c>
      <c r="E450" s="345">
        <f t="shared" si="459"/>
        <v>1.1117484518698095E-2</v>
      </c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  <c r="AA450" s="313"/>
    </row>
    <row r="451" spans="1:27" ht="14.25" customHeight="1" x14ac:dyDescent="0.2">
      <c r="A451" s="346">
        <v>43256</v>
      </c>
      <c r="B451" s="313">
        <v>275.10000600000001</v>
      </c>
      <c r="C451" s="313">
        <v>138.91000399999999</v>
      </c>
      <c r="D451" s="345">
        <f t="shared" ref="D451:E451" si="460">B451/B450-1</f>
        <v>7.275809544033951E-4</v>
      </c>
      <c r="E451" s="345">
        <f t="shared" si="460"/>
        <v>-8.2107240926850844E-3</v>
      </c>
      <c r="F451" s="313"/>
      <c r="G451" s="313"/>
      <c r="H451" s="313"/>
      <c r="I451" s="313"/>
      <c r="J451" s="313"/>
      <c r="K451" s="313"/>
      <c r="L451" s="313"/>
      <c r="M451" s="313"/>
      <c r="N451" s="313"/>
      <c r="O451" s="313"/>
      <c r="P451" s="313"/>
      <c r="Q451" s="313"/>
      <c r="R451" s="313"/>
      <c r="S451" s="313"/>
      <c r="T451" s="313"/>
      <c r="U451" s="313"/>
      <c r="V451" s="313"/>
      <c r="W451" s="313"/>
      <c r="X451" s="313"/>
      <c r="Y451" s="313"/>
      <c r="Z451" s="313"/>
      <c r="AA451" s="313"/>
    </row>
    <row r="452" spans="1:27" ht="14.25" customHeight="1" x14ac:dyDescent="0.2">
      <c r="A452" s="346">
        <v>43257</v>
      </c>
      <c r="B452" s="313">
        <v>277.39999399999999</v>
      </c>
      <c r="C452" s="313">
        <v>139.03999300000001</v>
      </c>
      <c r="D452" s="345">
        <f t="shared" ref="D452:E452" si="461">B452/B451-1</f>
        <v>8.3605523440082319E-3</v>
      </c>
      <c r="E452" s="345">
        <f t="shared" si="461"/>
        <v>9.357785347123837E-4</v>
      </c>
      <c r="F452" s="313"/>
      <c r="G452" s="313"/>
      <c r="H452" s="313"/>
      <c r="I452" s="313"/>
      <c r="J452" s="313"/>
      <c r="K452" s="313"/>
      <c r="L452" s="313"/>
      <c r="M452" s="313"/>
      <c r="N452" s="313"/>
      <c r="O452" s="313"/>
      <c r="P452" s="313"/>
      <c r="Q452" s="313"/>
      <c r="R452" s="313"/>
      <c r="S452" s="313"/>
      <c r="T452" s="313"/>
      <c r="U452" s="313"/>
      <c r="V452" s="313"/>
      <c r="W452" s="313"/>
      <c r="X452" s="313"/>
      <c r="Y452" s="313"/>
      <c r="Z452" s="313"/>
      <c r="AA452" s="313"/>
    </row>
    <row r="453" spans="1:27" ht="14.25" customHeight="1" x14ac:dyDescent="0.2">
      <c r="A453" s="346">
        <v>43258</v>
      </c>
      <c r="B453" s="313">
        <v>277.36999500000002</v>
      </c>
      <c r="C453" s="313">
        <v>138.179993</v>
      </c>
      <c r="D453" s="345">
        <f t="shared" ref="D453:E453" si="462">B453/B452-1</f>
        <v>-1.0814347746512798E-4</v>
      </c>
      <c r="E453" s="345">
        <f t="shared" si="462"/>
        <v>-6.1852707371756743E-3</v>
      </c>
      <c r="F453" s="313"/>
      <c r="G453" s="313"/>
      <c r="H453" s="313"/>
      <c r="I453" s="313"/>
      <c r="J453" s="313"/>
      <c r="K453" s="313"/>
      <c r="L453" s="313"/>
      <c r="M453" s="313"/>
      <c r="N453" s="313"/>
      <c r="O453" s="313"/>
      <c r="P453" s="313"/>
      <c r="Q453" s="313"/>
      <c r="R453" s="313"/>
      <c r="S453" s="313"/>
      <c r="T453" s="313"/>
      <c r="U453" s="313"/>
      <c r="V453" s="313"/>
      <c r="W453" s="313"/>
      <c r="X453" s="313"/>
      <c r="Y453" s="313"/>
      <c r="Z453" s="313"/>
      <c r="AA453" s="313"/>
    </row>
    <row r="454" spans="1:27" ht="14.25" customHeight="1" x14ac:dyDescent="0.2">
      <c r="A454" s="346">
        <v>43259</v>
      </c>
      <c r="B454" s="313">
        <v>278.19000199999999</v>
      </c>
      <c r="C454" s="313">
        <v>138.58000200000001</v>
      </c>
      <c r="D454" s="345">
        <f t="shared" ref="D454:E454" si="463">B454/B453-1</f>
        <v>2.9563651973241178E-3</v>
      </c>
      <c r="E454" s="345">
        <f t="shared" si="463"/>
        <v>2.8948402103334825E-3</v>
      </c>
      <c r="F454" s="313"/>
      <c r="G454" s="313"/>
      <c r="H454" s="313"/>
      <c r="I454" s="313"/>
      <c r="J454" s="313"/>
      <c r="K454" s="313"/>
      <c r="L454" s="313"/>
      <c r="M454" s="313"/>
      <c r="N454" s="313"/>
      <c r="O454" s="313"/>
      <c r="P454" s="313"/>
      <c r="Q454" s="313"/>
      <c r="R454" s="313"/>
      <c r="S454" s="313"/>
      <c r="T454" s="313"/>
      <c r="U454" s="313"/>
      <c r="V454" s="313"/>
      <c r="W454" s="313"/>
      <c r="X454" s="313"/>
      <c r="Y454" s="313"/>
      <c r="Z454" s="313"/>
      <c r="AA454" s="313"/>
    </row>
    <row r="455" spans="1:27" ht="14.25" customHeight="1" x14ac:dyDescent="0.2">
      <c r="A455" s="346">
        <v>43262</v>
      </c>
      <c r="B455" s="313">
        <v>278.55999800000001</v>
      </c>
      <c r="C455" s="313">
        <v>139.63999899999999</v>
      </c>
      <c r="D455" s="345">
        <f t="shared" ref="D455:E455" si="464">B455/B454-1</f>
        <v>1.330011852834323E-3</v>
      </c>
      <c r="E455" s="345">
        <f t="shared" si="464"/>
        <v>7.6489896428200144E-3</v>
      </c>
      <c r="F455" s="313"/>
      <c r="G455" s="313"/>
      <c r="H455" s="313"/>
      <c r="I455" s="313"/>
      <c r="J455" s="313"/>
      <c r="K455" s="313"/>
      <c r="L455" s="313"/>
      <c r="M455" s="313"/>
      <c r="N455" s="313"/>
      <c r="O455" s="313"/>
      <c r="P455" s="313"/>
      <c r="Q455" s="313"/>
      <c r="R455" s="313"/>
      <c r="S455" s="313"/>
      <c r="T455" s="313"/>
      <c r="U455" s="313"/>
      <c r="V455" s="313"/>
      <c r="W455" s="313"/>
      <c r="X455" s="313"/>
      <c r="Y455" s="313"/>
      <c r="Z455" s="313"/>
      <c r="AA455" s="313"/>
    </row>
    <row r="456" spans="1:27" ht="14.25" customHeight="1" x14ac:dyDescent="0.2">
      <c r="A456" s="346">
        <v>43263</v>
      </c>
      <c r="B456" s="313">
        <v>278.92001299999998</v>
      </c>
      <c r="C456" s="313">
        <v>141.13999899999999</v>
      </c>
      <c r="D456" s="345">
        <f t="shared" ref="D456:E456" si="465">B456/B455-1</f>
        <v>1.2924145698764988E-3</v>
      </c>
      <c r="E456" s="345">
        <f t="shared" si="465"/>
        <v>1.074190783974438E-2</v>
      </c>
      <c r="F456" s="313"/>
      <c r="G456" s="313"/>
      <c r="H456" s="313"/>
      <c r="I456" s="313"/>
      <c r="J456" s="313"/>
      <c r="K456" s="313"/>
      <c r="L456" s="313"/>
      <c r="M456" s="313"/>
      <c r="N456" s="313"/>
      <c r="O456" s="313"/>
      <c r="P456" s="313"/>
      <c r="Q456" s="313"/>
      <c r="R456" s="313"/>
      <c r="S456" s="313"/>
      <c r="T456" s="313"/>
      <c r="U456" s="313"/>
      <c r="V456" s="313"/>
      <c r="W456" s="313"/>
      <c r="X456" s="313"/>
      <c r="Y456" s="313"/>
      <c r="Z456" s="313"/>
      <c r="AA456" s="313"/>
    </row>
    <row r="457" spans="1:27" ht="14.25" customHeight="1" x14ac:dyDescent="0.2">
      <c r="A457" s="346">
        <v>43264</v>
      </c>
      <c r="B457" s="313">
        <v>278.02999899999998</v>
      </c>
      <c r="C457" s="313">
        <v>136.46000699999999</v>
      </c>
      <c r="D457" s="345">
        <f t="shared" ref="D457:E457" si="466">B457/B456-1</f>
        <v>-3.1909291499997439E-3</v>
      </c>
      <c r="E457" s="345">
        <f t="shared" si="466"/>
        <v>-3.3158509516497903E-2</v>
      </c>
      <c r="F457" s="313"/>
      <c r="G457" s="313"/>
      <c r="H457" s="313"/>
      <c r="I457" s="313"/>
      <c r="J457" s="313"/>
      <c r="K457" s="313"/>
      <c r="L457" s="313"/>
      <c r="M457" s="313"/>
      <c r="N457" s="313"/>
      <c r="O457" s="313"/>
      <c r="P457" s="313"/>
      <c r="Q457" s="313"/>
      <c r="R457" s="313"/>
      <c r="S457" s="313"/>
      <c r="T457" s="313"/>
      <c r="U457" s="313"/>
      <c r="V457" s="313"/>
      <c r="W457" s="313"/>
      <c r="X457" s="313"/>
      <c r="Y457" s="313"/>
      <c r="Z457" s="313"/>
      <c r="AA457" s="313"/>
    </row>
    <row r="458" spans="1:27" ht="14.25" customHeight="1" x14ac:dyDescent="0.2">
      <c r="A458" s="346">
        <v>43265</v>
      </c>
      <c r="B458" s="313">
        <v>278.73001099999999</v>
      </c>
      <c r="C458" s="313">
        <v>138.35000600000001</v>
      </c>
      <c r="D458" s="345">
        <f t="shared" ref="D458:E458" si="467">B458/B457-1</f>
        <v>2.51775708563029E-3</v>
      </c>
      <c r="E458" s="345">
        <f t="shared" si="467"/>
        <v>1.3850204477858563E-2</v>
      </c>
      <c r="F458" s="313"/>
      <c r="G458" s="313"/>
      <c r="H458" s="313"/>
      <c r="I458" s="313"/>
      <c r="J458" s="313"/>
      <c r="K458" s="313"/>
      <c r="L458" s="313"/>
      <c r="M458" s="313"/>
      <c r="N458" s="313"/>
      <c r="O458" s="313"/>
      <c r="P458" s="313"/>
      <c r="Q458" s="313"/>
      <c r="R458" s="313"/>
      <c r="S458" s="313"/>
      <c r="T458" s="313"/>
      <c r="U458" s="313"/>
      <c r="V458" s="313"/>
      <c r="W458" s="313"/>
      <c r="X458" s="313"/>
      <c r="Y458" s="313"/>
      <c r="Z458" s="313"/>
      <c r="AA458" s="313"/>
    </row>
    <row r="459" spans="1:27" ht="14.25" customHeight="1" x14ac:dyDescent="0.2">
      <c r="A459" s="346">
        <v>43266</v>
      </c>
      <c r="B459" s="313">
        <v>277.13000499999998</v>
      </c>
      <c r="C459" s="313">
        <v>138.55999800000001</v>
      </c>
      <c r="D459" s="345">
        <f t="shared" ref="D459:E459" si="468">B459/B458-1</f>
        <v>-5.740343475249321E-3</v>
      </c>
      <c r="E459" s="345">
        <f t="shared" si="468"/>
        <v>1.5178315207300397E-3</v>
      </c>
      <c r="F459" s="313"/>
      <c r="G459" s="313"/>
      <c r="H459" s="313"/>
      <c r="I459" s="313"/>
      <c r="J459" s="313"/>
      <c r="K459" s="313"/>
      <c r="L459" s="313"/>
      <c r="M459" s="313"/>
      <c r="N459" s="313"/>
      <c r="O459" s="313"/>
      <c r="P459" s="313"/>
      <c r="Q459" s="313"/>
      <c r="R459" s="313"/>
      <c r="S459" s="313"/>
      <c r="T459" s="313"/>
      <c r="U459" s="313"/>
      <c r="V459" s="313"/>
      <c r="W459" s="313"/>
      <c r="X459" s="313"/>
      <c r="Y459" s="313"/>
      <c r="Z459" s="313"/>
      <c r="AA459" s="313"/>
    </row>
    <row r="460" spans="1:27" ht="14.25" customHeight="1" x14ac:dyDescent="0.2">
      <c r="A460" s="346">
        <v>43269</v>
      </c>
      <c r="B460" s="313">
        <v>276.55999800000001</v>
      </c>
      <c r="C460" s="313">
        <v>138.229996</v>
      </c>
      <c r="D460" s="345">
        <f t="shared" ref="D460:E460" si="469">B460/B459-1</f>
        <v>-2.0568216711142062E-3</v>
      </c>
      <c r="E460" s="345">
        <f t="shared" si="469"/>
        <v>-2.381654191421112E-3</v>
      </c>
      <c r="F460" s="313"/>
      <c r="G460" s="313"/>
      <c r="H460" s="313"/>
      <c r="I460" s="313"/>
      <c r="J460" s="313"/>
      <c r="K460" s="313"/>
      <c r="L460" s="313"/>
      <c r="M460" s="313"/>
      <c r="N460" s="313"/>
      <c r="O460" s="313"/>
      <c r="P460" s="313"/>
      <c r="Q460" s="313"/>
      <c r="R460" s="313"/>
      <c r="S460" s="313"/>
      <c r="T460" s="313"/>
      <c r="U460" s="313"/>
      <c r="V460" s="313"/>
      <c r="W460" s="313"/>
      <c r="X460" s="313"/>
      <c r="Y460" s="313"/>
      <c r="Z460" s="313"/>
      <c r="AA460" s="313"/>
    </row>
    <row r="461" spans="1:27" ht="14.25" customHeight="1" x14ac:dyDescent="0.2">
      <c r="A461" s="346">
        <v>43270</v>
      </c>
      <c r="B461" s="313">
        <v>275.5</v>
      </c>
      <c r="C461" s="313">
        <v>139.08000200000001</v>
      </c>
      <c r="D461" s="345">
        <f t="shared" ref="D461:E461" si="470">B461/B460-1</f>
        <v>-3.8327958044026555E-3</v>
      </c>
      <c r="E461" s="345">
        <f t="shared" si="470"/>
        <v>6.1492152542637069E-3</v>
      </c>
      <c r="F461" s="313"/>
      <c r="G461" s="313"/>
      <c r="H461" s="313"/>
      <c r="I461" s="313"/>
      <c r="J461" s="313"/>
      <c r="K461" s="313"/>
      <c r="L461" s="313"/>
      <c r="M461" s="313"/>
      <c r="N461" s="313"/>
      <c r="O461" s="313"/>
      <c r="P461" s="313"/>
      <c r="Q461" s="313"/>
      <c r="R461" s="313"/>
      <c r="S461" s="313"/>
      <c r="T461" s="313"/>
      <c r="U461" s="313"/>
      <c r="V461" s="313"/>
      <c r="W461" s="313"/>
      <c r="X461" s="313"/>
      <c r="Y461" s="313"/>
      <c r="Z461" s="313"/>
      <c r="AA461" s="313"/>
    </row>
    <row r="462" spans="1:27" ht="14.25" customHeight="1" x14ac:dyDescent="0.2">
      <c r="A462" s="346">
        <v>43271</v>
      </c>
      <c r="B462" s="313">
        <v>275.97000100000002</v>
      </c>
      <c r="C462" s="313">
        <v>140.53999300000001</v>
      </c>
      <c r="D462" s="345">
        <f t="shared" ref="D462:E462" si="471">B462/B461-1</f>
        <v>1.7059927404718955E-3</v>
      </c>
      <c r="E462" s="345">
        <f t="shared" si="471"/>
        <v>1.0497490501905515E-2</v>
      </c>
      <c r="F462" s="313"/>
      <c r="G462" s="313"/>
      <c r="H462" s="313"/>
      <c r="I462" s="313"/>
      <c r="J462" s="313"/>
      <c r="K462" s="313"/>
      <c r="L462" s="313"/>
      <c r="M462" s="313"/>
      <c r="N462" s="313"/>
      <c r="O462" s="313"/>
      <c r="P462" s="313"/>
      <c r="Q462" s="313"/>
      <c r="R462" s="313"/>
      <c r="S462" s="313"/>
      <c r="T462" s="313"/>
      <c r="U462" s="313"/>
      <c r="V462" s="313"/>
      <c r="W462" s="313"/>
      <c r="X462" s="313"/>
      <c r="Y462" s="313"/>
      <c r="Z462" s="313"/>
      <c r="AA462" s="313"/>
    </row>
    <row r="463" spans="1:27" ht="14.25" customHeight="1" x14ac:dyDescent="0.2">
      <c r="A463" s="346">
        <v>43272</v>
      </c>
      <c r="B463" s="313">
        <v>274.23998999999998</v>
      </c>
      <c r="C463" s="313">
        <v>141.679993</v>
      </c>
      <c r="D463" s="345">
        <f t="shared" ref="D463:E463" si="472">B463/B462-1</f>
        <v>-6.2688371697330325E-3</v>
      </c>
      <c r="E463" s="345">
        <f t="shared" si="472"/>
        <v>8.111570063903395E-3</v>
      </c>
      <c r="F463" s="313"/>
      <c r="G463" s="313"/>
      <c r="H463" s="313"/>
      <c r="I463" s="313"/>
      <c r="J463" s="313"/>
      <c r="K463" s="313"/>
      <c r="L463" s="313"/>
      <c r="M463" s="313"/>
      <c r="N463" s="313"/>
      <c r="O463" s="313"/>
      <c r="P463" s="313"/>
      <c r="Q463" s="313"/>
      <c r="R463" s="313"/>
      <c r="S463" s="313"/>
      <c r="T463" s="313"/>
      <c r="U463" s="313"/>
      <c r="V463" s="313"/>
      <c r="W463" s="313"/>
      <c r="X463" s="313"/>
      <c r="Y463" s="313"/>
      <c r="Z463" s="313"/>
      <c r="AA463" s="313"/>
    </row>
    <row r="464" spans="1:27" ht="14.25" customHeight="1" x14ac:dyDescent="0.2">
      <c r="A464" s="346">
        <v>43273</v>
      </c>
      <c r="B464" s="313">
        <v>274.73998999999998</v>
      </c>
      <c r="C464" s="313">
        <v>142.820007</v>
      </c>
      <c r="D464" s="345">
        <f t="shared" ref="D464:E464" si="473">B464/B463-1</f>
        <v>1.8232206032386955E-3</v>
      </c>
      <c r="E464" s="345">
        <f t="shared" si="473"/>
        <v>8.0464007363412193E-3</v>
      </c>
      <c r="F464" s="313"/>
      <c r="G464" s="313"/>
      <c r="H464" s="313"/>
      <c r="I464" s="313"/>
      <c r="J464" s="313"/>
      <c r="K464" s="313"/>
      <c r="L464" s="313"/>
      <c r="M464" s="313"/>
      <c r="N464" s="313"/>
      <c r="O464" s="313"/>
      <c r="P464" s="313"/>
      <c r="Q464" s="313"/>
      <c r="R464" s="313"/>
      <c r="S464" s="313"/>
      <c r="T464" s="313"/>
      <c r="U464" s="313"/>
      <c r="V464" s="313"/>
      <c r="W464" s="313"/>
      <c r="X464" s="313"/>
      <c r="Y464" s="313"/>
      <c r="Z464" s="313"/>
      <c r="AA464" s="313"/>
    </row>
    <row r="465" spans="1:27" ht="14.25" customHeight="1" x14ac:dyDescent="0.2">
      <c r="A465" s="346">
        <v>43276</v>
      </c>
      <c r="B465" s="313">
        <v>271</v>
      </c>
      <c r="C465" s="313">
        <v>142.14999399999999</v>
      </c>
      <c r="D465" s="345">
        <f t="shared" ref="D465:E465" si="474">B465/B464-1</f>
        <v>-1.3612834447580657E-2</v>
      </c>
      <c r="E465" s="345">
        <f t="shared" si="474"/>
        <v>-4.6913105108586928E-3</v>
      </c>
      <c r="F465" s="313"/>
      <c r="G465" s="313"/>
      <c r="H465" s="313"/>
      <c r="I465" s="313"/>
      <c r="J465" s="313"/>
      <c r="K465" s="313"/>
      <c r="L465" s="313"/>
      <c r="M465" s="313"/>
      <c r="N465" s="313"/>
      <c r="O465" s="313"/>
      <c r="P465" s="313"/>
      <c r="Q465" s="313"/>
      <c r="R465" s="313"/>
      <c r="S465" s="313"/>
      <c r="T465" s="313"/>
      <c r="U465" s="313"/>
      <c r="V465" s="313"/>
      <c r="W465" s="313"/>
      <c r="X465" s="313"/>
      <c r="Y465" s="313"/>
      <c r="Z465" s="313"/>
      <c r="AA465" s="313"/>
    </row>
    <row r="466" spans="1:27" ht="14.25" customHeight="1" x14ac:dyDescent="0.2">
      <c r="A466" s="346">
        <v>43277</v>
      </c>
      <c r="B466" s="313">
        <v>271.60000600000001</v>
      </c>
      <c r="C466" s="313">
        <v>143.16999799999999</v>
      </c>
      <c r="D466" s="345">
        <f t="shared" ref="D466:E466" si="475">B466/B465-1</f>
        <v>2.2140442804428062E-3</v>
      </c>
      <c r="E466" s="345">
        <f t="shared" si="475"/>
        <v>7.1755472603114434E-3</v>
      </c>
      <c r="F466" s="313"/>
      <c r="G466" s="313"/>
      <c r="H466" s="313"/>
      <c r="I466" s="313"/>
      <c r="J466" s="313"/>
      <c r="K466" s="313"/>
      <c r="L466" s="313"/>
      <c r="M466" s="313"/>
      <c r="N466" s="313"/>
      <c r="O466" s="313"/>
      <c r="P466" s="313"/>
      <c r="Q466" s="313"/>
      <c r="R466" s="313"/>
      <c r="S466" s="313"/>
      <c r="T466" s="313"/>
      <c r="U466" s="313"/>
      <c r="V466" s="313"/>
      <c r="W466" s="313"/>
      <c r="X466" s="313"/>
      <c r="Y466" s="313"/>
      <c r="Z466" s="313"/>
      <c r="AA466" s="313"/>
    </row>
    <row r="467" spans="1:27" ht="14.25" customHeight="1" x14ac:dyDescent="0.2">
      <c r="A467" s="346">
        <v>43278</v>
      </c>
      <c r="B467" s="313">
        <v>269.35000600000001</v>
      </c>
      <c r="C467" s="313">
        <v>143.35000600000001</v>
      </c>
      <c r="D467" s="345">
        <f t="shared" ref="D467:E467" si="476">B467/B466-1</f>
        <v>-8.2842413486544642E-3</v>
      </c>
      <c r="E467" s="345">
        <f t="shared" si="476"/>
        <v>1.2573025250723902E-3</v>
      </c>
      <c r="F467" s="313"/>
      <c r="G467" s="313"/>
      <c r="H467" s="313"/>
      <c r="I467" s="313"/>
      <c r="J467" s="313"/>
      <c r="K467" s="313"/>
      <c r="L467" s="313"/>
      <c r="M467" s="313"/>
      <c r="N467" s="313"/>
      <c r="O467" s="313"/>
      <c r="P467" s="313"/>
      <c r="Q467" s="313"/>
      <c r="R467" s="313"/>
      <c r="S467" s="313"/>
      <c r="T467" s="313"/>
      <c r="U467" s="313"/>
      <c r="V467" s="313"/>
      <c r="W467" s="313"/>
      <c r="X467" s="313"/>
      <c r="Y467" s="313"/>
      <c r="Z467" s="313"/>
      <c r="AA467" s="313"/>
    </row>
    <row r="468" spans="1:27" ht="14.25" customHeight="1" x14ac:dyDescent="0.2">
      <c r="A468" s="346">
        <v>43279</v>
      </c>
      <c r="B468" s="313">
        <v>270.89001500000001</v>
      </c>
      <c r="C468" s="313">
        <v>144.259995</v>
      </c>
      <c r="D468" s="345">
        <f t="shared" ref="D468:E468" si="477">B468/B467-1</f>
        <v>5.7175012648784662E-3</v>
      </c>
      <c r="E468" s="345">
        <f t="shared" si="477"/>
        <v>6.3480220572853518E-3</v>
      </c>
      <c r="F468" s="313"/>
      <c r="G468" s="313"/>
      <c r="H468" s="313"/>
      <c r="I468" s="313"/>
      <c r="J468" s="313"/>
      <c r="K468" s="313"/>
      <c r="L468" s="313"/>
      <c r="M468" s="313"/>
      <c r="N468" s="313"/>
      <c r="O468" s="313"/>
      <c r="P468" s="313"/>
      <c r="Q468" s="313"/>
      <c r="R468" s="313"/>
      <c r="S468" s="313"/>
      <c r="T468" s="313"/>
      <c r="U468" s="313"/>
      <c r="V468" s="313"/>
      <c r="W468" s="313"/>
      <c r="X468" s="313"/>
      <c r="Y468" s="313"/>
      <c r="Z468" s="313"/>
      <c r="AA468" s="313"/>
    </row>
    <row r="469" spans="1:27" ht="14.25" customHeight="1" x14ac:dyDescent="0.2">
      <c r="A469" s="346">
        <v>43280</v>
      </c>
      <c r="B469" s="313">
        <v>271.27999899999998</v>
      </c>
      <c r="C469" s="313">
        <v>144.16999799999999</v>
      </c>
      <c r="D469" s="345">
        <f t="shared" ref="D469:E469" si="478">B469/B468-1</f>
        <v>1.4396396264364508E-3</v>
      </c>
      <c r="E469" s="345">
        <f t="shared" si="478"/>
        <v>-6.2385278746202033E-4</v>
      </c>
      <c r="F469" s="313"/>
      <c r="G469" s="313"/>
      <c r="H469" s="313"/>
      <c r="I469" s="313"/>
      <c r="J469" s="313"/>
      <c r="K469" s="313"/>
      <c r="L469" s="313"/>
      <c r="M469" s="313"/>
      <c r="N469" s="313"/>
      <c r="O469" s="313"/>
      <c r="P469" s="313"/>
      <c r="Q469" s="313"/>
      <c r="R469" s="313"/>
      <c r="S469" s="313"/>
      <c r="T469" s="313"/>
      <c r="U469" s="313"/>
      <c r="V469" s="313"/>
      <c r="W469" s="313"/>
      <c r="X469" s="313"/>
      <c r="Y469" s="313"/>
      <c r="Z469" s="313"/>
      <c r="AA469" s="313"/>
    </row>
    <row r="470" spans="1:27" ht="14.25" customHeight="1" x14ac:dyDescent="0.2">
      <c r="A470" s="346">
        <v>43283</v>
      </c>
      <c r="B470" s="313">
        <v>271.85998499999999</v>
      </c>
      <c r="C470" s="313">
        <v>144.66999799999999</v>
      </c>
      <c r="D470" s="345">
        <f t="shared" ref="D470:E470" si="479">B470/B469-1</f>
        <v>2.137960786412485E-3</v>
      </c>
      <c r="E470" s="345">
        <f t="shared" si="479"/>
        <v>3.4681279526687092E-3</v>
      </c>
      <c r="F470" s="313"/>
      <c r="G470" s="313"/>
      <c r="H470" s="313"/>
      <c r="I470" s="313"/>
      <c r="J470" s="313"/>
      <c r="K470" s="313"/>
      <c r="L470" s="313"/>
      <c r="M470" s="313"/>
      <c r="N470" s="313"/>
      <c r="O470" s="313"/>
      <c r="P470" s="313"/>
      <c r="Q470" s="313"/>
      <c r="R470" s="313"/>
      <c r="S470" s="313"/>
      <c r="T470" s="313"/>
      <c r="U470" s="313"/>
      <c r="V470" s="313"/>
      <c r="W470" s="313"/>
      <c r="X470" s="313"/>
      <c r="Y470" s="313"/>
      <c r="Z470" s="313"/>
      <c r="AA470" s="313"/>
    </row>
    <row r="471" spans="1:27" ht="14.25" customHeight="1" x14ac:dyDescent="0.2">
      <c r="A471" s="346">
        <v>43284</v>
      </c>
      <c r="B471" s="313">
        <v>270.89999399999999</v>
      </c>
      <c r="C471" s="313">
        <v>143.029999</v>
      </c>
      <c r="D471" s="345">
        <f t="shared" ref="D471:E471" si="480">B471/B470-1</f>
        <v>-3.5311963987638695E-3</v>
      </c>
      <c r="E471" s="345">
        <f t="shared" si="480"/>
        <v>-1.1336137572905636E-2</v>
      </c>
      <c r="F471" s="313"/>
      <c r="G471" s="313"/>
      <c r="H471" s="313"/>
      <c r="I471" s="313"/>
      <c r="J471" s="313"/>
      <c r="K471" s="313"/>
      <c r="L471" s="313"/>
      <c r="M471" s="313"/>
      <c r="N471" s="313"/>
      <c r="O471" s="313"/>
      <c r="P471" s="313"/>
      <c r="Q471" s="313"/>
      <c r="R471" s="313"/>
      <c r="S471" s="313"/>
      <c r="T471" s="313"/>
      <c r="U471" s="313"/>
      <c r="V471" s="313"/>
      <c r="W471" s="313"/>
      <c r="X471" s="313"/>
      <c r="Y471" s="313"/>
      <c r="Z471" s="313"/>
      <c r="AA471" s="313"/>
    </row>
    <row r="472" spans="1:27" ht="14.25" customHeight="1" x14ac:dyDescent="0.2">
      <c r="A472" s="346">
        <v>43286</v>
      </c>
      <c r="B472" s="313">
        <v>273.10998499999999</v>
      </c>
      <c r="C472" s="313">
        <v>145.66999799999999</v>
      </c>
      <c r="D472" s="345">
        <f t="shared" ref="D472:E472" si="481">B472/B471-1</f>
        <v>8.1579588370164213E-3</v>
      </c>
      <c r="E472" s="345">
        <f t="shared" si="481"/>
        <v>1.8457659361376333E-2</v>
      </c>
      <c r="F472" s="313"/>
      <c r="G472" s="313"/>
      <c r="H472" s="313"/>
      <c r="I472" s="313"/>
      <c r="J472" s="313"/>
      <c r="K472" s="313"/>
      <c r="L472" s="313"/>
      <c r="M472" s="313"/>
      <c r="N472" s="313"/>
      <c r="O472" s="313"/>
      <c r="P472" s="313"/>
      <c r="Q472" s="313"/>
      <c r="R472" s="313"/>
      <c r="S472" s="313"/>
      <c r="T472" s="313"/>
      <c r="U472" s="313"/>
      <c r="V472" s="313"/>
      <c r="W472" s="313"/>
      <c r="X472" s="313"/>
      <c r="Y472" s="313"/>
      <c r="Z472" s="313"/>
      <c r="AA472" s="313"/>
    </row>
    <row r="473" spans="1:27" ht="14.25" customHeight="1" x14ac:dyDescent="0.2">
      <c r="A473" s="346">
        <v>43287</v>
      </c>
      <c r="B473" s="313">
        <v>275.42001299999998</v>
      </c>
      <c r="C473" s="313">
        <v>145.80999800000001</v>
      </c>
      <c r="D473" s="345">
        <f t="shared" ref="D473:E473" si="482">B473/B472-1</f>
        <v>8.4582334109826185E-3</v>
      </c>
      <c r="E473" s="345">
        <f t="shared" si="482"/>
        <v>9.6107641876952421E-4</v>
      </c>
      <c r="F473" s="313"/>
      <c r="G473" s="313"/>
      <c r="H473" s="313"/>
      <c r="I473" s="313"/>
      <c r="J473" s="313"/>
      <c r="K473" s="313"/>
      <c r="L473" s="313"/>
      <c r="M473" s="313"/>
      <c r="N473" s="313"/>
      <c r="O473" s="313"/>
      <c r="P473" s="313"/>
      <c r="Q473" s="313"/>
      <c r="R473" s="313"/>
      <c r="S473" s="313"/>
      <c r="T473" s="313"/>
      <c r="U473" s="313"/>
      <c r="V473" s="313"/>
      <c r="W473" s="313"/>
      <c r="X473" s="313"/>
      <c r="Y473" s="313"/>
      <c r="Z473" s="313"/>
      <c r="AA473" s="313"/>
    </row>
    <row r="474" spans="1:27" ht="14.25" customHeight="1" x14ac:dyDescent="0.2">
      <c r="A474" s="346">
        <v>43290</v>
      </c>
      <c r="B474" s="313">
        <v>277.89999399999999</v>
      </c>
      <c r="C474" s="313">
        <v>142.179993</v>
      </c>
      <c r="D474" s="345">
        <f t="shared" ref="D474:E474" si="483">B474/B473-1</f>
        <v>9.0043601878706525E-3</v>
      </c>
      <c r="E474" s="345">
        <f t="shared" si="483"/>
        <v>-2.4895446470001414E-2</v>
      </c>
      <c r="F474" s="313"/>
      <c r="G474" s="313"/>
      <c r="H474" s="313"/>
      <c r="I474" s="313"/>
      <c r="J474" s="313"/>
      <c r="K474" s="313"/>
      <c r="L474" s="313"/>
      <c r="M474" s="313"/>
      <c r="N474" s="313"/>
      <c r="O474" s="313"/>
      <c r="P474" s="313"/>
      <c r="Q474" s="313"/>
      <c r="R474" s="313"/>
      <c r="S474" s="313"/>
      <c r="T474" s="313"/>
      <c r="U474" s="313"/>
      <c r="V474" s="313"/>
      <c r="W474" s="313"/>
      <c r="X474" s="313"/>
      <c r="Y474" s="313"/>
      <c r="Z474" s="313"/>
      <c r="AA474" s="313"/>
    </row>
    <row r="475" spans="1:27" ht="14.25" customHeight="1" x14ac:dyDescent="0.2">
      <c r="A475" s="346">
        <v>43291</v>
      </c>
      <c r="B475" s="313">
        <v>278.89999399999999</v>
      </c>
      <c r="C475" s="313">
        <v>143.53999300000001</v>
      </c>
      <c r="D475" s="345">
        <f t="shared" ref="D475:E475" si="484">B475/B474-1</f>
        <v>3.5984167743450257E-3</v>
      </c>
      <c r="E475" s="345">
        <f t="shared" si="484"/>
        <v>9.5653401811603977E-3</v>
      </c>
      <c r="F475" s="313"/>
      <c r="G475" s="313"/>
      <c r="H475" s="313"/>
      <c r="I475" s="313"/>
      <c r="J475" s="313"/>
      <c r="K475" s="313"/>
      <c r="L475" s="313"/>
      <c r="M475" s="313"/>
      <c r="N475" s="313"/>
      <c r="O475" s="313"/>
      <c r="P475" s="313"/>
      <c r="Q475" s="313"/>
      <c r="R475" s="313"/>
      <c r="S475" s="313"/>
      <c r="T475" s="313"/>
      <c r="U475" s="313"/>
      <c r="V475" s="313"/>
      <c r="W475" s="313"/>
      <c r="X475" s="313"/>
      <c r="Y475" s="313"/>
      <c r="Z475" s="313"/>
      <c r="AA475" s="313"/>
    </row>
    <row r="476" spans="1:27" ht="14.25" customHeight="1" x14ac:dyDescent="0.2">
      <c r="A476" s="346">
        <v>43292</v>
      </c>
      <c r="B476" s="313">
        <v>276.85998499999999</v>
      </c>
      <c r="C476" s="313">
        <v>143.41000399999999</v>
      </c>
      <c r="D476" s="345">
        <f t="shared" ref="D476:E476" si="485">B476/B475-1</f>
        <v>-7.3144820505087749E-3</v>
      </c>
      <c r="E476" s="345">
        <f t="shared" si="485"/>
        <v>-9.0559430360304116E-4</v>
      </c>
      <c r="F476" s="313"/>
      <c r="G476" s="313"/>
      <c r="H476" s="313"/>
      <c r="I476" s="313"/>
      <c r="J476" s="313"/>
      <c r="K476" s="313"/>
      <c r="L476" s="313"/>
      <c r="M476" s="313"/>
      <c r="N476" s="313"/>
      <c r="O476" s="313"/>
      <c r="P476" s="313"/>
      <c r="Q476" s="313"/>
      <c r="R476" s="313"/>
      <c r="S476" s="313"/>
      <c r="T476" s="313"/>
      <c r="U476" s="313"/>
      <c r="V476" s="313"/>
      <c r="W476" s="313"/>
      <c r="X476" s="313"/>
      <c r="Y476" s="313"/>
      <c r="Z476" s="313"/>
      <c r="AA476" s="313"/>
    </row>
    <row r="477" spans="1:27" ht="14.25" customHeight="1" x14ac:dyDescent="0.2">
      <c r="A477" s="346">
        <v>43293</v>
      </c>
      <c r="B477" s="313">
        <v>279.36999500000002</v>
      </c>
      <c r="C477" s="313">
        <v>143.759995</v>
      </c>
      <c r="D477" s="345">
        <f t="shared" ref="D477:E477" si="486">B477/B476-1</f>
        <v>9.06599052224899E-3</v>
      </c>
      <c r="E477" s="345">
        <f t="shared" si="486"/>
        <v>2.4404922267489138E-3</v>
      </c>
      <c r="F477" s="313"/>
      <c r="G477" s="313"/>
      <c r="H477" s="313"/>
      <c r="I477" s="313"/>
      <c r="J477" s="313"/>
      <c r="K477" s="313"/>
      <c r="L477" s="313"/>
      <c r="M477" s="313"/>
      <c r="N477" s="313"/>
      <c r="O477" s="313"/>
      <c r="P477" s="313"/>
      <c r="Q477" s="313"/>
      <c r="R477" s="313"/>
      <c r="S477" s="313"/>
      <c r="T477" s="313"/>
      <c r="U477" s="313"/>
      <c r="V477" s="313"/>
      <c r="W477" s="313"/>
      <c r="X477" s="313"/>
      <c r="Y477" s="313"/>
      <c r="Z477" s="313"/>
      <c r="AA477" s="313"/>
    </row>
    <row r="478" spans="1:27" ht="14.25" customHeight="1" x14ac:dyDescent="0.2">
      <c r="A478" s="346">
        <v>43294</v>
      </c>
      <c r="B478" s="313">
        <v>279.58999599999999</v>
      </c>
      <c r="C478" s="313">
        <v>143.229996</v>
      </c>
      <c r="D478" s="345">
        <f t="shared" ref="D478:E478" si="487">B478/B477-1</f>
        <v>7.8748972308195775E-4</v>
      </c>
      <c r="E478" s="345">
        <f t="shared" si="487"/>
        <v>-3.6866932278343256E-3</v>
      </c>
      <c r="F478" s="313"/>
      <c r="G478" s="313"/>
      <c r="H478" s="313"/>
      <c r="I478" s="313"/>
      <c r="J478" s="313"/>
      <c r="K478" s="313"/>
      <c r="L478" s="313"/>
      <c r="M478" s="313"/>
      <c r="N478" s="313"/>
      <c r="O478" s="313"/>
      <c r="P478" s="313"/>
      <c r="Q478" s="313"/>
      <c r="R478" s="313"/>
      <c r="S478" s="313"/>
      <c r="T478" s="313"/>
      <c r="U478" s="313"/>
      <c r="V478" s="313"/>
      <c r="W478" s="313"/>
      <c r="X478" s="313"/>
      <c r="Y478" s="313"/>
      <c r="Z478" s="313"/>
      <c r="AA478" s="313"/>
    </row>
    <row r="479" spans="1:27" ht="14.25" customHeight="1" x14ac:dyDescent="0.2">
      <c r="A479" s="346">
        <v>43297</v>
      </c>
      <c r="B479" s="313">
        <v>279.33999599999999</v>
      </c>
      <c r="C479" s="313">
        <v>141.759995</v>
      </c>
      <c r="D479" s="345">
        <f t="shared" ref="D479:E479" si="488">B479/B478-1</f>
        <v>-8.9416647082041223E-4</v>
      </c>
      <c r="E479" s="345">
        <f t="shared" si="488"/>
        <v>-1.0263220282432983E-2</v>
      </c>
      <c r="F479" s="313"/>
      <c r="G479" s="313"/>
      <c r="H479" s="313"/>
      <c r="I479" s="313"/>
      <c r="J479" s="313"/>
      <c r="K479" s="313"/>
      <c r="L479" s="313"/>
      <c r="M479" s="313"/>
      <c r="N479" s="313"/>
      <c r="O479" s="313"/>
      <c r="P479" s="313"/>
      <c r="Q479" s="313"/>
      <c r="R479" s="313"/>
      <c r="S479" s="313"/>
      <c r="T479" s="313"/>
      <c r="U479" s="313"/>
      <c r="V479" s="313"/>
      <c r="W479" s="313"/>
      <c r="X479" s="313"/>
      <c r="Y479" s="313"/>
      <c r="Z479" s="313"/>
      <c r="AA479" s="313"/>
    </row>
    <row r="480" spans="1:27" ht="14.25" customHeight="1" x14ac:dyDescent="0.2">
      <c r="A480" s="346">
        <v>43298</v>
      </c>
      <c r="B480" s="313">
        <v>280.47000100000002</v>
      </c>
      <c r="C480" s="313">
        <v>142.16999799999999</v>
      </c>
      <c r="D480" s="345">
        <f t="shared" ref="D480:E480" si="489">B480/B479-1</f>
        <v>4.0452674739783756E-3</v>
      </c>
      <c r="E480" s="345">
        <f t="shared" si="489"/>
        <v>2.8922334541559014E-3</v>
      </c>
      <c r="F480" s="313"/>
      <c r="G480" s="313"/>
      <c r="H480" s="313"/>
      <c r="I480" s="313"/>
      <c r="J480" s="313"/>
      <c r="K480" s="313"/>
      <c r="L480" s="313"/>
      <c r="M480" s="313"/>
      <c r="N480" s="313"/>
      <c r="O480" s="313"/>
      <c r="P480" s="313"/>
      <c r="Q480" s="313"/>
      <c r="R480" s="313"/>
      <c r="S480" s="313"/>
      <c r="T480" s="313"/>
      <c r="U480" s="313"/>
      <c r="V480" s="313"/>
      <c r="W480" s="313"/>
      <c r="X480" s="313"/>
      <c r="Y480" s="313"/>
      <c r="Z480" s="313"/>
      <c r="AA480" s="313"/>
    </row>
    <row r="481" spans="1:27" ht="14.25" customHeight="1" x14ac:dyDescent="0.2">
      <c r="A481" s="346">
        <v>43299</v>
      </c>
      <c r="B481" s="313">
        <v>281.05999800000001</v>
      </c>
      <c r="C481" s="313">
        <v>141.38000500000001</v>
      </c>
      <c r="D481" s="345">
        <f t="shared" ref="D481:E481" si="490">B481/B480-1</f>
        <v>2.1036010906563263E-3</v>
      </c>
      <c r="E481" s="345">
        <f t="shared" si="490"/>
        <v>-5.5566787023516584E-3</v>
      </c>
      <c r="F481" s="313"/>
      <c r="G481" s="313"/>
      <c r="H481" s="313"/>
      <c r="I481" s="313"/>
      <c r="J481" s="313"/>
      <c r="K481" s="313"/>
      <c r="L481" s="313"/>
      <c r="M481" s="313"/>
      <c r="N481" s="313"/>
      <c r="O481" s="313"/>
      <c r="P481" s="313"/>
      <c r="Q481" s="313"/>
      <c r="R481" s="313"/>
      <c r="S481" s="313"/>
      <c r="T481" s="313"/>
      <c r="U481" s="313"/>
      <c r="V481" s="313"/>
      <c r="W481" s="313"/>
      <c r="X481" s="313"/>
      <c r="Y481" s="313"/>
      <c r="Z481" s="313"/>
      <c r="AA481" s="313"/>
    </row>
    <row r="482" spans="1:27" ht="14.25" customHeight="1" x14ac:dyDescent="0.2">
      <c r="A482" s="346">
        <v>43300</v>
      </c>
      <c r="B482" s="313">
        <v>280</v>
      </c>
      <c r="C482" s="313">
        <v>141.66999799999999</v>
      </c>
      <c r="D482" s="345">
        <f t="shared" ref="D482:E482" si="491">B482/B481-1</f>
        <v>-3.7714296148255722E-3</v>
      </c>
      <c r="E482" s="345">
        <f t="shared" si="491"/>
        <v>2.0511599218007159E-3</v>
      </c>
      <c r="F482" s="313"/>
      <c r="G482" s="313"/>
      <c r="H482" s="313"/>
      <c r="I482" s="313"/>
      <c r="J482" s="313"/>
      <c r="K482" s="313"/>
      <c r="L482" s="313"/>
      <c r="M482" s="313"/>
      <c r="N482" s="313"/>
      <c r="O482" s="313"/>
      <c r="P482" s="313"/>
      <c r="Q482" s="313"/>
      <c r="R482" s="313"/>
      <c r="S482" s="313"/>
      <c r="T482" s="313"/>
      <c r="U482" s="313"/>
      <c r="V482" s="313"/>
      <c r="W482" s="313"/>
      <c r="X482" s="313"/>
      <c r="Y482" s="313"/>
      <c r="Z482" s="313"/>
      <c r="AA482" s="313"/>
    </row>
    <row r="483" spans="1:27" ht="14.25" customHeight="1" x14ac:dyDescent="0.2">
      <c r="A483" s="346">
        <v>43301</v>
      </c>
      <c r="B483" s="313">
        <v>279.67999300000002</v>
      </c>
      <c r="C483" s="313">
        <v>140.38000500000001</v>
      </c>
      <c r="D483" s="345">
        <f t="shared" ref="D483:E483" si="492">B483/B482-1</f>
        <v>-1.1428821428570712E-3</v>
      </c>
      <c r="E483" s="345">
        <f t="shared" si="492"/>
        <v>-9.1056188198717081E-3</v>
      </c>
      <c r="F483" s="313"/>
      <c r="G483" s="313"/>
      <c r="H483" s="313"/>
      <c r="I483" s="313"/>
      <c r="J483" s="313"/>
      <c r="K483" s="313"/>
      <c r="L483" s="313"/>
      <c r="M483" s="313"/>
      <c r="N483" s="313"/>
      <c r="O483" s="313"/>
      <c r="P483" s="313"/>
      <c r="Q483" s="313"/>
      <c r="R483" s="313"/>
      <c r="S483" s="313"/>
      <c r="T483" s="313"/>
      <c r="U483" s="313"/>
      <c r="V483" s="313"/>
      <c r="W483" s="313"/>
      <c r="X483" s="313"/>
      <c r="Y483" s="313"/>
      <c r="Z483" s="313"/>
      <c r="AA483" s="313"/>
    </row>
    <row r="484" spans="1:27" ht="14.25" customHeight="1" x14ac:dyDescent="0.2">
      <c r="A484" s="346">
        <v>43304</v>
      </c>
      <c r="B484" s="313">
        <v>280.20001200000002</v>
      </c>
      <c r="C484" s="313">
        <v>140.83999600000001</v>
      </c>
      <c r="D484" s="345">
        <f t="shared" ref="D484:E484" si="493">B484/B483-1</f>
        <v>1.859335715872934E-3</v>
      </c>
      <c r="E484" s="345">
        <f t="shared" si="493"/>
        <v>3.2767558314306111E-3</v>
      </c>
      <c r="F484" s="313"/>
      <c r="G484" s="313"/>
      <c r="H484" s="313"/>
      <c r="I484" s="313"/>
      <c r="J484" s="313"/>
      <c r="K484" s="313"/>
      <c r="L484" s="313"/>
      <c r="M484" s="313"/>
      <c r="N484" s="313"/>
      <c r="O484" s="313"/>
      <c r="P484" s="313"/>
      <c r="Q484" s="313"/>
      <c r="R484" s="313"/>
      <c r="S484" s="313"/>
      <c r="T484" s="313"/>
      <c r="U484" s="313"/>
      <c r="V484" s="313"/>
      <c r="W484" s="313"/>
      <c r="X484" s="313"/>
      <c r="Y484" s="313"/>
      <c r="Z484" s="313"/>
      <c r="AA484" s="313"/>
    </row>
    <row r="485" spans="1:27" ht="14.25" customHeight="1" x14ac:dyDescent="0.2">
      <c r="A485" s="346">
        <v>43305</v>
      </c>
      <c r="B485" s="313">
        <v>281.60998499999999</v>
      </c>
      <c r="C485" s="313">
        <v>141.570007</v>
      </c>
      <c r="D485" s="345">
        <f t="shared" ref="D485:E485" si="494">B485/B484-1</f>
        <v>5.0320233390994673E-3</v>
      </c>
      <c r="E485" s="345">
        <f t="shared" si="494"/>
        <v>5.1832648447389662E-3</v>
      </c>
      <c r="F485" s="313"/>
      <c r="G485" s="313"/>
      <c r="H485" s="313"/>
      <c r="I485" s="313"/>
      <c r="J485" s="313"/>
      <c r="K485" s="313"/>
      <c r="L485" s="313"/>
      <c r="M485" s="313"/>
      <c r="N485" s="313"/>
      <c r="O485" s="313"/>
      <c r="P485" s="313"/>
      <c r="Q485" s="313"/>
      <c r="R485" s="313"/>
      <c r="S485" s="313"/>
      <c r="T485" s="313"/>
      <c r="U485" s="313"/>
      <c r="V485" s="313"/>
      <c r="W485" s="313"/>
      <c r="X485" s="313"/>
      <c r="Y485" s="313"/>
      <c r="Z485" s="313"/>
      <c r="AA485" s="313"/>
    </row>
    <row r="486" spans="1:27" ht="14.25" customHeight="1" x14ac:dyDescent="0.2">
      <c r="A486" s="346">
        <v>43306</v>
      </c>
      <c r="B486" s="313">
        <v>284.01001000000002</v>
      </c>
      <c r="C486" s="313">
        <v>142.94000199999999</v>
      </c>
      <c r="D486" s="345">
        <f t="shared" ref="D486:E486" si="495">B486/B485-1</f>
        <v>8.5225138590168115E-3</v>
      </c>
      <c r="E486" s="345">
        <f t="shared" si="495"/>
        <v>9.6771556986643414E-3</v>
      </c>
      <c r="F486" s="313"/>
      <c r="G486" s="313"/>
      <c r="H486" s="313"/>
      <c r="I486" s="313"/>
      <c r="J486" s="313"/>
      <c r="K486" s="313"/>
      <c r="L486" s="313"/>
      <c r="M486" s="313"/>
      <c r="N486" s="313"/>
      <c r="O486" s="313"/>
      <c r="P486" s="313"/>
      <c r="Q486" s="313"/>
      <c r="R486" s="313"/>
      <c r="S486" s="313"/>
      <c r="T486" s="313"/>
      <c r="U486" s="313"/>
      <c r="V486" s="313"/>
      <c r="W486" s="313"/>
      <c r="X486" s="313"/>
      <c r="Y486" s="313"/>
      <c r="Z486" s="313"/>
      <c r="AA486" s="313"/>
    </row>
    <row r="487" spans="1:27" ht="14.25" customHeight="1" x14ac:dyDescent="0.2">
      <c r="A487" s="346">
        <v>43307</v>
      </c>
      <c r="B487" s="313">
        <v>283.33999599999999</v>
      </c>
      <c r="C487" s="313">
        <v>144.509995</v>
      </c>
      <c r="D487" s="345">
        <f t="shared" ref="D487:E487" si="496">B487/B486-1</f>
        <v>-2.3591210746410907E-3</v>
      </c>
      <c r="E487" s="345">
        <f t="shared" si="496"/>
        <v>1.0983580369615664E-2</v>
      </c>
      <c r="F487" s="313"/>
      <c r="G487" s="313"/>
      <c r="H487" s="313"/>
      <c r="I487" s="313"/>
      <c r="J487" s="313"/>
      <c r="K487" s="313"/>
      <c r="L487" s="313"/>
      <c r="M487" s="313"/>
      <c r="N487" s="313"/>
      <c r="O487" s="313"/>
      <c r="P487" s="313"/>
      <c r="Q487" s="313"/>
      <c r="R487" s="313"/>
      <c r="S487" s="313"/>
      <c r="T487" s="313"/>
      <c r="U487" s="313"/>
      <c r="V487" s="313"/>
      <c r="W487" s="313"/>
      <c r="X487" s="313"/>
      <c r="Y487" s="313"/>
      <c r="Z487" s="313"/>
      <c r="AA487" s="313"/>
    </row>
    <row r="488" spans="1:27" ht="14.25" customHeight="1" x14ac:dyDescent="0.2">
      <c r="A488" s="346">
        <v>43308</v>
      </c>
      <c r="B488" s="313">
        <v>281.42001299999998</v>
      </c>
      <c r="C488" s="313">
        <v>144.38000500000001</v>
      </c>
      <c r="D488" s="345">
        <f t="shared" ref="D488:E488" si="497">B488/B487-1</f>
        <v>-6.77625124269432E-3</v>
      </c>
      <c r="E488" s="345">
        <f t="shared" si="497"/>
        <v>-8.995225555159525E-4</v>
      </c>
      <c r="F488" s="313"/>
      <c r="G488" s="313"/>
      <c r="H488" s="313"/>
      <c r="I488" s="313"/>
      <c r="J488" s="313"/>
      <c r="K488" s="313"/>
      <c r="L488" s="313"/>
      <c r="M488" s="313"/>
      <c r="N488" s="313"/>
      <c r="O488" s="313"/>
      <c r="P488" s="313"/>
      <c r="Q488" s="313"/>
      <c r="R488" s="313"/>
      <c r="S488" s="313"/>
      <c r="T488" s="313"/>
      <c r="U488" s="313"/>
      <c r="V488" s="313"/>
      <c r="W488" s="313"/>
      <c r="X488" s="313"/>
      <c r="Y488" s="313"/>
      <c r="Z488" s="313"/>
      <c r="AA488" s="313"/>
    </row>
    <row r="489" spans="1:27" ht="14.25" customHeight="1" x14ac:dyDescent="0.2">
      <c r="A489" s="346">
        <v>43311</v>
      </c>
      <c r="B489" s="313">
        <v>279.95001200000002</v>
      </c>
      <c r="C489" s="313">
        <v>142.720001</v>
      </c>
      <c r="D489" s="345">
        <f t="shared" ref="D489:E489" si="498">B489/B488-1</f>
        <v>-5.2235126575733704E-3</v>
      </c>
      <c r="E489" s="345">
        <f t="shared" si="498"/>
        <v>-1.1497464624689702E-2</v>
      </c>
      <c r="F489" s="313"/>
      <c r="G489" s="313"/>
      <c r="H489" s="313"/>
      <c r="I489" s="313"/>
      <c r="J489" s="313"/>
      <c r="K489" s="313"/>
      <c r="L489" s="313"/>
      <c r="M489" s="313"/>
      <c r="N489" s="313"/>
      <c r="O489" s="313"/>
      <c r="P489" s="313"/>
      <c r="Q489" s="313"/>
      <c r="R489" s="313"/>
      <c r="S489" s="313"/>
      <c r="T489" s="313"/>
      <c r="U489" s="313"/>
      <c r="V489" s="313"/>
      <c r="W489" s="313"/>
      <c r="X489" s="313"/>
      <c r="Y489" s="313"/>
      <c r="Z489" s="313"/>
      <c r="AA489" s="313"/>
    </row>
    <row r="490" spans="1:27" ht="14.25" customHeight="1" x14ac:dyDescent="0.2">
      <c r="A490" s="346">
        <v>43312</v>
      </c>
      <c r="B490" s="313">
        <v>281.32998700000002</v>
      </c>
      <c r="C490" s="313">
        <v>148.240005</v>
      </c>
      <c r="D490" s="345">
        <f t="shared" ref="D490:E490" si="499">B490/B489-1</f>
        <v>4.9293621748442984E-3</v>
      </c>
      <c r="E490" s="345">
        <f t="shared" si="499"/>
        <v>3.8677157800748541E-2</v>
      </c>
      <c r="F490" s="313"/>
      <c r="G490" s="313"/>
      <c r="H490" s="313"/>
      <c r="I490" s="313"/>
      <c r="J490" s="313"/>
      <c r="K490" s="313"/>
      <c r="L490" s="313"/>
      <c r="M490" s="313"/>
      <c r="N490" s="313"/>
      <c r="O490" s="313"/>
      <c r="P490" s="313"/>
      <c r="Q490" s="313"/>
      <c r="R490" s="313"/>
      <c r="S490" s="313"/>
      <c r="T490" s="313"/>
      <c r="U490" s="313"/>
      <c r="V490" s="313"/>
      <c r="W490" s="313"/>
      <c r="X490" s="313"/>
      <c r="Y490" s="313"/>
      <c r="Z490" s="313"/>
      <c r="AA490" s="313"/>
    </row>
    <row r="491" spans="1:27" ht="14.25" customHeight="1" x14ac:dyDescent="0.2">
      <c r="A491" s="346">
        <v>43313</v>
      </c>
      <c r="B491" s="313">
        <v>280.85998499999999</v>
      </c>
      <c r="C491" s="313">
        <v>150.16999799999999</v>
      </c>
      <c r="D491" s="345">
        <f t="shared" ref="D491:E491" si="500">B491/B490-1</f>
        <v>-1.6706430942963202E-3</v>
      </c>
      <c r="E491" s="345">
        <f t="shared" si="500"/>
        <v>1.3019380294813088E-2</v>
      </c>
      <c r="F491" s="313"/>
      <c r="G491" s="313"/>
      <c r="H491" s="313"/>
      <c r="I491" s="313"/>
      <c r="J491" s="313"/>
      <c r="K491" s="313"/>
      <c r="L491" s="313"/>
      <c r="M491" s="313"/>
      <c r="N491" s="313"/>
      <c r="O491" s="313"/>
      <c r="P491" s="313"/>
      <c r="Q491" s="313"/>
      <c r="R491" s="313"/>
      <c r="S491" s="313"/>
      <c r="T491" s="313"/>
      <c r="U491" s="313"/>
      <c r="V491" s="313"/>
      <c r="W491" s="313"/>
      <c r="X491" s="313"/>
      <c r="Y491" s="313"/>
      <c r="Z491" s="313"/>
      <c r="AA491" s="313"/>
    </row>
    <row r="492" spans="1:27" ht="14.25" customHeight="1" x14ac:dyDescent="0.2">
      <c r="A492" s="346">
        <v>43314</v>
      </c>
      <c r="B492" s="313">
        <v>282.39001500000001</v>
      </c>
      <c r="C492" s="313">
        <v>148.21000699999999</v>
      </c>
      <c r="D492" s="345">
        <f t="shared" ref="D492:E492" si="501">B492/B491-1</f>
        <v>5.4476610471940745E-3</v>
      </c>
      <c r="E492" s="345">
        <f t="shared" si="501"/>
        <v>-1.30518147839358E-2</v>
      </c>
      <c r="F492" s="313"/>
      <c r="G492" s="313"/>
      <c r="H492" s="313"/>
      <c r="I492" s="313"/>
      <c r="J492" s="313"/>
      <c r="K492" s="313"/>
      <c r="L492" s="313"/>
      <c r="M492" s="313"/>
      <c r="N492" s="313"/>
      <c r="O492" s="313"/>
      <c r="P492" s="313"/>
      <c r="Q492" s="313"/>
      <c r="R492" s="313"/>
      <c r="S492" s="313"/>
      <c r="T492" s="313"/>
      <c r="U492" s="313"/>
      <c r="V492" s="313"/>
      <c r="W492" s="313"/>
      <c r="X492" s="313"/>
      <c r="Y492" s="313"/>
      <c r="Z492" s="313"/>
      <c r="AA492" s="313"/>
    </row>
    <row r="493" spans="1:27" ht="14.25" customHeight="1" x14ac:dyDescent="0.2">
      <c r="A493" s="346">
        <v>43315</v>
      </c>
      <c r="B493" s="313">
        <v>283.60000600000001</v>
      </c>
      <c r="C493" s="313">
        <v>150.990005</v>
      </c>
      <c r="D493" s="345">
        <f t="shared" ref="D493:E493" si="502">B493/B492-1</f>
        <v>4.2848221811242482E-3</v>
      </c>
      <c r="E493" s="345">
        <f t="shared" si="502"/>
        <v>1.8757154501719997E-2</v>
      </c>
      <c r="F493" s="313"/>
      <c r="G493" s="313"/>
      <c r="H493" s="313"/>
      <c r="I493" s="313"/>
      <c r="J493" s="313"/>
      <c r="K493" s="313"/>
      <c r="L493" s="313"/>
      <c r="M493" s="313"/>
      <c r="N493" s="313"/>
      <c r="O493" s="313"/>
      <c r="P493" s="313"/>
      <c r="Q493" s="313"/>
      <c r="R493" s="313"/>
      <c r="S493" s="313"/>
      <c r="T493" s="313"/>
      <c r="U493" s="313"/>
      <c r="V493" s="313"/>
      <c r="W493" s="313"/>
      <c r="X493" s="313"/>
      <c r="Y493" s="313"/>
      <c r="Z493" s="313"/>
      <c r="AA493" s="313"/>
    </row>
    <row r="494" spans="1:27" ht="14.25" customHeight="1" x14ac:dyDescent="0.2">
      <c r="A494" s="346">
        <v>43318</v>
      </c>
      <c r="B494" s="313">
        <v>284.64001500000001</v>
      </c>
      <c r="C494" s="313">
        <v>150.91000399999999</v>
      </c>
      <c r="D494" s="345">
        <f t="shared" ref="D494:E494" si="503">B494/B493-1</f>
        <v>3.667168469664972E-3</v>
      </c>
      <c r="E494" s="345">
        <f t="shared" si="503"/>
        <v>-5.2984301841707548E-4</v>
      </c>
      <c r="F494" s="313"/>
      <c r="G494" s="313"/>
      <c r="H494" s="313"/>
      <c r="I494" s="313"/>
      <c r="J494" s="313"/>
      <c r="K494" s="313"/>
      <c r="L494" s="313"/>
      <c r="M494" s="313"/>
      <c r="N494" s="313"/>
      <c r="O494" s="313"/>
      <c r="P494" s="313"/>
      <c r="Q494" s="313"/>
      <c r="R494" s="313"/>
      <c r="S494" s="313"/>
      <c r="T494" s="313"/>
      <c r="U494" s="313"/>
      <c r="V494" s="313"/>
      <c r="W494" s="313"/>
      <c r="X494" s="313"/>
      <c r="Y494" s="313"/>
      <c r="Z494" s="313"/>
      <c r="AA494" s="313"/>
    </row>
    <row r="495" spans="1:27" ht="14.25" customHeight="1" x14ac:dyDescent="0.2">
      <c r="A495" s="346">
        <v>43319</v>
      </c>
      <c r="B495" s="313">
        <v>285.57998700000002</v>
      </c>
      <c r="C495" s="313">
        <v>150.029999</v>
      </c>
      <c r="D495" s="345">
        <f t="shared" ref="D495:E495" si="504">B495/B494-1</f>
        <v>3.3023185443550318E-3</v>
      </c>
      <c r="E495" s="345">
        <f t="shared" si="504"/>
        <v>-5.8313231507168828E-3</v>
      </c>
      <c r="F495" s="313"/>
      <c r="G495" s="313"/>
      <c r="H495" s="313"/>
      <c r="I495" s="313"/>
      <c r="J495" s="313"/>
      <c r="K495" s="313"/>
      <c r="L495" s="313"/>
      <c r="M495" s="313"/>
      <c r="N495" s="313"/>
      <c r="O495" s="313"/>
      <c r="P495" s="313"/>
      <c r="Q495" s="313"/>
      <c r="R495" s="313"/>
      <c r="S495" s="313"/>
      <c r="T495" s="313"/>
      <c r="U495" s="313"/>
      <c r="V495" s="313"/>
      <c r="W495" s="313"/>
      <c r="X495" s="313"/>
      <c r="Y495" s="313"/>
      <c r="Z495" s="313"/>
      <c r="AA495" s="313"/>
    </row>
    <row r="496" spans="1:27" ht="14.25" customHeight="1" x14ac:dyDescent="0.2">
      <c r="A496" s="346">
        <v>43320</v>
      </c>
      <c r="B496" s="313">
        <v>285.459991</v>
      </c>
      <c r="C496" s="313">
        <v>149.320007</v>
      </c>
      <c r="D496" s="345">
        <f t="shared" ref="D496:E496" si="505">B496/B495-1</f>
        <v>-4.2018350536587867E-4</v>
      </c>
      <c r="E496" s="345">
        <f t="shared" si="505"/>
        <v>-4.7323335648359333E-3</v>
      </c>
      <c r="F496" s="313"/>
      <c r="G496" s="313"/>
      <c r="H496" s="313"/>
      <c r="I496" s="313"/>
      <c r="J496" s="313"/>
      <c r="K496" s="313"/>
      <c r="L496" s="313"/>
      <c r="M496" s="313"/>
      <c r="N496" s="313"/>
      <c r="O496" s="313"/>
      <c r="P496" s="313"/>
      <c r="Q496" s="313"/>
      <c r="R496" s="313"/>
      <c r="S496" s="313"/>
      <c r="T496" s="313"/>
      <c r="U496" s="313"/>
      <c r="V496" s="313"/>
      <c r="W496" s="313"/>
      <c r="X496" s="313"/>
      <c r="Y496" s="313"/>
      <c r="Z496" s="313"/>
      <c r="AA496" s="313"/>
    </row>
    <row r="497" spans="1:27" ht="14.25" customHeight="1" x14ac:dyDescent="0.2">
      <c r="A497" s="346">
        <v>43321</v>
      </c>
      <c r="B497" s="313">
        <v>285.07000699999998</v>
      </c>
      <c r="C497" s="313">
        <v>150.570007</v>
      </c>
      <c r="D497" s="345">
        <f t="shared" ref="D497:E497" si="506">B497/B496-1</f>
        <v>-1.3661599253677048E-3</v>
      </c>
      <c r="E497" s="345">
        <f t="shared" si="506"/>
        <v>8.3712827578423799E-3</v>
      </c>
      <c r="F497" s="313"/>
      <c r="G497" s="313"/>
      <c r="H497" s="313"/>
      <c r="I497" s="313"/>
      <c r="J497" s="313"/>
      <c r="K497" s="313"/>
      <c r="L497" s="313"/>
      <c r="M497" s="313"/>
      <c r="N497" s="313"/>
      <c r="O497" s="313"/>
      <c r="P497" s="313"/>
      <c r="Q497" s="313"/>
      <c r="R497" s="313"/>
      <c r="S497" s="313"/>
      <c r="T497" s="313"/>
      <c r="U497" s="313"/>
      <c r="V497" s="313"/>
      <c r="W497" s="313"/>
      <c r="X497" s="313"/>
      <c r="Y497" s="313"/>
      <c r="Z497" s="313"/>
      <c r="AA497" s="313"/>
    </row>
    <row r="498" spans="1:27" ht="14.25" customHeight="1" x14ac:dyDescent="0.2">
      <c r="A498" s="346">
        <v>43322</v>
      </c>
      <c r="B498" s="313">
        <v>283.16000400000001</v>
      </c>
      <c r="C498" s="313">
        <v>149.179993</v>
      </c>
      <c r="D498" s="345">
        <f t="shared" ref="D498:E498" si="507">B498/B497-1</f>
        <v>-6.7001191044274711E-3</v>
      </c>
      <c r="E498" s="345">
        <f t="shared" si="507"/>
        <v>-9.2316791882729454E-3</v>
      </c>
      <c r="F498" s="313"/>
      <c r="G498" s="313"/>
      <c r="H498" s="313"/>
      <c r="I498" s="313"/>
      <c r="J498" s="313"/>
      <c r="K498" s="313"/>
      <c r="L498" s="313"/>
      <c r="M498" s="313"/>
      <c r="N498" s="313"/>
      <c r="O498" s="313"/>
      <c r="P498" s="313"/>
      <c r="Q498" s="313"/>
      <c r="R498" s="313"/>
      <c r="S498" s="313"/>
      <c r="T498" s="313"/>
      <c r="U498" s="313"/>
      <c r="V498" s="313"/>
      <c r="W498" s="313"/>
      <c r="X498" s="313"/>
      <c r="Y498" s="313"/>
      <c r="Z498" s="313"/>
      <c r="AA498" s="313"/>
    </row>
    <row r="499" spans="1:27" ht="14.25" customHeight="1" x14ac:dyDescent="0.2">
      <c r="A499" s="346">
        <v>43325</v>
      </c>
      <c r="B499" s="313">
        <v>282.10000600000001</v>
      </c>
      <c r="C499" s="313">
        <v>149.009995</v>
      </c>
      <c r="D499" s="345">
        <f t="shared" ref="D499:E499" si="508">B499/B498-1</f>
        <v>-3.7434594753007477E-3</v>
      </c>
      <c r="E499" s="345">
        <f t="shared" si="508"/>
        <v>-1.1395495909427567E-3</v>
      </c>
      <c r="F499" s="313"/>
      <c r="G499" s="313"/>
      <c r="H499" s="313"/>
      <c r="I499" s="313"/>
      <c r="J499" s="313"/>
      <c r="K499" s="313"/>
      <c r="L499" s="313"/>
      <c r="M499" s="313"/>
      <c r="N499" s="313"/>
      <c r="O499" s="313"/>
      <c r="P499" s="313"/>
      <c r="Q499" s="313"/>
      <c r="R499" s="313"/>
      <c r="S499" s="313"/>
      <c r="T499" s="313"/>
      <c r="U499" s="313"/>
      <c r="V499" s="313"/>
      <c r="W499" s="313"/>
      <c r="X499" s="313"/>
      <c r="Y499" s="313"/>
      <c r="Z499" s="313"/>
      <c r="AA499" s="313"/>
    </row>
    <row r="500" spans="1:27" ht="14.25" customHeight="1" x14ac:dyDescent="0.2">
      <c r="A500" s="346">
        <v>43326</v>
      </c>
      <c r="B500" s="313">
        <v>283.89999399999999</v>
      </c>
      <c r="C500" s="313">
        <v>149.11000100000001</v>
      </c>
      <c r="D500" s="345">
        <f t="shared" ref="D500:E500" si="509">B500/B499-1</f>
        <v>6.3806733843174701E-3</v>
      </c>
      <c r="E500" s="345">
        <f t="shared" si="509"/>
        <v>6.7113618787795204E-4</v>
      </c>
      <c r="F500" s="313"/>
      <c r="G500" s="313"/>
      <c r="H500" s="313"/>
      <c r="I500" s="313"/>
      <c r="J500" s="313"/>
      <c r="K500" s="313"/>
      <c r="L500" s="313"/>
      <c r="M500" s="313"/>
      <c r="N500" s="313"/>
      <c r="O500" s="313"/>
      <c r="P500" s="313"/>
      <c r="Q500" s="313"/>
      <c r="R500" s="313"/>
      <c r="S500" s="313"/>
      <c r="T500" s="313"/>
      <c r="U500" s="313"/>
      <c r="V500" s="313"/>
      <c r="W500" s="313"/>
      <c r="X500" s="313"/>
      <c r="Y500" s="313"/>
      <c r="Z500" s="313"/>
      <c r="AA500" s="313"/>
    </row>
    <row r="501" spans="1:27" ht="14.25" customHeight="1" x14ac:dyDescent="0.2">
      <c r="A501" s="346">
        <v>43327</v>
      </c>
      <c r="B501" s="313">
        <v>281.77999899999998</v>
      </c>
      <c r="C501" s="313">
        <v>149.53999300000001</v>
      </c>
      <c r="D501" s="345">
        <f t="shared" ref="D501:E501" si="510">B501/B500-1</f>
        <v>-7.4674006509489743E-3</v>
      </c>
      <c r="E501" s="345">
        <f t="shared" si="510"/>
        <v>2.8837234063192607E-3</v>
      </c>
      <c r="F501" s="313"/>
      <c r="G501" s="313"/>
      <c r="H501" s="313"/>
      <c r="I501" s="313"/>
      <c r="J501" s="313"/>
      <c r="K501" s="313"/>
      <c r="L501" s="313"/>
      <c r="M501" s="313"/>
      <c r="N501" s="313"/>
      <c r="O501" s="313"/>
      <c r="P501" s="313"/>
      <c r="Q501" s="313"/>
      <c r="R501" s="313"/>
      <c r="S501" s="313"/>
      <c r="T501" s="313"/>
      <c r="U501" s="313"/>
      <c r="V501" s="313"/>
      <c r="W501" s="313"/>
      <c r="X501" s="313"/>
      <c r="Y501" s="313"/>
      <c r="Z501" s="313"/>
      <c r="AA501" s="313"/>
    </row>
    <row r="502" spans="1:27" ht="14.25" customHeight="1" x14ac:dyDescent="0.2">
      <c r="A502" s="346">
        <v>43328</v>
      </c>
      <c r="B502" s="313">
        <v>284.05999800000001</v>
      </c>
      <c r="C502" s="313">
        <v>149.720001</v>
      </c>
      <c r="D502" s="345">
        <f t="shared" ref="D502:E502" si="511">B502/B501-1</f>
        <v>8.0914153172384484E-3</v>
      </c>
      <c r="E502" s="345">
        <f t="shared" si="511"/>
        <v>1.2037448737876044E-3</v>
      </c>
      <c r="F502" s="313"/>
      <c r="G502" s="313"/>
      <c r="H502" s="313"/>
      <c r="I502" s="313"/>
      <c r="J502" s="313"/>
      <c r="K502" s="313"/>
      <c r="L502" s="313"/>
      <c r="M502" s="313"/>
      <c r="N502" s="313"/>
      <c r="O502" s="313"/>
      <c r="P502" s="313"/>
      <c r="Q502" s="313"/>
      <c r="R502" s="313"/>
      <c r="S502" s="313"/>
      <c r="T502" s="313"/>
      <c r="U502" s="313"/>
      <c r="V502" s="313"/>
      <c r="W502" s="313"/>
      <c r="X502" s="313"/>
      <c r="Y502" s="313"/>
      <c r="Z502" s="313"/>
      <c r="AA502" s="313"/>
    </row>
    <row r="503" spans="1:27" ht="14.25" customHeight="1" x14ac:dyDescent="0.2">
      <c r="A503" s="346">
        <v>43329</v>
      </c>
      <c r="B503" s="313">
        <v>285.05999800000001</v>
      </c>
      <c r="C503" s="313">
        <v>151.16999799999999</v>
      </c>
      <c r="D503" s="345">
        <f t="shared" ref="D503:E503" si="512">B503/B502-1</f>
        <v>3.520383042458608E-3</v>
      </c>
      <c r="E503" s="345">
        <f t="shared" si="512"/>
        <v>9.6847247549778359E-3</v>
      </c>
      <c r="F503" s="313"/>
      <c r="G503" s="313"/>
      <c r="H503" s="313"/>
      <c r="I503" s="313"/>
      <c r="J503" s="313"/>
      <c r="K503" s="313"/>
      <c r="L503" s="313"/>
      <c r="M503" s="313"/>
      <c r="N503" s="313"/>
      <c r="O503" s="313"/>
      <c r="P503" s="313"/>
      <c r="Q503" s="313"/>
      <c r="R503" s="313"/>
      <c r="S503" s="313"/>
      <c r="T503" s="313"/>
      <c r="U503" s="313"/>
      <c r="V503" s="313"/>
      <c r="W503" s="313"/>
      <c r="X503" s="313"/>
      <c r="Y503" s="313"/>
      <c r="Z503" s="313"/>
      <c r="AA503" s="313"/>
    </row>
    <row r="504" spans="1:27" ht="14.25" customHeight="1" x14ac:dyDescent="0.2">
      <c r="A504" s="346">
        <v>43332</v>
      </c>
      <c r="B504" s="313">
        <v>285.67001299999998</v>
      </c>
      <c r="C504" s="313">
        <v>150.78999300000001</v>
      </c>
      <c r="D504" s="345">
        <f t="shared" ref="D504:E504" si="513">B504/B503-1</f>
        <v>2.1399530073664685E-3</v>
      </c>
      <c r="E504" s="345">
        <f t="shared" si="513"/>
        <v>-2.5137593770424571E-3</v>
      </c>
      <c r="F504" s="313"/>
      <c r="G504" s="313"/>
      <c r="H504" s="313"/>
      <c r="I504" s="313"/>
      <c r="J504" s="313"/>
      <c r="K504" s="313"/>
      <c r="L504" s="313"/>
      <c r="M504" s="313"/>
      <c r="N504" s="313"/>
      <c r="O504" s="313"/>
      <c r="P504" s="313"/>
      <c r="Q504" s="313"/>
      <c r="R504" s="313"/>
      <c r="S504" s="313"/>
      <c r="T504" s="313"/>
      <c r="U504" s="313"/>
      <c r="V504" s="313"/>
      <c r="W504" s="313"/>
      <c r="X504" s="313"/>
      <c r="Y504" s="313"/>
      <c r="Z504" s="313"/>
      <c r="AA504" s="313"/>
    </row>
    <row r="505" spans="1:27" ht="14.25" customHeight="1" x14ac:dyDescent="0.2">
      <c r="A505" s="346">
        <v>43333</v>
      </c>
      <c r="B505" s="313">
        <v>286.33999599999999</v>
      </c>
      <c r="C505" s="313">
        <v>149.279999</v>
      </c>
      <c r="D505" s="345">
        <f t="shared" ref="D505:E505" si="514">B505/B504-1</f>
        <v>2.3453039153955579E-3</v>
      </c>
      <c r="E505" s="345">
        <f t="shared" si="514"/>
        <v>-1.0013887327390503E-2</v>
      </c>
      <c r="F505" s="313"/>
      <c r="G505" s="313"/>
      <c r="H505" s="313"/>
      <c r="I505" s="313"/>
      <c r="J505" s="313"/>
      <c r="K505" s="313"/>
      <c r="L505" s="313"/>
      <c r="M505" s="313"/>
      <c r="N505" s="313"/>
      <c r="O505" s="313"/>
      <c r="P505" s="313"/>
      <c r="Q505" s="313"/>
      <c r="R505" s="313"/>
      <c r="S505" s="313"/>
      <c r="T505" s="313"/>
      <c r="U505" s="313"/>
      <c r="V505" s="313"/>
      <c r="W505" s="313"/>
      <c r="X505" s="313"/>
      <c r="Y505" s="313"/>
      <c r="Z505" s="313"/>
      <c r="AA505" s="313"/>
    </row>
    <row r="506" spans="1:27" ht="14.25" customHeight="1" x14ac:dyDescent="0.2">
      <c r="A506" s="346">
        <v>43334</v>
      </c>
      <c r="B506" s="313">
        <v>286.17001299999998</v>
      </c>
      <c r="C506" s="313">
        <v>148.11000100000001</v>
      </c>
      <c r="D506" s="345">
        <f t="shared" ref="D506:E506" si="515">B506/B505-1</f>
        <v>-5.9364043575671488E-4</v>
      </c>
      <c r="E506" s="345">
        <f t="shared" si="515"/>
        <v>-7.8376072336387992E-3</v>
      </c>
      <c r="F506" s="313"/>
      <c r="G506" s="313"/>
      <c r="H506" s="313"/>
      <c r="I506" s="313"/>
      <c r="J506" s="313"/>
      <c r="K506" s="313"/>
      <c r="L506" s="313"/>
      <c r="M506" s="313"/>
      <c r="N506" s="313"/>
      <c r="O506" s="313"/>
      <c r="P506" s="313"/>
      <c r="Q506" s="313"/>
      <c r="R506" s="313"/>
      <c r="S506" s="313"/>
      <c r="T506" s="313"/>
      <c r="U506" s="313"/>
      <c r="V506" s="313"/>
      <c r="W506" s="313"/>
      <c r="X506" s="313"/>
      <c r="Y506" s="313"/>
      <c r="Z506" s="313"/>
      <c r="AA506" s="313"/>
    </row>
    <row r="507" spans="1:27" ht="14.25" customHeight="1" x14ac:dyDescent="0.2">
      <c r="A507" s="346">
        <v>43335</v>
      </c>
      <c r="B507" s="313">
        <v>285.790009</v>
      </c>
      <c r="C507" s="313">
        <v>147.38000500000001</v>
      </c>
      <c r="D507" s="345">
        <f t="shared" ref="D507:E507" si="516">B507/B506-1</f>
        <v>-1.327895945547497E-3</v>
      </c>
      <c r="E507" s="345">
        <f t="shared" si="516"/>
        <v>-4.9287421178263457E-3</v>
      </c>
      <c r="F507" s="313"/>
      <c r="G507" s="313"/>
      <c r="H507" s="313"/>
      <c r="I507" s="313"/>
      <c r="J507" s="313"/>
      <c r="K507" s="313"/>
      <c r="L507" s="313"/>
      <c r="M507" s="313"/>
      <c r="N507" s="313"/>
      <c r="O507" s="313"/>
      <c r="P507" s="313"/>
      <c r="Q507" s="313"/>
      <c r="R507" s="313"/>
      <c r="S507" s="313"/>
      <c r="T507" s="313"/>
      <c r="U507" s="313"/>
      <c r="V507" s="313"/>
      <c r="W507" s="313"/>
      <c r="X507" s="313"/>
      <c r="Y507" s="313"/>
      <c r="Z507" s="313"/>
      <c r="AA507" s="313"/>
    </row>
    <row r="508" spans="1:27" ht="14.25" customHeight="1" x14ac:dyDescent="0.2">
      <c r="A508" s="346">
        <v>43336</v>
      </c>
      <c r="B508" s="313">
        <v>287.51001000000002</v>
      </c>
      <c r="C508" s="313">
        <v>148.05999800000001</v>
      </c>
      <c r="D508" s="345">
        <f t="shared" ref="D508:E508" si="517">B508/B507-1</f>
        <v>6.0184084321857068E-3</v>
      </c>
      <c r="E508" s="345">
        <f t="shared" si="517"/>
        <v>4.6138755389510955E-3</v>
      </c>
      <c r="F508" s="313"/>
      <c r="G508" s="313"/>
      <c r="H508" s="313"/>
      <c r="I508" s="313"/>
      <c r="J508" s="313"/>
      <c r="K508" s="313"/>
      <c r="L508" s="313"/>
      <c r="M508" s="313"/>
      <c r="N508" s="313"/>
      <c r="O508" s="313"/>
      <c r="P508" s="313"/>
      <c r="Q508" s="313"/>
      <c r="R508" s="313"/>
      <c r="S508" s="313"/>
      <c r="T508" s="313"/>
      <c r="U508" s="313"/>
      <c r="V508" s="313"/>
      <c r="W508" s="313"/>
      <c r="X508" s="313"/>
      <c r="Y508" s="313"/>
      <c r="Z508" s="313"/>
      <c r="AA508" s="313"/>
    </row>
    <row r="509" spans="1:27" ht="14.25" customHeight="1" x14ac:dyDescent="0.2">
      <c r="A509" s="346">
        <v>43339</v>
      </c>
      <c r="B509" s="313">
        <v>289.77999899999998</v>
      </c>
      <c r="C509" s="313">
        <v>148.36999499999999</v>
      </c>
      <c r="D509" s="345">
        <f t="shared" ref="D509:E509" si="518">B509/B508-1</f>
        <v>7.8953390179352656E-3</v>
      </c>
      <c r="E509" s="345">
        <f t="shared" si="518"/>
        <v>2.0937255449644532E-3</v>
      </c>
      <c r="F509" s="313"/>
      <c r="G509" s="313"/>
      <c r="H509" s="313"/>
      <c r="I509" s="313"/>
      <c r="J509" s="313"/>
      <c r="K509" s="313"/>
      <c r="L509" s="313"/>
      <c r="M509" s="313"/>
      <c r="N509" s="313"/>
      <c r="O509" s="313"/>
      <c r="P509" s="313"/>
      <c r="Q509" s="313"/>
      <c r="R509" s="313"/>
      <c r="S509" s="313"/>
      <c r="T509" s="313"/>
      <c r="U509" s="313"/>
      <c r="V509" s="313"/>
      <c r="W509" s="313"/>
      <c r="X509" s="313"/>
      <c r="Y509" s="313"/>
      <c r="Z509" s="313"/>
      <c r="AA509" s="313"/>
    </row>
    <row r="510" spans="1:27" ht="14.25" customHeight="1" x14ac:dyDescent="0.2">
      <c r="A510" s="346">
        <v>43340</v>
      </c>
      <c r="B510" s="313">
        <v>289.92001299999998</v>
      </c>
      <c r="C510" s="313">
        <v>150.10000600000001</v>
      </c>
      <c r="D510" s="345">
        <f t="shared" ref="D510:E510" si="519">B510/B509-1</f>
        <v>4.8317344358883574E-4</v>
      </c>
      <c r="E510" s="345">
        <f t="shared" si="519"/>
        <v>1.1660113623378043E-2</v>
      </c>
      <c r="F510" s="313"/>
      <c r="G510" s="313"/>
      <c r="H510" s="313"/>
      <c r="I510" s="313"/>
      <c r="J510" s="313"/>
      <c r="K510" s="313"/>
      <c r="L510" s="313"/>
      <c r="M510" s="313"/>
      <c r="N510" s="313"/>
      <c r="O510" s="313"/>
      <c r="P510" s="313"/>
      <c r="Q510" s="313"/>
      <c r="R510" s="313"/>
      <c r="S510" s="313"/>
      <c r="T510" s="313"/>
      <c r="U510" s="313"/>
      <c r="V510" s="313"/>
      <c r="W510" s="313"/>
      <c r="X510" s="313"/>
      <c r="Y510" s="313"/>
      <c r="Z510" s="313"/>
      <c r="AA510" s="313"/>
    </row>
    <row r="511" spans="1:27" ht="14.25" customHeight="1" x14ac:dyDescent="0.2">
      <c r="A511" s="346">
        <v>43341</v>
      </c>
      <c r="B511" s="313">
        <v>291.48001099999999</v>
      </c>
      <c r="C511" s="313">
        <v>150.449997</v>
      </c>
      <c r="D511" s="345">
        <f t="shared" ref="D511:E511" si="520">B511/B510-1</f>
        <v>5.3807875622577939E-3</v>
      </c>
      <c r="E511" s="345">
        <f t="shared" si="520"/>
        <v>2.3317187608906664E-3</v>
      </c>
      <c r="F511" s="313"/>
      <c r="G511" s="313"/>
      <c r="H511" s="313"/>
      <c r="I511" s="313"/>
      <c r="J511" s="313"/>
      <c r="K511" s="313"/>
      <c r="L511" s="313"/>
      <c r="M511" s="313"/>
      <c r="N511" s="313"/>
      <c r="O511" s="313"/>
      <c r="P511" s="313"/>
      <c r="Q511" s="313"/>
      <c r="R511" s="313"/>
      <c r="S511" s="313"/>
      <c r="T511" s="313"/>
      <c r="U511" s="313"/>
      <c r="V511" s="313"/>
      <c r="W511" s="313"/>
      <c r="X511" s="313"/>
      <c r="Y511" s="313"/>
      <c r="Z511" s="313"/>
      <c r="AA511" s="313"/>
    </row>
    <row r="512" spans="1:27" ht="14.25" customHeight="1" x14ac:dyDescent="0.2">
      <c r="A512" s="346">
        <v>43342</v>
      </c>
      <c r="B512" s="313">
        <v>290.29998799999998</v>
      </c>
      <c r="C512" s="313">
        <v>148.94000199999999</v>
      </c>
      <c r="D512" s="345">
        <f t="shared" ref="D512:E512" si="521">B512/B511-1</f>
        <v>-4.0483839559070089E-3</v>
      </c>
      <c r="E512" s="345">
        <f t="shared" si="521"/>
        <v>-1.0036523962177357E-2</v>
      </c>
      <c r="F512" s="313"/>
      <c r="G512" s="313"/>
      <c r="H512" s="313"/>
      <c r="I512" s="313"/>
      <c r="J512" s="313"/>
      <c r="K512" s="313"/>
      <c r="L512" s="313"/>
      <c r="M512" s="313"/>
      <c r="N512" s="313"/>
      <c r="O512" s="313"/>
      <c r="P512" s="313"/>
      <c r="Q512" s="313"/>
      <c r="R512" s="313"/>
      <c r="S512" s="313"/>
      <c r="T512" s="313"/>
      <c r="U512" s="313"/>
      <c r="V512" s="313"/>
      <c r="W512" s="313"/>
      <c r="X512" s="313"/>
      <c r="Y512" s="313"/>
      <c r="Z512" s="313"/>
      <c r="AA512" s="313"/>
    </row>
    <row r="513" spans="1:27" ht="14.25" customHeight="1" x14ac:dyDescent="0.2">
      <c r="A513" s="346">
        <v>43343</v>
      </c>
      <c r="B513" s="313">
        <v>290.30999800000001</v>
      </c>
      <c r="C513" s="313">
        <v>149.11999499999999</v>
      </c>
      <c r="D513" s="345">
        <f t="shared" ref="D513:E513" si="522">B513/B512-1</f>
        <v>3.4481572214195566E-5</v>
      </c>
      <c r="E513" s="345">
        <f t="shared" si="522"/>
        <v>1.208493336800176E-3</v>
      </c>
      <c r="F513" s="313"/>
      <c r="G513" s="313"/>
      <c r="H513" s="313"/>
      <c r="I513" s="313"/>
      <c r="J513" s="313"/>
      <c r="K513" s="313"/>
      <c r="L513" s="313"/>
      <c r="M513" s="313"/>
      <c r="N513" s="313"/>
      <c r="O513" s="313"/>
      <c r="P513" s="313"/>
      <c r="Q513" s="313"/>
      <c r="R513" s="313"/>
      <c r="S513" s="313"/>
      <c r="T513" s="313"/>
      <c r="U513" s="313"/>
      <c r="V513" s="313"/>
      <c r="W513" s="313"/>
      <c r="X513" s="313"/>
      <c r="Y513" s="313"/>
      <c r="Z513" s="313"/>
      <c r="AA513" s="313"/>
    </row>
    <row r="514" spans="1:27" ht="14.25" customHeight="1" x14ac:dyDescent="0.2">
      <c r="A514" s="346">
        <v>43347</v>
      </c>
      <c r="B514" s="313">
        <v>289.80999800000001</v>
      </c>
      <c r="C514" s="313">
        <v>148.14999399999999</v>
      </c>
      <c r="D514" s="345">
        <f t="shared" ref="D514:E514" si="523">B514/B513-1</f>
        <v>-1.722296866951134E-3</v>
      </c>
      <c r="E514" s="345">
        <f t="shared" si="523"/>
        <v>-6.5048352502962148E-3</v>
      </c>
      <c r="F514" s="313"/>
      <c r="G514" s="313"/>
      <c r="H514" s="313"/>
      <c r="I514" s="313"/>
      <c r="J514" s="313"/>
      <c r="K514" s="313"/>
      <c r="L514" s="313"/>
      <c r="M514" s="313"/>
      <c r="N514" s="313"/>
      <c r="O514" s="313"/>
      <c r="P514" s="313"/>
      <c r="Q514" s="313"/>
      <c r="R514" s="313"/>
      <c r="S514" s="313"/>
      <c r="T514" s="313"/>
      <c r="U514" s="313"/>
      <c r="V514" s="313"/>
      <c r="W514" s="313"/>
      <c r="X514" s="313"/>
      <c r="Y514" s="313"/>
      <c r="Z514" s="313"/>
      <c r="AA514" s="313"/>
    </row>
    <row r="515" spans="1:27" ht="14.25" customHeight="1" x14ac:dyDescent="0.2">
      <c r="A515" s="346">
        <v>43348</v>
      </c>
      <c r="B515" s="313">
        <v>289.02999899999998</v>
      </c>
      <c r="C515" s="313">
        <v>147.60000600000001</v>
      </c>
      <c r="D515" s="345">
        <f t="shared" ref="D515:E515" si="524">B515/B514-1</f>
        <v>-2.6914150836163664E-3</v>
      </c>
      <c r="E515" s="345">
        <f t="shared" si="524"/>
        <v>-3.7123727456916944E-3</v>
      </c>
      <c r="F515" s="313"/>
      <c r="G515" s="313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</row>
    <row r="516" spans="1:27" ht="14.25" customHeight="1" x14ac:dyDescent="0.2">
      <c r="A516" s="346">
        <v>43349</v>
      </c>
      <c r="B516" s="313">
        <v>288.16000400000001</v>
      </c>
      <c r="C516" s="313">
        <v>148.08999600000001</v>
      </c>
      <c r="D516" s="345">
        <f t="shared" ref="D516:E516" si="525">B516/B515-1</f>
        <v>-3.0100508701865758E-3</v>
      </c>
      <c r="E516" s="345">
        <f t="shared" si="525"/>
        <v>3.3197153122066503E-3</v>
      </c>
      <c r="F516" s="313"/>
      <c r="G516" s="313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</row>
    <row r="517" spans="1:27" ht="14.25" customHeight="1" x14ac:dyDescent="0.2">
      <c r="A517" s="346">
        <v>43350</v>
      </c>
      <c r="B517" s="313">
        <v>287.60000600000001</v>
      </c>
      <c r="C517" s="313">
        <v>146.550003</v>
      </c>
      <c r="D517" s="345">
        <f t="shared" ref="D517:E517" si="526">B517/B516-1</f>
        <v>-1.9433578297701759E-3</v>
      </c>
      <c r="E517" s="345">
        <f t="shared" si="526"/>
        <v>-1.0399034651874861E-2</v>
      </c>
      <c r="F517" s="313"/>
      <c r="G517" s="313"/>
      <c r="H517" s="313"/>
      <c r="I517" s="313"/>
      <c r="J517" s="313"/>
      <c r="K517" s="313"/>
      <c r="L517" s="313"/>
      <c r="M517" s="313"/>
      <c r="N517" s="313"/>
      <c r="O517" s="313"/>
      <c r="P517" s="313"/>
      <c r="Q517" s="313"/>
      <c r="R517" s="313"/>
      <c r="S517" s="313"/>
      <c r="T517" s="313"/>
      <c r="U517" s="313"/>
      <c r="V517" s="313"/>
      <c r="W517" s="313"/>
      <c r="X517" s="313"/>
      <c r="Y517" s="313"/>
      <c r="Z517" s="313"/>
      <c r="AA517" s="313"/>
    </row>
    <row r="518" spans="1:27" ht="14.25" customHeight="1" x14ac:dyDescent="0.2">
      <c r="A518" s="346">
        <v>43353</v>
      </c>
      <c r="B518" s="313">
        <v>288.10000600000001</v>
      </c>
      <c r="C518" s="313">
        <v>147.33000200000001</v>
      </c>
      <c r="D518" s="345">
        <f t="shared" ref="D518:E518" si="527">B518/B517-1</f>
        <v>1.738525693911086E-3</v>
      </c>
      <c r="E518" s="345">
        <f t="shared" si="527"/>
        <v>5.3224086252663394E-3</v>
      </c>
      <c r="F518" s="313"/>
      <c r="G518" s="313"/>
      <c r="H518" s="313"/>
      <c r="I518" s="313"/>
      <c r="J518" s="313"/>
      <c r="K518" s="313"/>
      <c r="L518" s="313"/>
      <c r="M518" s="313"/>
      <c r="N518" s="313"/>
      <c r="O518" s="313"/>
      <c r="P518" s="313"/>
      <c r="Q518" s="313"/>
      <c r="R518" s="313"/>
      <c r="S518" s="313"/>
      <c r="T518" s="313"/>
      <c r="U518" s="313"/>
      <c r="V518" s="313"/>
      <c r="W518" s="313"/>
      <c r="X518" s="313"/>
      <c r="Y518" s="313"/>
      <c r="Z518" s="313"/>
      <c r="AA518" s="313"/>
    </row>
    <row r="519" spans="1:27" ht="14.25" customHeight="1" x14ac:dyDescent="0.2">
      <c r="A519" s="346">
        <v>43354</v>
      </c>
      <c r="B519" s="313">
        <v>289.04998799999998</v>
      </c>
      <c r="C519" s="313">
        <v>147</v>
      </c>
      <c r="D519" s="345">
        <f t="shared" ref="D519:E519" si="528">B519/B518-1</f>
        <v>3.2974036106059312E-3</v>
      </c>
      <c r="E519" s="345">
        <f t="shared" si="528"/>
        <v>-2.2398832248710088E-3</v>
      </c>
      <c r="F519" s="313"/>
      <c r="G519" s="313"/>
      <c r="H519" s="313"/>
      <c r="I519" s="313"/>
      <c r="J519" s="313"/>
      <c r="K519" s="313"/>
      <c r="L519" s="313"/>
      <c r="M519" s="313"/>
      <c r="N519" s="313"/>
      <c r="O519" s="313"/>
      <c r="P519" s="313"/>
      <c r="Q519" s="313"/>
      <c r="R519" s="313"/>
      <c r="S519" s="313"/>
      <c r="T519" s="313"/>
      <c r="U519" s="313"/>
      <c r="V519" s="313"/>
      <c r="W519" s="313"/>
      <c r="X519" s="313"/>
      <c r="Y519" s="313"/>
      <c r="Z519" s="313"/>
      <c r="AA519" s="313"/>
    </row>
    <row r="520" spans="1:27" ht="14.25" customHeight="1" x14ac:dyDescent="0.2">
      <c r="A520" s="346">
        <v>43355</v>
      </c>
      <c r="B520" s="313">
        <v>289.11999500000002</v>
      </c>
      <c r="C520" s="313">
        <v>147.30999800000001</v>
      </c>
      <c r="D520" s="345">
        <f t="shared" ref="D520:E520" si="529">B520/B519-1</f>
        <v>2.4219686181070621E-4</v>
      </c>
      <c r="E520" s="345">
        <f t="shared" si="529"/>
        <v>2.108829931972922E-3</v>
      </c>
      <c r="F520" s="313"/>
      <c r="G520" s="313"/>
      <c r="H520" s="313"/>
      <c r="I520" s="313"/>
      <c r="J520" s="313"/>
      <c r="K520" s="313"/>
      <c r="L520" s="313"/>
      <c r="M520" s="313"/>
      <c r="N520" s="313"/>
      <c r="O520" s="313"/>
      <c r="P520" s="313"/>
      <c r="Q520" s="313"/>
      <c r="R520" s="313"/>
      <c r="S520" s="313"/>
      <c r="T520" s="313"/>
      <c r="U520" s="313"/>
      <c r="V520" s="313"/>
      <c r="W520" s="313"/>
      <c r="X520" s="313"/>
      <c r="Y520" s="313"/>
      <c r="Z520" s="313"/>
      <c r="AA520" s="313"/>
    </row>
    <row r="521" spans="1:27" ht="14.25" customHeight="1" x14ac:dyDescent="0.2">
      <c r="A521" s="346">
        <v>43356</v>
      </c>
      <c r="B521" s="313">
        <v>290.82998700000002</v>
      </c>
      <c r="C521" s="313">
        <v>148.720001</v>
      </c>
      <c r="D521" s="345">
        <f t="shared" ref="D521:E521" si="530">B521/B520-1</f>
        <v>5.9144716020074206E-3</v>
      </c>
      <c r="E521" s="345">
        <f t="shared" si="530"/>
        <v>9.5716721142036221E-3</v>
      </c>
      <c r="F521" s="313"/>
      <c r="G521" s="313"/>
      <c r="H521" s="313"/>
      <c r="I521" s="313"/>
      <c r="J521" s="313"/>
      <c r="K521" s="313"/>
      <c r="L521" s="313"/>
      <c r="M521" s="313"/>
      <c r="N521" s="313"/>
      <c r="O521" s="313"/>
      <c r="P521" s="313"/>
      <c r="Q521" s="313"/>
      <c r="R521" s="313"/>
      <c r="S521" s="313"/>
      <c r="T521" s="313"/>
      <c r="U521" s="313"/>
      <c r="V521" s="313"/>
      <c r="W521" s="313"/>
      <c r="X521" s="313"/>
      <c r="Y521" s="313"/>
      <c r="Z521" s="313"/>
      <c r="AA521" s="313"/>
    </row>
    <row r="522" spans="1:27" ht="14.25" customHeight="1" x14ac:dyDescent="0.2">
      <c r="A522" s="346">
        <v>43357</v>
      </c>
      <c r="B522" s="313">
        <v>290.88000499999998</v>
      </c>
      <c r="C522" s="313">
        <v>147.19000199999999</v>
      </c>
      <c r="D522" s="345">
        <f t="shared" ref="D522:E522" si="531">B522/B521-1</f>
        <v>1.7198364073767181E-4</v>
      </c>
      <c r="E522" s="345">
        <f t="shared" si="531"/>
        <v>-1.0287782340722251E-2</v>
      </c>
      <c r="F522" s="313"/>
      <c r="G522" s="313"/>
      <c r="H522" s="313"/>
      <c r="I522" s="313"/>
      <c r="J522" s="313"/>
      <c r="K522" s="313"/>
      <c r="L522" s="313"/>
      <c r="M522" s="313"/>
      <c r="N522" s="313"/>
      <c r="O522" s="313"/>
      <c r="P522" s="313"/>
      <c r="Q522" s="313"/>
      <c r="R522" s="313"/>
      <c r="S522" s="313"/>
      <c r="T522" s="313"/>
      <c r="U522" s="313"/>
      <c r="V522" s="313"/>
      <c r="W522" s="313"/>
      <c r="X522" s="313"/>
      <c r="Y522" s="313"/>
      <c r="Z522" s="313"/>
      <c r="AA522" s="313"/>
    </row>
    <row r="523" spans="1:27" ht="14.25" customHeight="1" x14ac:dyDescent="0.2">
      <c r="A523" s="346">
        <v>43360</v>
      </c>
      <c r="B523" s="313">
        <v>289.33999599999999</v>
      </c>
      <c r="C523" s="313">
        <v>147.75</v>
      </c>
      <c r="D523" s="345">
        <f t="shared" ref="D523:E523" si="532">B523/B522-1</f>
        <v>-5.2943102775317996E-3</v>
      </c>
      <c r="E523" s="345">
        <f t="shared" si="532"/>
        <v>3.8045926516123707E-3</v>
      </c>
      <c r="F523" s="313"/>
      <c r="G523" s="313"/>
      <c r="H523" s="313"/>
      <c r="I523" s="313"/>
      <c r="J523" s="313"/>
      <c r="K523" s="313"/>
      <c r="L523" s="313"/>
      <c r="M523" s="313"/>
      <c r="N523" s="313"/>
      <c r="O523" s="313"/>
      <c r="P523" s="313"/>
      <c r="Q523" s="313"/>
      <c r="R523" s="313"/>
      <c r="S523" s="313"/>
      <c r="T523" s="313"/>
      <c r="U523" s="313"/>
      <c r="V523" s="313"/>
      <c r="W523" s="313"/>
      <c r="X523" s="313"/>
      <c r="Y523" s="313"/>
      <c r="Z523" s="313"/>
      <c r="AA523" s="313"/>
    </row>
    <row r="524" spans="1:27" ht="14.25" customHeight="1" x14ac:dyDescent="0.2">
      <c r="A524" s="346">
        <v>43361</v>
      </c>
      <c r="B524" s="313">
        <v>290.91000400000001</v>
      </c>
      <c r="C524" s="313">
        <v>147.41000399999999</v>
      </c>
      <c r="D524" s="345">
        <f t="shared" ref="D524:E524" si="533">B524/B523-1</f>
        <v>5.4261699789337481E-3</v>
      </c>
      <c r="E524" s="345">
        <f t="shared" si="533"/>
        <v>-2.3011573604061475E-3</v>
      </c>
      <c r="F524" s="313"/>
      <c r="G524" s="313"/>
      <c r="H524" s="313"/>
      <c r="I524" s="313"/>
      <c r="J524" s="313"/>
      <c r="K524" s="313"/>
      <c r="L524" s="313"/>
      <c r="M524" s="313"/>
      <c r="N524" s="313"/>
      <c r="O524" s="313"/>
      <c r="P524" s="313"/>
      <c r="Q524" s="313"/>
      <c r="R524" s="313"/>
      <c r="S524" s="313"/>
      <c r="T524" s="313"/>
      <c r="U524" s="313"/>
      <c r="V524" s="313"/>
      <c r="W524" s="313"/>
      <c r="X524" s="313"/>
      <c r="Y524" s="313"/>
      <c r="Z524" s="313"/>
      <c r="AA524" s="313"/>
    </row>
    <row r="525" spans="1:27" ht="14.25" customHeight="1" x14ac:dyDescent="0.2">
      <c r="A525" s="346">
        <v>43362</v>
      </c>
      <c r="B525" s="313">
        <v>291.22000100000002</v>
      </c>
      <c r="C525" s="313">
        <v>147.58000200000001</v>
      </c>
      <c r="D525" s="345">
        <f t="shared" ref="D525:E525" si="534">B525/B524-1</f>
        <v>1.0656113428124669E-3</v>
      </c>
      <c r="E525" s="345">
        <f t="shared" si="534"/>
        <v>1.1532324495426849E-3</v>
      </c>
      <c r="F525" s="313"/>
      <c r="G525" s="313"/>
      <c r="H525" s="313"/>
      <c r="I525" s="313"/>
      <c r="J525" s="313"/>
      <c r="K525" s="313"/>
      <c r="L525" s="313"/>
      <c r="M525" s="313"/>
      <c r="N525" s="313"/>
      <c r="O525" s="313"/>
      <c r="P525" s="313"/>
      <c r="Q525" s="313"/>
      <c r="R525" s="313"/>
      <c r="S525" s="313"/>
      <c r="T525" s="313"/>
      <c r="U525" s="313"/>
      <c r="V525" s="313"/>
      <c r="W525" s="313"/>
      <c r="X525" s="313"/>
      <c r="Y525" s="313"/>
      <c r="Z525" s="313"/>
      <c r="AA525" s="313"/>
    </row>
    <row r="526" spans="1:27" ht="14.25" customHeight="1" x14ac:dyDescent="0.2">
      <c r="A526" s="346">
        <v>43363</v>
      </c>
      <c r="B526" s="313">
        <v>293.57998700000002</v>
      </c>
      <c r="C526" s="313">
        <v>148.729996</v>
      </c>
      <c r="D526" s="345">
        <f t="shared" ref="D526:E526" si="535">B526/B525-1</f>
        <v>8.1037909205967651E-3</v>
      </c>
      <c r="E526" s="345">
        <f t="shared" si="535"/>
        <v>7.7923430303246111E-3</v>
      </c>
      <c r="F526" s="313"/>
      <c r="G526" s="313"/>
      <c r="H526" s="313"/>
      <c r="I526" s="313"/>
      <c r="J526" s="313"/>
      <c r="K526" s="313"/>
      <c r="L526" s="313"/>
      <c r="M526" s="313"/>
      <c r="N526" s="313"/>
      <c r="O526" s="313"/>
      <c r="P526" s="313"/>
      <c r="Q526" s="313"/>
      <c r="R526" s="313"/>
      <c r="S526" s="313"/>
      <c r="T526" s="313"/>
      <c r="U526" s="313"/>
      <c r="V526" s="313"/>
      <c r="W526" s="313"/>
      <c r="X526" s="313"/>
      <c r="Y526" s="313"/>
      <c r="Z526" s="313"/>
      <c r="AA526" s="313"/>
    </row>
    <row r="527" spans="1:27" ht="14.25" customHeight="1" x14ac:dyDescent="0.2">
      <c r="A527" s="346">
        <v>43364</v>
      </c>
      <c r="B527" s="313">
        <v>291.98998999999998</v>
      </c>
      <c r="C527" s="313">
        <v>148.490005</v>
      </c>
      <c r="D527" s="345">
        <f t="shared" ref="D527:E527" si="536">B527/B526-1</f>
        <v>-5.4158902868267633E-3</v>
      </c>
      <c r="E527" s="345">
        <f t="shared" si="536"/>
        <v>-1.6136018722141543E-3</v>
      </c>
      <c r="F527" s="313"/>
      <c r="G527" s="313"/>
      <c r="H527" s="313"/>
      <c r="I527" s="313"/>
      <c r="J527" s="313"/>
      <c r="K527" s="313"/>
      <c r="L527" s="313"/>
      <c r="M527" s="313"/>
      <c r="N527" s="313"/>
      <c r="O527" s="313"/>
      <c r="P527" s="313"/>
      <c r="Q527" s="313"/>
      <c r="R527" s="313"/>
      <c r="S527" s="313"/>
      <c r="T527" s="313"/>
      <c r="U527" s="313"/>
      <c r="V527" s="313"/>
      <c r="W527" s="313"/>
      <c r="X527" s="313"/>
      <c r="Y527" s="313"/>
      <c r="Z527" s="313"/>
      <c r="AA527" s="313"/>
    </row>
    <row r="528" spans="1:27" ht="14.25" customHeight="1" x14ac:dyDescent="0.2">
      <c r="A528" s="346">
        <v>43367</v>
      </c>
      <c r="B528" s="313">
        <v>291.01998900000001</v>
      </c>
      <c r="C528" s="313">
        <v>146.38000500000001</v>
      </c>
      <c r="D528" s="345">
        <f t="shared" ref="D528:E528" si="537">B528/B527-1</f>
        <v>-3.3220351149707561E-3</v>
      </c>
      <c r="E528" s="345">
        <f t="shared" si="537"/>
        <v>-1.4209710613182214E-2</v>
      </c>
      <c r="F528" s="313"/>
      <c r="G528" s="313"/>
      <c r="H528" s="313"/>
      <c r="I528" s="313"/>
      <c r="J528" s="313"/>
      <c r="K528" s="313"/>
      <c r="L528" s="313"/>
      <c r="M528" s="313"/>
      <c r="N528" s="313"/>
      <c r="O528" s="313"/>
      <c r="P528" s="313"/>
      <c r="Q528" s="313"/>
      <c r="R528" s="313"/>
      <c r="S528" s="313"/>
      <c r="T528" s="313"/>
      <c r="U528" s="313"/>
      <c r="V528" s="313"/>
      <c r="W528" s="313"/>
      <c r="X528" s="313"/>
      <c r="Y528" s="313"/>
      <c r="Z528" s="313"/>
      <c r="AA528" s="313"/>
    </row>
    <row r="529" spans="1:27" ht="14.25" customHeight="1" x14ac:dyDescent="0.2">
      <c r="A529" s="346">
        <v>43368</v>
      </c>
      <c r="B529" s="313">
        <v>290.75</v>
      </c>
      <c r="C529" s="313">
        <v>145.699997</v>
      </c>
      <c r="D529" s="345">
        <f t="shared" ref="D529:E529" si="538">B529/B528-1</f>
        <v>-9.2773352417385713E-4</v>
      </c>
      <c r="E529" s="345">
        <f t="shared" si="538"/>
        <v>-4.6454978601757624E-3</v>
      </c>
      <c r="F529" s="313"/>
      <c r="G529" s="313"/>
      <c r="H529" s="313"/>
      <c r="I529" s="313"/>
      <c r="J529" s="313"/>
      <c r="K529" s="313"/>
      <c r="L529" s="313"/>
      <c r="M529" s="313"/>
      <c r="N529" s="313"/>
      <c r="O529" s="313"/>
      <c r="P529" s="313"/>
      <c r="Q529" s="313"/>
      <c r="R529" s="313"/>
      <c r="S529" s="313"/>
      <c r="T529" s="313"/>
      <c r="U529" s="313"/>
      <c r="V529" s="313"/>
      <c r="W529" s="313"/>
      <c r="X529" s="313"/>
      <c r="Y529" s="313"/>
      <c r="Z529" s="313"/>
      <c r="AA529" s="313"/>
    </row>
    <row r="530" spans="1:27" ht="14.25" customHeight="1" x14ac:dyDescent="0.2">
      <c r="A530" s="346">
        <v>43369</v>
      </c>
      <c r="B530" s="313">
        <v>289.88000499999998</v>
      </c>
      <c r="C530" s="313">
        <v>143.949997</v>
      </c>
      <c r="D530" s="345">
        <f t="shared" ref="D530:E530" si="539">B530/B529-1</f>
        <v>-2.9922441960448243E-3</v>
      </c>
      <c r="E530" s="345">
        <f t="shared" si="539"/>
        <v>-1.2010981716080615E-2</v>
      </c>
      <c r="F530" s="313"/>
      <c r="G530" s="313"/>
      <c r="H530" s="313"/>
      <c r="I530" s="313"/>
      <c r="J530" s="313"/>
      <c r="K530" s="313"/>
      <c r="L530" s="313"/>
      <c r="M530" s="313"/>
      <c r="N530" s="313"/>
      <c r="O530" s="313"/>
      <c r="P530" s="313"/>
      <c r="Q530" s="313"/>
      <c r="R530" s="313"/>
      <c r="S530" s="313"/>
      <c r="T530" s="313"/>
      <c r="U530" s="313"/>
      <c r="V530" s="313"/>
      <c r="W530" s="313"/>
      <c r="X530" s="313"/>
      <c r="Y530" s="313"/>
      <c r="Z530" s="313"/>
      <c r="AA530" s="313"/>
    </row>
    <row r="531" spans="1:27" ht="14.25" customHeight="1" x14ac:dyDescent="0.2">
      <c r="A531" s="346">
        <v>43370</v>
      </c>
      <c r="B531" s="313">
        <v>290.69000199999999</v>
      </c>
      <c r="C531" s="313">
        <v>143.38999899999999</v>
      </c>
      <c r="D531" s="345">
        <f t="shared" ref="D531:E531" si="540">B531/B530-1</f>
        <v>2.794249296359741E-3</v>
      </c>
      <c r="E531" s="345">
        <f t="shared" si="540"/>
        <v>-3.8902258539124102E-3</v>
      </c>
      <c r="F531" s="313"/>
      <c r="G531" s="313"/>
      <c r="H531" s="313"/>
      <c r="I531" s="313"/>
      <c r="J531" s="313"/>
      <c r="K531" s="313"/>
      <c r="L531" s="313"/>
      <c r="M531" s="313"/>
      <c r="N531" s="313"/>
      <c r="O531" s="313"/>
      <c r="P531" s="313"/>
      <c r="Q531" s="313"/>
      <c r="R531" s="313"/>
      <c r="S531" s="313"/>
      <c r="T531" s="313"/>
      <c r="U531" s="313"/>
      <c r="V531" s="313"/>
      <c r="W531" s="313"/>
      <c r="X531" s="313"/>
      <c r="Y531" s="313"/>
      <c r="Z531" s="313"/>
      <c r="AA531" s="313"/>
    </row>
    <row r="532" spans="1:27" ht="14.25" customHeight="1" x14ac:dyDescent="0.2">
      <c r="A532" s="346">
        <v>43371</v>
      </c>
      <c r="B532" s="313">
        <v>290.72000100000002</v>
      </c>
      <c r="C532" s="313">
        <v>145.300003</v>
      </c>
      <c r="D532" s="345">
        <f t="shared" ref="D532:E532" si="541">B532/B531-1</f>
        <v>1.0319928375124299E-4</v>
      </c>
      <c r="E532" s="345">
        <f t="shared" si="541"/>
        <v>1.332034321305775E-2</v>
      </c>
      <c r="F532" s="313"/>
      <c r="G532" s="313"/>
      <c r="H532" s="313"/>
      <c r="I532" s="313"/>
      <c r="J532" s="313"/>
      <c r="K532" s="313"/>
      <c r="L532" s="313"/>
      <c r="M532" s="313"/>
      <c r="N532" s="313"/>
      <c r="O532" s="313"/>
      <c r="P532" s="313"/>
      <c r="Q532" s="313"/>
      <c r="R532" s="313"/>
      <c r="S532" s="313"/>
      <c r="T532" s="313"/>
      <c r="U532" s="313"/>
      <c r="V532" s="313"/>
      <c r="W532" s="313"/>
      <c r="X532" s="313"/>
      <c r="Y532" s="313"/>
      <c r="Z532" s="313"/>
      <c r="AA532" s="313"/>
    </row>
    <row r="533" spans="1:27" ht="14.25" customHeight="1" x14ac:dyDescent="0.2">
      <c r="A533" s="346">
        <v>43374</v>
      </c>
      <c r="B533" s="313">
        <v>291.73001099999999</v>
      </c>
      <c r="C533" s="313">
        <v>144.029999</v>
      </c>
      <c r="D533" s="345">
        <f t="shared" ref="D533:E533" si="542">B533/B532-1</f>
        <v>3.4741675719791587E-3</v>
      </c>
      <c r="E533" s="345">
        <f t="shared" si="542"/>
        <v>-8.7405641691555847E-3</v>
      </c>
      <c r="F533" s="313"/>
      <c r="G533" s="313"/>
      <c r="H533" s="313"/>
      <c r="I533" s="313"/>
      <c r="J533" s="313"/>
      <c r="K533" s="313"/>
      <c r="L533" s="313"/>
      <c r="M533" s="313"/>
      <c r="N533" s="313"/>
      <c r="O533" s="313"/>
      <c r="P533" s="313"/>
      <c r="Q533" s="313"/>
      <c r="R533" s="313"/>
      <c r="S533" s="313"/>
      <c r="T533" s="313"/>
      <c r="U533" s="313"/>
      <c r="V533" s="313"/>
      <c r="W533" s="313"/>
      <c r="X533" s="313"/>
      <c r="Y533" s="313"/>
      <c r="Z533" s="313"/>
      <c r="AA533" s="313"/>
    </row>
    <row r="534" spans="1:27" ht="14.25" customHeight="1" x14ac:dyDescent="0.2">
      <c r="A534" s="346">
        <v>43375</v>
      </c>
      <c r="B534" s="313">
        <v>291.55999800000001</v>
      </c>
      <c r="C534" s="313">
        <v>144.13000500000001</v>
      </c>
      <c r="D534" s="345">
        <f t="shared" ref="D534:E534" si="543">B534/B533-1</f>
        <v>-5.8277514684623721E-4</v>
      </c>
      <c r="E534" s="345">
        <f t="shared" si="543"/>
        <v>6.9434146146174491E-4</v>
      </c>
      <c r="F534" s="313"/>
      <c r="G534" s="313"/>
      <c r="H534" s="313"/>
      <c r="I534" s="313"/>
      <c r="J534" s="313"/>
      <c r="K534" s="313"/>
      <c r="L534" s="313"/>
      <c r="M534" s="313"/>
      <c r="N534" s="313"/>
      <c r="O534" s="313"/>
      <c r="P534" s="313"/>
      <c r="Q534" s="313"/>
      <c r="R534" s="313"/>
      <c r="S534" s="313"/>
      <c r="T534" s="313"/>
      <c r="U534" s="313"/>
      <c r="V534" s="313"/>
      <c r="W534" s="313"/>
      <c r="X534" s="313"/>
      <c r="Y534" s="313"/>
      <c r="Z534" s="313"/>
      <c r="AA534" s="313"/>
    </row>
    <row r="535" spans="1:27" ht="14.25" customHeight="1" x14ac:dyDescent="0.2">
      <c r="A535" s="346">
        <v>43376</v>
      </c>
      <c r="B535" s="313">
        <v>291.72000100000002</v>
      </c>
      <c r="C535" s="313">
        <v>143.91000399999999</v>
      </c>
      <c r="D535" s="345">
        <f t="shared" ref="D535:E535" si="544">B535/B534-1</f>
        <v>5.487824156180654E-4</v>
      </c>
      <c r="E535" s="345">
        <f t="shared" si="544"/>
        <v>-1.526406663206803E-3</v>
      </c>
      <c r="F535" s="313"/>
      <c r="G535" s="313"/>
      <c r="H535" s="313"/>
      <c r="I535" s="313"/>
      <c r="J535" s="313"/>
      <c r="K535" s="313"/>
      <c r="L535" s="313"/>
      <c r="M535" s="313"/>
      <c r="N535" s="313"/>
      <c r="O535" s="313"/>
      <c r="P535" s="313"/>
      <c r="Q535" s="313"/>
      <c r="R535" s="313"/>
      <c r="S535" s="313"/>
      <c r="T535" s="313"/>
      <c r="U535" s="313"/>
      <c r="V535" s="313"/>
      <c r="W535" s="313"/>
      <c r="X535" s="313"/>
      <c r="Y535" s="313"/>
      <c r="Z535" s="313"/>
      <c r="AA535" s="313"/>
    </row>
    <row r="536" spans="1:27" ht="14.25" customHeight="1" x14ac:dyDescent="0.2">
      <c r="A536" s="346">
        <v>43377</v>
      </c>
      <c r="B536" s="313">
        <v>289.44000199999999</v>
      </c>
      <c r="C536" s="313">
        <v>144.44000199999999</v>
      </c>
      <c r="D536" s="345">
        <f t="shared" ref="D536:E536" si="545">B536/B535-1</f>
        <v>-7.8157102433302761E-3</v>
      </c>
      <c r="E536" s="345">
        <f t="shared" si="545"/>
        <v>3.6828433414539674E-3</v>
      </c>
      <c r="F536" s="313"/>
      <c r="G536" s="313"/>
      <c r="H536" s="313"/>
      <c r="I536" s="313"/>
      <c r="J536" s="313"/>
      <c r="K536" s="313"/>
      <c r="L536" s="313"/>
      <c r="M536" s="313"/>
      <c r="N536" s="313"/>
      <c r="O536" s="313"/>
      <c r="P536" s="313"/>
      <c r="Q536" s="313"/>
      <c r="R536" s="313"/>
      <c r="S536" s="313"/>
      <c r="T536" s="313"/>
      <c r="U536" s="313"/>
      <c r="V536" s="313"/>
      <c r="W536" s="313"/>
      <c r="X536" s="313"/>
      <c r="Y536" s="313"/>
      <c r="Z536" s="313"/>
      <c r="AA536" s="313"/>
    </row>
    <row r="537" spans="1:27" ht="14.25" customHeight="1" x14ac:dyDescent="0.2">
      <c r="A537" s="346">
        <v>43378</v>
      </c>
      <c r="B537" s="313">
        <v>287.82000699999998</v>
      </c>
      <c r="C537" s="313">
        <v>144.75</v>
      </c>
      <c r="D537" s="345">
        <f t="shared" ref="D537:E537" si="546">B537/B536-1</f>
        <v>-5.5969976119610854E-3</v>
      </c>
      <c r="E537" s="345">
        <f t="shared" si="546"/>
        <v>2.1462060073913491E-3</v>
      </c>
      <c r="F537" s="313"/>
      <c r="G537" s="313"/>
      <c r="H537" s="313"/>
      <c r="I537" s="313"/>
      <c r="J537" s="313"/>
      <c r="K537" s="313"/>
      <c r="L537" s="313"/>
      <c r="M537" s="313"/>
      <c r="N537" s="313"/>
      <c r="O537" s="313"/>
      <c r="P537" s="313"/>
      <c r="Q537" s="313"/>
      <c r="R537" s="313"/>
      <c r="S537" s="313"/>
      <c r="T537" s="313"/>
      <c r="U537" s="313"/>
      <c r="V537" s="313"/>
      <c r="W537" s="313"/>
      <c r="X537" s="313"/>
      <c r="Y537" s="313"/>
      <c r="Z537" s="313"/>
      <c r="AA537" s="313"/>
    </row>
    <row r="538" spans="1:27" ht="14.25" customHeight="1" x14ac:dyDescent="0.2">
      <c r="A538" s="346">
        <v>43381</v>
      </c>
      <c r="B538" s="313">
        <v>287.82000699999998</v>
      </c>
      <c r="C538" s="313">
        <v>145.78999300000001</v>
      </c>
      <c r="D538" s="345">
        <f t="shared" ref="D538:E538" si="547">B538/B537-1</f>
        <v>0</v>
      </c>
      <c r="E538" s="345">
        <f t="shared" si="547"/>
        <v>7.1847530224524725E-3</v>
      </c>
      <c r="F538" s="313"/>
      <c r="G538" s="313"/>
      <c r="H538" s="313"/>
      <c r="I538" s="313"/>
      <c r="J538" s="313"/>
      <c r="K538" s="313"/>
      <c r="L538" s="313"/>
      <c r="M538" s="313"/>
      <c r="N538" s="313"/>
      <c r="O538" s="313"/>
      <c r="P538" s="313"/>
      <c r="Q538" s="313"/>
      <c r="R538" s="313"/>
      <c r="S538" s="313"/>
      <c r="T538" s="313"/>
      <c r="U538" s="313"/>
      <c r="V538" s="313"/>
      <c r="W538" s="313"/>
      <c r="X538" s="313"/>
      <c r="Y538" s="313"/>
      <c r="Z538" s="313"/>
      <c r="AA538" s="313"/>
    </row>
    <row r="539" spans="1:27" ht="14.25" customHeight="1" x14ac:dyDescent="0.2">
      <c r="A539" s="346">
        <v>43382</v>
      </c>
      <c r="B539" s="313">
        <v>287.39999399999999</v>
      </c>
      <c r="C539" s="313">
        <v>147.64999399999999</v>
      </c>
      <c r="D539" s="345">
        <f t="shared" ref="D539:E539" si="548">B539/B538-1</f>
        <v>-1.4592904933116158E-3</v>
      </c>
      <c r="E539" s="345">
        <f t="shared" si="548"/>
        <v>1.2758084157394656E-2</v>
      </c>
      <c r="F539" s="313"/>
      <c r="G539" s="313"/>
      <c r="H539" s="313"/>
      <c r="I539" s="313"/>
      <c r="J539" s="313"/>
      <c r="K539" s="313"/>
      <c r="L539" s="313"/>
      <c r="M539" s="313"/>
      <c r="N539" s="313"/>
      <c r="O539" s="313"/>
      <c r="P539" s="313"/>
      <c r="Q539" s="313"/>
      <c r="R539" s="313"/>
      <c r="S539" s="313"/>
      <c r="T539" s="313"/>
      <c r="U539" s="313"/>
      <c r="V539" s="313"/>
      <c r="W539" s="313"/>
      <c r="X539" s="313"/>
      <c r="Y539" s="313"/>
      <c r="Z539" s="313"/>
      <c r="AA539" s="313"/>
    </row>
    <row r="540" spans="1:27" ht="14.25" customHeight="1" x14ac:dyDescent="0.2">
      <c r="A540" s="346">
        <v>43383</v>
      </c>
      <c r="B540" s="313">
        <v>278.29998799999998</v>
      </c>
      <c r="C540" s="313">
        <v>145.5</v>
      </c>
      <c r="D540" s="345">
        <f t="shared" ref="D540:E540" si="549">B540/B539-1</f>
        <v>-3.1663208733400339E-2</v>
      </c>
      <c r="E540" s="345">
        <f t="shared" si="549"/>
        <v>-1.4561422874151964E-2</v>
      </c>
      <c r="F540" s="313"/>
      <c r="G540" s="313"/>
      <c r="H540" s="313"/>
      <c r="I540" s="313"/>
      <c r="J540" s="313"/>
      <c r="K540" s="313"/>
      <c r="L540" s="313"/>
      <c r="M540" s="313"/>
      <c r="N540" s="313"/>
      <c r="O540" s="313"/>
      <c r="P540" s="313"/>
      <c r="Q540" s="313"/>
      <c r="R540" s="313"/>
      <c r="S540" s="313"/>
      <c r="T540" s="313"/>
      <c r="U540" s="313"/>
      <c r="V540" s="313"/>
      <c r="W540" s="313"/>
      <c r="X540" s="313"/>
      <c r="Y540" s="313"/>
      <c r="Z540" s="313"/>
      <c r="AA540" s="313"/>
    </row>
    <row r="541" spans="1:27" ht="14.25" customHeight="1" x14ac:dyDescent="0.2">
      <c r="A541" s="346">
        <v>43384</v>
      </c>
      <c r="B541" s="313">
        <v>272.17001299999998</v>
      </c>
      <c r="C541" s="313">
        <v>140.679993</v>
      </c>
      <c r="D541" s="345">
        <f t="shared" ref="D541:E541" si="550">B541/B540-1</f>
        <v>-2.2026501129421505E-2</v>
      </c>
      <c r="E541" s="345">
        <f t="shared" si="550"/>
        <v>-3.3127195876288651E-2</v>
      </c>
      <c r="F541" s="313"/>
      <c r="G541" s="313"/>
      <c r="H541" s="313"/>
      <c r="I541" s="313"/>
      <c r="J541" s="313"/>
      <c r="K541" s="313"/>
      <c r="L541" s="313"/>
      <c r="M541" s="313"/>
      <c r="N541" s="313"/>
      <c r="O541" s="313"/>
      <c r="P541" s="313"/>
      <c r="Q541" s="313"/>
      <c r="R541" s="313"/>
      <c r="S541" s="313"/>
      <c r="T541" s="313"/>
      <c r="U541" s="313"/>
      <c r="V541" s="313"/>
      <c r="W541" s="313"/>
      <c r="X541" s="313"/>
      <c r="Y541" s="313"/>
      <c r="Z541" s="313"/>
      <c r="AA541" s="313"/>
    </row>
    <row r="542" spans="1:27" ht="14.25" customHeight="1" x14ac:dyDescent="0.2">
      <c r="A542" s="346">
        <v>43385</v>
      </c>
      <c r="B542" s="313">
        <v>275.95001200000002</v>
      </c>
      <c r="C542" s="313">
        <v>142.050003</v>
      </c>
      <c r="D542" s="345">
        <f t="shared" ref="D542:E542" si="551">B542/B541-1</f>
        <v>1.3888374249370505E-2</v>
      </c>
      <c r="E542" s="345">
        <f t="shared" si="551"/>
        <v>9.738484988409235E-3</v>
      </c>
      <c r="F542" s="313"/>
      <c r="G542" s="313"/>
      <c r="H542" s="313"/>
      <c r="I542" s="313"/>
      <c r="J542" s="313"/>
      <c r="K542" s="313"/>
      <c r="L542" s="313"/>
      <c r="M542" s="313"/>
      <c r="N542" s="313"/>
      <c r="O542" s="313"/>
      <c r="P542" s="313"/>
      <c r="Q542" s="313"/>
      <c r="R542" s="313"/>
      <c r="S542" s="313"/>
      <c r="T542" s="313"/>
      <c r="U542" s="313"/>
      <c r="V542" s="313"/>
      <c r="W542" s="313"/>
      <c r="X542" s="313"/>
      <c r="Y542" s="313"/>
      <c r="Z542" s="313"/>
      <c r="AA542" s="313"/>
    </row>
    <row r="543" spans="1:27" ht="14.25" customHeight="1" x14ac:dyDescent="0.2">
      <c r="A543" s="346">
        <v>43388</v>
      </c>
      <c r="B543" s="313">
        <v>274.39999399999999</v>
      </c>
      <c r="C543" s="313">
        <v>142.729996</v>
      </c>
      <c r="D543" s="345">
        <f t="shared" ref="D543:E543" si="552">B543/B542-1</f>
        <v>-5.6170245790749807E-3</v>
      </c>
      <c r="E543" s="345">
        <f t="shared" si="552"/>
        <v>4.7869974349805666E-3</v>
      </c>
      <c r="F543" s="313"/>
      <c r="G543" s="313"/>
      <c r="H543" s="313"/>
      <c r="I543" s="313"/>
      <c r="J543" s="313"/>
      <c r="K543" s="313"/>
      <c r="L543" s="313"/>
      <c r="M543" s="313"/>
      <c r="N543" s="313"/>
      <c r="O543" s="313"/>
      <c r="P543" s="313"/>
      <c r="Q543" s="313"/>
      <c r="R543" s="313"/>
      <c r="S543" s="313"/>
      <c r="T543" s="313"/>
      <c r="U543" s="313"/>
      <c r="V543" s="313"/>
      <c r="W543" s="313"/>
      <c r="X543" s="313"/>
      <c r="Y543" s="313"/>
      <c r="Z543" s="313"/>
      <c r="AA543" s="313"/>
    </row>
    <row r="544" spans="1:27" ht="14.25" customHeight="1" x14ac:dyDescent="0.2">
      <c r="A544" s="346">
        <v>43389</v>
      </c>
      <c r="B544" s="313">
        <v>280.39999399999999</v>
      </c>
      <c r="C544" s="313">
        <v>145.69000199999999</v>
      </c>
      <c r="D544" s="345">
        <f t="shared" ref="D544:E544" si="553">B544/B543-1</f>
        <v>2.1865889690945162E-2</v>
      </c>
      <c r="E544" s="345">
        <f t="shared" si="553"/>
        <v>2.0738499845540437E-2</v>
      </c>
      <c r="F544" s="313"/>
      <c r="G544" s="313"/>
      <c r="H544" s="313"/>
      <c r="I544" s="313"/>
      <c r="J544" s="313"/>
      <c r="K544" s="313"/>
      <c r="L544" s="313"/>
      <c r="M544" s="313"/>
      <c r="N544" s="313"/>
      <c r="O544" s="313"/>
      <c r="P544" s="313"/>
      <c r="Q544" s="313"/>
      <c r="R544" s="313"/>
      <c r="S544" s="313"/>
      <c r="T544" s="313"/>
      <c r="U544" s="313"/>
      <c r="V544" s="313"/>
      <c r="W544" s="313"/>
      <c r="X544" s="313"/>
      <c r="Y544" s="313"/>
      <c r="Z544" s="313"/>
      <c r="AA544" s="313"/>
    </row>
    <row r="545" spans="1:27" ht="14.25" customHeight="1" x14ac:dyDescent="0.2">
      <c r="A545" s="346">
        <v>43390</v>
      </c>
      <c r="B545" s="313">
        <v>280.45001200000002</v>
      </c>
      <c r="C545" s="313">
        <v>146.679993</v>
      </c>
      <c r="D545" s="345">
        <f t="shared" ref="D545:E545" si="554">B545/B544-1</f>
        <v>1.7838088826782617E-4</v>
      </c>
      <c r="E545" s="345">
        <f t="shared" si="554"/>
        <v>6.7951883204724339E-3</v>
      </c>
      <c r="F545" s="313"/>
      <c r="G545" s="313"/>
      <c r="H545" s="313"/>
      <c r="I545" s="313"/>
      <c r="J545" s="313"/>
      <c r="K545" s="313"/>
      <c r="L545" s="313"/>
      <c r="M545" s="313"/>
      <c r="N545" s="313"/>
      <c r="O545" s="313"/>
      <c r="P545" s="313"/>
      <c r="Q545" s="313"/>
      <c r="R545" s="313"/>
      <c r="S545" s="313"/>
      <c r="T545" s="313"/>
      <c r="U545" s="313"/>
      <c r="V545" s="313"/>
      <c r="W545" s="313"/>
      <c r="X545" s="313"/>
      <c r="Y545" s="313"/>
      <c r="Z545" s="313"/>
      <c r="AA545" s="313"/>
    </row>
    <row r="546" spans="1:27" ht="14.25" customHeight="1" x14ac:dyDescent="0.2">
      <c r="A546" s="346">
        <v>43391</v>
      </c>
      <c r="B546" s="313">
        <v>276.39999399999999</v>
      </c>
      <c r="C546" s="313">
        <v>146.78999300000001</v>
      </c>
      <c r="D546" s="345">
        <f t="shared" ref="D546:E546" si="555">B546/B545-1</f>
        <v>-1.4441140405442421E-2</v>
      </c>
      <c r="E546" s="345">
        <f t="shared" si="555"/>
        <v>7.4993186016869551E-4</v>
      </c>
      <c r="F546" s="313"/>
      <c r="G546" s="313"/>
      <c r="H546" s="313"/>
      <c r="I546" s="313"/>
      <c r="J546" s="313"/>
      <c r="K546" s="313"/>
      <c r="L546" s="313"/>
      <c r="M546" s="313"/>
      <c r="N546" s="313"/>
      <c r="O546" s="313"/>
      <c r="P546" s="313"/>
      <c r="Q546" s="313"/>
      <c r="R546" s="313"/>
      <c r="S546" s="313"/>
      <c r="T546" s="313"/>
      <c r="U546" s="313"/>
      <c r="V546" s="313"/>
      <c r="W546" s="313"/>
      <c r="X546" s="313"/>
      <c r="Y546" s="313"/>
      <c r="Z546" s="313"/>
      <c r="AA546" s="313"/>
    </row>
    <row r="547" spans="1:27" ht="14.25" customHeight="1" x14ac:dyDescent="0.2">
      <c r="A547" s="346">
        <v>43392</v>
      </c>
      <c r="B547" s="313">
        <v>276.25</v>
      </c>
      <c r="C547" s="313">
        <v>150.14999399999999</v>
      </c>
      <c r="D547" s="345">
        <f t="shared" ref="D547:E547" si="556">B547/B546-1</f>
        <v>-5.4267005519537115E-4</v>
      </c>
      <c r="E547" s="345">
        <f t="shared" si="556"/>
        <v>2.2889850536337297E-2</v>
      </c>
      <c r="F547" s="313"/>
      <c r="G547" s="313"/>
      <c r="H547" s="313"/>
      <c r="I547" s="313"/>
      <c r="J547" s="313"/>
      <c r="K547" s="313"/>
      <c r="L547" s="313"/>
      <c r="M547" s="313"/>
      <c r="N547" s="313"/>
      <c r="O547" s="313"/>
      <c r="P547" s="313"/>
      <c r="Q547" s="313"/>
      <c r="R547" s="313"/>
      <c r="S547" s="313"/>
      <c r="T547" s="313"/>
      <c r="U547" s="313"/>
      <c r="V547" s="313"/>
      <c r="W547" s="313"/>
      <c r="X547" s="313"/>
      <c r="Y547" s="313"/>
      <c r="Z547" s="313"/>
      <c r="AA547" s="313"/>
    </row>
    <row r="548" spans="1:27" ht="14.25" customHeight="1" x14ac:dyDescent="0.2">
      <c r="A548" s="346">
        <v>43395</v>
      </c>
      <c r="B548" s="313">
        <v>275.01001000000002</v>
      </c>
      <c r="C548" s="313">
        <v>149.25</v>
      </c>
      <c r="D548" s="345">
        <f t="shared" ref="D548:E548" si="557">B548/B547-1</f>
        <v>-4.488651583710368E-3</v>
      </c>
      <c r="E548" s="345">
        <f t="shared" si="557"/>
        <v>-5.9939662734851407E-3</v>
      </c>
      <c r="F548" s="313"/>
      <c r="G548" s="313"/>
      <c r="H548" s="313"/>
      <c r="I548" s="313"/>
      <c r="J548" s="313"/>
      <c r="K548" s="313"/>
      <c r="L548" s="313"/>
      <c r="M548" s="313"/>
      <c r="N548" s="313"/>
      <c r="O548" s="313"/>
      <c r="P548" s="313"/>
      <c r="Q548" s="313"/>
      <c r="R548" s="313"/>
      <c r="S548" s="313"/>
      <c r="T548" s="313"/>
      <c r="U548" s="313"/>
      <c r="V548" s="313"/>
      <c r="W548" s="313"/>
      <c r="X548" s="313"/>
      <c r="Y548" s="313"/>
      <c r="Z548" s="313"/>
      <c r="AA548" s="313"/>
    </row>
    <row r="549" spans="1:27" ht="14.25" customHeight="1" x14ac:dyDescent="0.2">
      <c r="A549" s="346">
        <v>43396</v>
      </c>
      <c r="B549" s="313">
        <v>273.60998499999999</v>
      </c>
      <c r="C549" s="313">
        <v>150.85000600000001</v>
      </c>
      <c r="D549" s="345">
        <f t="shared" ref="D549:E549" si="558">B549/B548-1</f>
        <v>-5.090814694345247E-3</v>
      </c>
      <c r="E549" s="345">
        <f t="shared" si="558"/>
        <v>1.0720308207705198E-2</v>
      </c>
      <c r="F549" s="313"/>
      <c r="G549" s="313"/>
      <c r="H549" s="313"/>
      <c r="I549" s="313"/>
      <c r="J549" s="313"/>
      <c r="K549" s="313"/>
      <c r="L549" s="313"/>
      <c r="M549" s="313"/>
      <c r="N549" s="313"/>
      <c r="O549" s="313"/>
      <c r="P549" s="313"/>
      <c r="Q549" s="313"/>
      <c r="R549" s="313"/>
      <c r="S549" s="313"/>
      <c r="T549" s="313"/>
      <c r="U549" s="313"/>
      <c r="V549" s="313"/>
      <c r="W549" s="313"/>
      <c r="X549" s="313"/>
      <c r="Y549" s="313"/>
      <c r="Z549" s="313"/>
      <c r="AA549" s="313"/>
    </row>
    <row r="550" spans="1:27" ht="14.25" customHeight="1" x14ac:dyDescent="0.2">
      <c r="A550" s="346">
        <v>43397</v>
      </c>
      <c r="B550" s="313">
        <v>265.32000699999998</v>
      </c>
      <c r="C550" s="313">
        <v>151.970001</v>
      </c>
      <c r="D550" s="345">
        <f t="shared" ref="D550:E550" si="559">B550/B549-1</f>
        <v>-3.029852145198586E-2</v>
      </c>
      <c r="E550" s="345">
        <f t="shared" si="559"/>
        <v>7.4245605266995973E-3</v>
      </c>
      <c r="F550" s="313"/>
      <c r="G550" s="313"/>
      <c r="H550" s="313"/>
      <c r="I550" s="313"/>
      <c r="J550" s="313"/>
      <c r="K550" s="313"/>
      <c r="L550" s="313"/>
      <c r="M550" s="313"/>
      <c r="N550" s="313"/>
      <c r="O550" s="313"/>
      <c r="P550" s="313"/>
      <c r="Q550" s="313"/>
      <c r="R550" s="313"/>
      <c r="S550" s="313"/>
      <c r="T550" s="313"/>
      <c r="U550" s="313"/>
      <c r="V550" s="313"/>
      <c r="W550" s="313"/>
      <c r="X550" s="313"/>
      <c r="Y550" s="313"/>
      <c r="Z550" s="313"/>
      <c r="AA550" s="313"/>
    </row>
    <row r="551" spans="1:27" ht="14.25" customHeight="1" x14ac:dyDescent="0.2">
      <c r="A551" s="346">
        <v>43398</v>
      </c>
      <c r="B551" s="313">
        <v>270.07998700000002</v>
      </c>
      <c r="C551" s="313">
        <v>153.509995</v>
      </c>
      <c r="D551" s="345">
        <f t="shared" ref="D551:E551" si="560">B551/B550-1</f>
        <v>1.7940524176150996E-2</v>
      </c>
      <c r="E551" s="345">
        <f t="shared" si="560"/>
        <v>1.0133539447696682E-2</v>
      </c>
      <c r="F551" s="313"/>
      <c r="G551" s="313"/>
      <c r="H551" s="313"/>
      <c r="I551" s="313"/>
      <c r="J551" s="313"/>
      <c r="K551" s="313"/>
      <c r="L551" s="313"/>
      <c r="M551" s="313"/>
      <c r="N551" s="313"/>
      <c r="O551" s="313"/>
      <c r="P551" s="313"/>
      <c r="Q551" s="313"/>
      <c r="R551" s="313"/>
      <c r="S551" s="313"/>
      <c r="T551" s="313"/>
      <c r="U551" s="313"/>
      <c r="V551" s="313"/>
      <c r="W551" s="313"/>
      <c r="X551" s="313"/>
      <c r="Y551" s="313"/>
      <c r="Z551" s="313"/>
      <c r="AA551" s="313"/>
    </row>
    <row r="552" spans="1:27" ht="14.25" customHeight="1" x14ac:dyDescent="0.2">
      <c r="A552" s="346">
        <v>43399</v>
      </c>
      <c r="B552" s="313">
        <v>265.32998700000002</v>
      </c>
      <c r="C552" s="313">
        <v>149.61000100000001</v>
      </c>
      <c r="D552" s="345">
        <f t="shared" ref="D552:E552" si="561">B552/B551-1</f>
        <v>-1.7587382363136728E-2</v>
      </c>
      <c r="E552" s="345">
        <f t="shared" si="561"/>
        <v>-2.5405472783710192E-2</v>
      </c>
      <c r="F552" s="313"/>
      <c r="G552" s="313"/>
      <c r="H552" s="313"/>
      <c r="I552" s="313"/>
      <c r="J552" s="313"/>
      <c r="K552" s="313"/>
      <c r="L552" s="313"/>
      <c r="M552" s="313"/>
      <c r="N552" s="313"/>
      <c r="O552" s="313"/>
      <c r="P552" s="313"/>
      <c r="Q552" s="313"/>
      <c r="R552" s="313"/>
      <c r="S552" s="313"/>
      <c r="T552" s="313"/>
      <c r="U552" s="313"/>
      <c r="V552" s="313"/>
      <c r="W552" s="313"/>
      <c r="X552" s="313"/>
      <c r="Y552" s="313"/>
      <c r="Z552" s="313"/>
      <c r="AA552" s="313"/>
    </row>
    <row r="553" spans="1:27" ht="14.25" customHeight="1" x14ac:dyDescent="0.2">
      <c r="A553" s="346">
        <v>43402</v>
      </c>
      <c r="B553" s="313">
        <v>263.85998499999999</v>
      </c>
      <c r="C553" s="313">
        <v>152.820007</v>
      </c>
      <c r="D553" s="345">
        <f t="shared" ref="D553:E553" si="562">B553/B552-1</f>
        <v>-5.5402784156470819E-3</v>
      </c>
      <c r="E553" s="345">
        <f t="shared" si="562"/>
        <v>2.14558250019663E-2</v>
      </c>
      <c r="F553" s="313"/>
      <c r="G553" s="313"/>
      <c r="H553" s="313"/>
      <c r="I553" s="313"/>
      <c r="J553" s="313"/>
      <c r="K553" s="313"/>
      <c r="L553" s="313"/>
      <c r="M553" s="313"/>
      <c r="N553" s="313"/>
      <c r="O553" s="313"/>
      <c r="P553" s="313"/>
      <c r="Q553" s="313"/>
      <c r="R553" s="313"/>
      <c r="S553" s="313"/>
      <c r="T553" s="313"/>
      <c r="U553" s="313"/>
      <c r="V553" s="313"/>
      <c r="W553" s="313"/>
      <c r="X553" s="313"/>
      <c r="Y553" s="313"/>
      <c r="Z553" s="313"/>
      <c r="AA553" s="313"/>
    </row>
    <row r="554" spans="1:27" ht="14.25" customHeight="1" x14ac:dyDescent="0.2">
      <c r="A554" s="346">
        <v>43403</v>
      </c>
      <c r="B554" s="313">
        <v>267.76998900000001</v>
      </c>
      <c r="C554" s="313">
        <v>160.949997</v>
      </c>
      <c r="D554" s="345">
        <f t="shared" ref="D554:E554" si="563">B554/B553-1</f>
        <v>1.4818480339108708E-2</v>
      </c>
      <c r="E554" s="345">
        <f t="shared" si="563"/>
        <v>5.3199775079188383E-2</v>
      </c>
      <c r="F554" s="313"/>
      <c r="G554" s="313"/>
      <c r="H554" s="313"/>
      <c r="I554" s="313"/>
      <c r="J554" s="313"/>
      <c r="K554" s="313"/>
      <c r="L554" s="313"/>
      <c r="M554" s="313"/>
      <c r="N554" s="313"/>
      <c r="O554" s="313"/>
      <c r="P554" s="313"/>
      <c r="Q554" s="313"/>
      <c r="R554" s="313"/>
      <c r="S554" s="313"/>
      <c r="T554" s="313"/>
      <c r="U554" s="313"/>
      <c r="V554" s="313"/>
      <c r="W554" s="313"/>
      <c r="X554" s="313"/>
      <c r="Y554" s="313"/>
      <c r="Z554" s="313"/>
      <c r="AA554" s="313"/>
    </row>
    <row r="555" spans="1:27" ht="14.25" customHeight="1" x14ac:dyDescent="0.2">
      <c r="A555" s="346">
        <v>43404</v>
      </c>
      <c r="B555" s="313">
        <v>270.63000499999998</v>
      </c>
      <c r="C555" s="313">
        <v>155.80999800000001</v>
      </c>
      <c r="D555" s="345">
        <f t="shared" ref="D555:E555" si="564">B555/B554-1</f>
        <v>1.0680868347796801E-2</v>
      </c>
      <c r="E555" s="345">
        <f t="shared" si="564"/>
        <v>-3.1935378041665907E-2</v>
      </c>
      <c r="F555" s="313"/>
      <c r="G555" s="313"/>
      <c r="H555" s="313"/>
      <c r="I555" s="313"/>
      <c r="J555" s="313"/>
      <c r="K555" s="313"/>
      <c r="L555" s="313"/>
      <c r="M555" s="313"/>
      <c r="N555" s="313"/>
      <c r="O555" s="313"/>
      <c r="P555" s="313"/>
      <c r="Q555" s="313"/>
      <c r="R555" s="313"/>
      <c r="S555" s="313"/>
      <c r="T555" s="313"/>
      <c r="U555" s="313"/>
      <c r="V555" s="313"/>
      <c r="W555" s="313"/>
      <c r="X555" s="313"/>
      <c r="Y555" s="313"/>
      <c r="Z555" s="313"/>
      <c r="AA555" s="313"/>
    </row>
    <row r="556" spans="1:27" ht="14.25" customHeight="1" x14ac:dyDescent="0.2">
      <c r="A556" s="346">
        <v>43405</v>
      </c>
      <c r="B556" s="313">
        <v>273.51001000000002</v>
      </c>
      <c r="C556" s="313">
        <v>153.020004</v>
      </c>
      <c r="D556" s="345">
        <f t="shared" ref="D556:E556" si="565">B556/B555-1</f>
        <v>1.0641853995457806E-2</v>
      </c>
      <c r="E556" s="345">
        <f t="shared" si="565"/>
        <v>-1.7906386212776959E-2</v>
      </c>
      <c r="F556" s="313"/>
      <c r="G556" s="313"/>
      <c r="H556" s="313"/>
      <c r="I556" s="313"/>
      <c r="J556" s="313"/>
      <c r="K556" s="313"/>
      <c r="L556" s="313"/>
      <c r="M556" s="313"/>
      <c r="N556" s="313"/>
      <c r="O556" s="313"/>
      <c r="P556" s="313"/>
      <c r="Q556" s="313"/>
      <c r="R556" s="313"/>
      <c r="S556" s="313"/>
      <c r="T556" s="313"/>
      <c r="U556" s="313"/>
      <c r="V556" s="313"/>
      <c r="W556" s="313"/>
      <c r="X556" s="313"/>
      <c r="Y556" s="313"/>
      <c r="Z556" s="313"/>
      <c r="AA556" s="313"/>
    </row>
    <row r="557" spans="1:27" ht="14.25" customHeight="1" x14ac:dyDescent="0.2">
      <c r="A557" s="346">
        <v>43406</v>
      </c>
      <c r="B557" s="313">
        <v>271.89001500000001</v>
      </c>
      <c r="C557" s="313">
        <v>152.05999800000001</v>
      </c>
      <c r="D557" s="345">
        <f t="shared" ref="D557:E557" si="566">B557/B556-1</f>
        <v>-5.9229824897450989E-3</v>
      </c>
      <c r="E557" s="345">
        <f t="shared" si="566"/>
        <v>-6.2737287603259473E-3</v>
      </c>
      <c r="F557" s="313"/>
      <c r="G557" s="313"/>
      <c r="H557" s="313"/>
      <c r="I557" s="313"/>
      <c r="J557" s="313"/>
      <c r="K557" s="313"/>
      <c r="L557" s="313"/>
      <c r="M557" s="313"/>
      <c r="N557" s="313"/>
      <c r="O557" s="313"/>
      <c r="P557" s="313"/>
      <c r="Q557" s="313"/>
      <c r="R557" s="313"/>
      <c r="S557" s="313"/>
      <c r="T557" s="313"/>
      <c r="U557" s="313"/>
      <c r="V557" s="313"/>
      <c r="W557" s="313"/>
      <c r="X557" s="313"/>
      <c r="Y557" s="313"/>
      <c r="Z557" s="313"/>
      <c r="AA557" s="313"/>
    </row>
    <row r="558" spans="1:27" ht="14.25" customHeight="1" x14ac:dyDescent="0.2">
      <c r="A558" s="346">
        <v>43409</v>
      </c>
      <c r="B558" s="313">
        <v>273.39001500000001</v>
      </c>
      <c r="C558" s="313">
        <v>155.699997</v>
      </c>
      <c r="D558" s="345">
        <f t="shared" ref="D558:E558" si="567">B558/B557-1</f>
        <v>5.5169366922136476E-3</v>
      </c>
      <c r="E558" s="345">
        <f t="shared" si="567"/>
        <v>2.3937912980900977E-2</v>
      </c>
      <c r="F558" s="313"/>
      <c r="G558" s="313"/>
      <c r="H558" s="313"/>
      <c r="I558" s="313"/>
      <c r="J558" s="313"/>
      <c r="K558" s="313"/>
      <c r="L558" s="313"/>
      <c r="M558" s="313"/>
      <c r="N558" s="313"/>
      <c r="O558" s="313"/>
      <c r="P558" s="313"/>
      <c r="Q558" s="313"/>
      <c r="R558" s="313"/>
      <c r="S558" s="313"/>
      <c r="T558" s="313"/>
      <c r="U558" s="313"/>
      <c r="V558" s="313"/>
      <c r="W558" s="313"/>
      <c r="X558" s="313"/>
      <c r="Y558" s="313"/>
      <c r="Z558" s="313"/>
      <c r="AA558" s="313"/>
    </row>
    <row r="559" spans="1:27" ht="14.25" customHeight="1" x14ac:dyDescent="0.2">
      <c r="A559" s="346">
        <v>43410</v>
      </c>
      <c r="B559" s="313">
        <v>275.11999500000002</v>
      </c>
      <c r="C559" s="313">
        <v>156.16000399999999</v>
      </c>
      <c r="D559" s="345">
        <f t="shared" ref="D559:E559" si="568">B559/B558-1</f>
        <v>6.3278828965278588E-3</v>
      </c>
      <c r="E559" s="345">
        <f t="shared" si="568"/>
        <v>2.9544445013700571E-3</v>
      </c>
      <c r="F559" s="313"/>
      <c r="G559" s="313"/>
      <c r="H559" s="313"/>
      <c r="I559" s="313"/>
      <c r="J559" s="313"/>
      <c r="K559" s="313"/>
      <c r="L559" s="313"/>
      <c r="M559" s="313"/>
      <c r="N559" s="313"/>
      <c r="O559" s="313"/>
      <c r="P559" s="313"/>
      <c r="Q559" s="313"/>
      <c r="R559" s="313"/>
      <c r="S559" s="313"/>
      <c r="T559" s="313"/>
      <c r="U559" s="313"/>
      <c r="V559" s="313"/>
      <c r="W559" s="313"/>
      <c r="X559" s="313"/>
      <c r="Y559" s="313"/>
      <c r="Z559" s="313"/>
      <c r="AA559" s="313"/>
    </row>
    <row r="560" spans="1:27" ht="14.25" customHeight="1" x14ac:dyDescent="0.2">
      <c r="A560" s="346">
        <v>43411</v>
      </c>
      <c r="B560" s="313">
        <v>281.01001000000002</v>
      </c>
      <c r="C560" s="313">
        <v>156.949997</v>
      </c>
      <c r="D560" s="345">
        <f t="shared" ref="D560:E560" si="569">B560/B559-1</f>
        <v>2.1408894689751712E-2</v>
      </c>
      <c r="E560" s="345">
        <f t="shared" si="569"/>
        <v>5.0588689790249664E-3</v>
      </c>
      <c r="F560" s="313"/>
      <c r="G560" s="313"/>
      <c r="H560" s="313"/>
      <c r="I560" s="313"/>
      <c r="J560" s="313"/>
      <c r="K560" s="313"/>
      <c r="L560" s="313"/>
      <c r="M560" s="313"/>
      <c r="N560" s="313"/>
      <c r="O560" s="313"/>
      <c r="P560" s="313"/>
      <c r="Q560" s="313"/>
      <c r="R560" s="313"/>
      <c r="S560" s="313"/>
      <c r="T560" s="313"/>
      <c r="U560" s="313"/>
      <c r="V560" s="313"/>
      <c r="W560" s="313"/>
      <c r="X560" s="313"/>
      <c r="Y560" s="313"/>
      <c r="Z560" s="313"/>
      <c r="AA560" s="313"/>
    </row>
    <row r="561" spans="1:27" ht="14.25" customHeight="1" x14ac:dyDescent="0.2">
      <c r="A561" s="346">
        <v>43412</v>
      </c>
      <c r="B561" s="313">
        <v>280.5</v>
      </c>
      <c r="C561" s="313">
        <v>159.36000100000001</v>
      </c>
      <c r="D561" s="345">
        <f t="shared" ref="D561:E561" si="570">B561/B560-1</f>
        <v>-1.8149175540046469E-3</v>
      </c>
      <c r="E561" s="345">
        <f t="shared" si="570"/>
        <v>1.5355234444509147E-2</v>
      </c>
      <c r="F561" s="313"/>
      <c r="G561" s="313"/>
      <c r="H561" s="313"/>
      <c r="I561" s="313"/>
      <c r="J561" s="313"/>
      <c r="K561" s="313"/>
      <c r="L561" s="313"/>
      <c r="M561" s="313"/>
      <c r="N561" s="313"/>
      <c r="O561" s="313"/>
      <c r="P561" s="313"/>
      <c r="Q561" s="313"/>
      <c r="R561" s="313"/>
      <c r="S561" s="313"/>
      <c r="T561" s="313"/>
      <c r="U561" s="313"/>
      <c r="V561" s="313"/>
      <c r="W561" s="313"/>
      <c r="X561" s="313"/>
      <c r="Y561" s="313"/>
      <c r="Z561" s="313"/>
      <c r="AA561" s="313"/>
    </row>
    <row r="562" spans="1:27" ht="14.25" customHeight="1" x14ac:dyDescent="0.2">
      <c r="A562" s="346">
        <v>43413</v>
      </c>
      <c r="B562" s="313">
        <v>277.76001000000002</v>
      </c>
      <c r="C562" s="313">
        <v>160.13999899999999</v>
      </c>
      <c r="D562" s="345">
        <f t="shared" ref="D562:E562" si="571">B562/B561-1</f>
        <v>-9.7682352941175221E-3</v>
      </c>
      <c r="E562" s="345">
        <f t="shared" si="571"/>
        <v>4.894565732338263E-3</v>
      </c>
      <c r="F562" s="313"/>
      <c r="G562" s="313"/>
      <c r="H562" s="313"/>
      <c r="I562" s="313"/>
      <c r="J562" s="313"/>
      <c r="K562" s="313"/>
      <c r="L562" s="313"/>
      <c r="M562" s="313"/>
      <c r="N562" s="313"/>
      <c r="O562" s="313"/>
      <c r="P562" s="313"/>
      <c r="Q562" s="313"/>
      <c r="R562" s="313"/>
      <c r="S562" s="313"/>
      <c r="T562" s="313"/>
      <c r="U562" s="313"/>
      <c r="V562" s="313"/>
      <c r="W562" s="313"/>
      <c r="X562" s="313"/>
      <c r="Y562" s="313"/>
      <c r="Z562" s="313"/>
      <c r="AA562" s="313"/>
    </row>
    <row r="563" spans="1:27" ht="14.25" customHeight="1" x14ac:dyDescent="0.2">
      <c r="A563" s="346">
        <v>43416</v>
      </c>
      <c r="B563" s="313">
        <v>272.57000699999998</v>
      </c>
      <c r="C563" s="313">
        <v>161.029999</v>
      </c>
      <c r="D563" s="345">
        <f t="shared" ref="D563:E563" si="572">B563/B562-1</f>
        <v>-1.8685205980515485E-2</v>
      </c>
      <c r="E563" s="345">
        <f t="shared" si="572"/>
        <v>5.5576371022707516E-3</v>
      </c>
      <c r="F563" s="313"/>
      <c r="G563" s="313"/>
      <c r="H563" s="313"/>
      <c r="I563" s="313"/>
      <c r="J563" s="313"/>
      <c r="K563" s="313"/>
      <c r="L563" s="313"/>
      <c r="M563" s="313"/>
      <c r="N563" s="313"/>
      <c r="O563" s="313"/>
      <c r="P563" s="313"/>
      <c r="Q563" s="313"/>
      <c r="R563" s="313"/>
      <c r="S563" s="313"/>
      <c r="T563" s="313"/>
      <c r="U563" s="313"/>
      <c r="V563" s="313"/>
      <c r="W563" s="313"/>
      <c r="X563" s="313"/>
      <c r="Y563" s="313"/>
      <c r="Z563" s="313"/>
      <c r="AA563" s="313"/>
    </row>
    <row r="564" spans="1:27" ht="14.25" customHeight="1" x14ac:dyDescent="0.2">
      <c r="A564" s="346">
        <v>43417</v>
      </c>
      <c r="B564" s="313">
        <v>272.05999800000001</v>
      </c>
      <c r="C564" s="313">
        <v>161.30999800000001</v>
      </c>
      <c r="D564" s="345">
        <f t="shared" ref="D564:E564" si="573">B564/B563-1</f>
        <v>-1.871111959871552E-3</v>
      </c>
      <c r="E564" s="345">
        <f t="shared" si="573"/>
        <v>1.7388002343587949E-3</v>
      </c>
      <c r="F564" s="313"/>
      <c r="G564" s="313"/>
      <c r="H564" s="313"/>
      <c r="I564" s="313"/>
      <c r="J564" s="313"/>
      <c r="K564" s="313"/>
      <c r="L564" s="313"/>
      <c r="M564" s="313"/>
      <c r="N564" s="313"/>
      <c r="O564" s="313"/>
      <c r="P564" s="313"/>
      <c r="Q564" s="313"/>
      <c r="R564" s="313"/>
      <c r="S564" s="313"/>
      <c r="T564" s="313"/>
      <c r="U564" s="313"/>
      <c r="V564" s="313"/>
      <c r="W564" s="313"/>
      <c r="X564" s="313"/>
      <c r="Y564" s="313"/>
      <c r="Z564" s="313"/>
      <c r="AA564" s="313"/>
    </row>
    <row r="565" spans="1:27" ht="14.25" customHeight="1" x14ac:dyDescent="0.2">
      <c r="A565" s="346">
        <v>43418</v>
      </c>
      <c r="B565" s="313">
        <v>270.20001200000002</v>
      </c>
      <c r="C565" s="313">
        <v>163.41000399999999</v>
      </c>
      <c r="D565" s="345">
        <f t="shared" ref="D565:E565" si="574">B565/B564-1</f>
        <v>-6.836675783552737E-3</v>
      </c>
      <c r="E565" s="345">
        <f t="shared" si="574"/>
        <v>1.3018449110637098E-2</v>
      </c>
      <c r="F565" s="313"/>
      <c r="G565" s="313"/>
      <c r="H565" s="313"/>
      <c r="I565" s="313"/>
      <c r="J565" s="313"/>
      <c r="K565" s="313"/>
      <c r="L565" s="313"/>
      <c r="M565" s="313"/>
      <c r="N565" s="313"/>
      <c r="O565" s="313"/>
      <c r="P565" s="313"/>
      <c r="Q565" s="313"/>
      <c r="R565" s="313"/>
      <c r="S565" s="313"/>
      <c r="T565" s="313"/>
      <c r="U565" s="313"/>
      <c r="V565" s="313"/>
      <c r="W565" s="313"/>
      <c r="X565" s="313"/>
      <c r="Y565" s="313"/>
      <c r="Z565" s="313"/>
      <c r="AA565" s="313"/>
    </row>
    <row r="566" spans="1:27" ht="14.25" customHeight="1" x14ac:dyDescent="0.2">
      <c r="A566" s="346">
        <v>43419</v>
      </c>
      <c r="B566" s="313">
        <v>273.01998900000001</v>
      </c>
      <c r="C566" s="313">
        <v>162.13000500000001</v>
      </c>
      <c r="D566" s="345">
        <f t="shared" ref="D566:E566" si="575">B566/B565-1</f>
        <v>1.0436627959883316E-2</v>
      </c>
      <c r="E566" s="345">
        <f t="shared" si="575"/>
        <v>-7.8330516410731743E-3</v>
      </c>
      <c r="F566" s="313"/>
      <c r="G566" s="313"/>
      <c r="H566" s="313"/>
      <c r="I566" s="313"/>
      <c r="J566" s="313"/>
      <c r="K566" s="313"/>
      <c r="L566" s="313"/>
      <c r="M566" s="313"/>
      <c r="N566" s="313"/>
      <c r="O566" s="313"/>
      <c r="P566" s="313"/>
      <c r="Q566" s="313"/>
      <c r="R566" s="313"/>
      <c r="S566" s="313"/>
      <c r="T566" s="313"/>
      <c r="U566" s="313"/>
      <c r="V566" s="313"/>
      <c r="W566" s="313"/>
      <c r="X566" s="313"/>
      <c r="Y566" s="313"/>
      <c r="Z566" s="313"/>
      <c r="AA566" s="313"/>
    </row>
    <row r="567" spans="1:27" ht="14.25" customHeight="1" x14ac:dyDescent="0.2">
      <c r="A567" s="346">
        <v>43420</v>
      </c>
      <c r="B567" s="313">
        <v>273.73001099999999</v>
      </c>
      <c r="C567" s="313">
        <v>163.979996</v>
      </c>
      <c r="D567" s="345">
        <f t="shared" ref="D567:E567" si="576">B567/B566-1</f>
        <v>2.6006227697854545E-3</v>
      </c>
      <c r="E567" s="345">
        <f t="shared" si="576"/>
        <v>1.1410540572055039E-2</v>
      </c>
      <c r="F567" s="313"/>
      <c r="G567" s="313"/>
      <c r="H567" s="313"/>
      <c r="I567" s="313"/>
      <c r="J567" s="313"/>
      <c r="K567" s="313"/>
      <c r="L567" s="313"/>
      <c r="M567" s="313"/>
      <c r="N567" s="313"/>
      <c r="O567" s="313"/>
      <c r="P567" s="313"/>
      <c r="Q567" s="313"/>
      <c r="R567" s="313"/>
      <c r="S567" s="313"/>
      <c r="T567" s="313"/>
      <c r="U567" s="313"/>
      <c r="V567" s="313"/>
      <c r="W567" s="313"/>
      <c r="X567" s="313"/>
      <c r="Y567" s="313"/>
      <c r="Z567" s="313"/>
      <c r="AA567" s="313"/>
    </row>
    <row r="568" spans="1:27" ht="14.25" customHeight="1" x14ac:dyDescent="0.2">
      <c r="A568" s="346">
        <v>43423</v>
      </c>
      <c r="B568" s="313">
        <v>269.10000600000001</v>
      </c>
      <c r="C568" s="313">
        <v>166.229996</v>
      </c>
      <c r="D568" s="345">
        <f t="shared" ref="D568:E568" si="577">B568/B567-1</f>
        <v>-1.691449535652112E-2</v>
      </c>
      <c r="E568" s="345">
        <f t="shared" si="577"/>
        <v>1.3721185845132045E-2</v>
      </c>
      <c r="F568" s="313"/>
      <c r="G568" s="313"/>
      <c r="H568" s="313"/>
      <c r="I568" s="313"/>
      <c r="J568" s="313"/>
      <c r="K568" s="313"/>
      <c r="L568" s="313"/>
      <c r="M568" s="313"/>
      <c r="N568" s="313"/>
      <c r="O568" s="313"/>
      <c r="P568" s="313"/>
      <c r="Q568" s="313"/>
      <c r="R568" s="313"/>
      <c r="S568" s="313"/>
      <c r="T568" s="313"/>
      <c r="U568" s="313"/>
      <c r="V568" s="313"/>
      <c r="W568" s="313"/>
      <c r="X568" s="313"/>
      <c r="Y568" s="313"/>
      <c r="Z568" s="313"/>
      <c r="AA568" s="313"/>
    </row>
    <row r="569" spans="1:27" ht="14.25" customHeight="1" x14ac:dyDescent="0.2">
      <c r="A569" s="346">
        <v>43424</v>
      </c>
      <c r="B569" s="313">
        <v>264.11999500000002</v>
      </c>
      <c r="C569" s="313">
        <v>160.63999899999999</v>
      </c>
      <c r="D569" s="345">
        <f t="shared" ref="D569:E569" si="578">B569/B568-1</f>
        <v>-1.8506172013983524E-2</v>
      </c>
      <c r="E569" s="345">
        <f t="shared" si="578"/>
        <v>-3.3628088398678702E-2</v>
      </c>
      <c r="F569" s="313"/>
      <c r="G569" s="313"/>
      <c r="H569" s="313"/>
      <c r="I569" s="313"/>
      <c r="J569" s="313"/>
      <c r="K569" s="313"/>
      <c r="L569" s="313"/>
      <c r="M569" s="313"/>
      <c r="N569" s="313"/>
      <c r="O569" s="313"/>
      <c r="P569" s="313"/>
      <c r="Q569" s="313"/>
      <c r="R569" s="313"/>
      <c r="S569" s="313"/>
      <c r="T569" s="313"/>
      <c r="U569" s="313"/>
      <c r="V569" s="313"/>
      <c r="W569" s="313"/>
      <c r="X569" s="313"/>
      <c r="Y569" s="313"/>
      <c r="Z569" s="313"/>
      <c r="AA569" s="313"/>
    </row>
    <row r="570" spans="1:27" ht="14.25" customHeight="1" x14ac:dyDescent="0.2">
      <c r="A570" s="346">
        <v>43425</v>
      </c>
      <c r="B570" s="313">
        <v>265.01998900000001</v>
      </c>
      <c r="C570" s="313">
        <v>160.30999800000001</v>
      </c>
      <c r="D570" s="345">
        <f t="shared" ref="D570:E570" si="579">B570/B569-1</f>
        <v>3.4075193739118159E-3</v>
      </c>
      <c r="E570" s="345">
        <f t="shared" si="579"/>
        <v>-2.0542891064135871E-3</v>
      </c>
      <c r="F570" s="313"/>
      <c r="G570" s="313"/>
      <c r="H570" s="313"/>
      <c r="I570" s="313"/>
      <c r="J570" s="313"/>
      <c r="K570" s="313"/>
      <c r="L570" s="313"/>
      <c r="M570" s="313"/>
      <c r="N570" s="313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  <c r="AA570" s="313"/>
    </row>
    <row r="571" spans="1:27" ht="14.25" customHeight="1" x14ac:dyDescent="0.2">
      <c r="A571" s="346">
        <v>43427</v>
      </c>
      <c r="B571" s="313">
        <v>263.25</v>
      </c>
      <c r="C571" s="313">
        <v>160.38999899999999</v>
      </c>
      <c r="D571" s="345">
        <f t="shared" ref="D571:E571" si="580">B571/B570-1</f>
        <v>-6.6786999979839834E-3</v>
      </c>
      <c r="E571" s="345">
        <f t="shared" si="580"/>
        <v>4.9903936746331645E-4</v>
      </c>
      <c r="F571" s="313"/>
      <c r="G571" s="313"/>
      <c r="H571" s="313"/>
      <c r="I571" s="313"/>
      <c r="J571" s="313"/>
      <c r="K571" s="313"/>
      <c r="L571" s="313"/>
      <c r="M571" s="313"/>
      <c r="N571" s="313"/>
      <c r="O571" s="313"/>
      <c r="P571" s="313"/>
      <c r="Q571" s="313"/>
      <c r="R571" s="313"/>
      <c r="S571" s="313"/>
      <c r="T571" s="313"/>
      <c r="U571" s="313"/>
      <c r="V571" s="313"/>
      <c r="W571" s="313"/>
      <c r="X571" s="313"/>
      <c r="Y571" s="313"/>
      <c r="Z571" s="313"/>
      <c r="AA571" s="313"/>
    </row>
    <row r="572" spans="1:27" ht="14.25" customHeight="1" x14ac:dyDescent="0.2">
      <c r="A572" s="346">
        <v>43430</v>
      </c>
      <c r="B572" s="313">
        <v>267.5</v>
      </c>
      <c r="C572" s="313">
        <v>161.58999600000001</v>
      </c>
      <c r="D572" s="345">
        <f t="shared" ref="D572:E572" si="581">B572/B571-1</f>
        <v>1.6144349477682729E-2</v>
      </c>
      <c r="E572" s="345">
        <f t="shared" si="581"/>
        <v>7.4817445444339548E-3</v>
      </c>
      <c r="F572" s="313"/>
      <c r="G572" s="313"/>
      <c r="H572" s="313"/>
      <c r="I572" s="313"/>
      <c r="J572" s="313"/>
      <c r="K572" s="313"/>
      <c r="L572" s="313"/>
      <c r="M572" s="313"/>
      <c r="N572" s="313"/>
      <c r="O572" s="313"/>
      <c r="P572" s="313"/>
      <c r="Q572" s="313"/>
      <c r="R572" s="313"/>
      <c r="S572" s="313"/>
      <c r="T572" s="313"/>
      <c r="U572" s="313"/>
      <c r="V572" s="313"/>
      <c r="W572" s="313"/>
      <c r="X572" s="313"/>
      <c r="Y572" s="313"/>
      <c r="Z572" s="313"/>
      <c r="AA572" s="313"/>
    </row>
    <row r="573" spans="1:27" ht="14.25" customHeight="1" x14ac:dyDescent="0.2">
      <c r="A573" s="346">
        <v>43431</v>
      </c>
      <c r="B573" s="313">
        <v>268.39999399999999</v>
      </c>
      <c r="C573" s="313">
        <v>162.08000200000001</v>
      </c>
      <c r="D573" s="345">
        <f t="shared" ref="D573:E573" si="582">B573/B572-1</f>
        <v>3.3644635514018528E-3</v>
      </c>
      <c r="E573" s="345">
        <f t="shared" si="582"/>
        <v>3.0324030702988392E-3</v>
      </c>
      <c r="F573" s="313"/>
      <c r="G573" s="313"/>
      <c r="H573" s="313"/>
      <c r="I573" s="313"/>
      <c r="J573" s="313"/>
      <c r="K573" s="313"/>
      <c r="L573" s="313"/>
      <c r="M573" s="313"/>
      <c r="N573" s="313"/>
      <c r="O573" s="313"/>
      <c r="P573" s="313"/>
      <c r="Q573" s="313"/>
      <c r="R573" s="313"/>
      <c r="S573" s="313"/>
      <c r="T573" s="313"/>
      <c r="U573" s="313"/>
      <c r="V573" s="313"/>
      <c r="W573" s="313"/>
      <c r="X573" s="313"/>
      <c r="Y573" s="313"/>
      <c r="Z573" s="313"/>
      <c r="AA573" s="313"/>
    </row>
    <row r="574" spans="1:27" ht="14.25" customHeight="1" x14ac:dyDescent="0.2">
      <c r="A574" s="346">
        <v>43432</v>
      </c>
      <c r="B574" s="313">
        <v>274.57998700000002</v>
      </c>
      <c r="C574" s="313">
        <v>162</v>
      </c>
      <c r="D574" s="345">
        <f t="shared" ref="D574:E574" si="583">B574/B573-1</f>
        <v>2.3025309754664214E-2</v>
      </c>
      <c r="E574" s="345">
        <f t="shared" si="583"/>
        <v>-4.9359574909191295E-4</v>
      </c>
      <c r="F574" s="313"/>
      <c r="G574" s="313"/>
      <c r="H574" s="313"/>
      <c r="I574" s="313"/>
      <c r="J574" s="313"/>
      <c r="K574" s="313"/>
      <c r="L574" s="313"/>
      <c r="M574" s="313"/>
      <c r="N574" s="313"/>
      <c r="O574" s="313"/>
      <c r="P574" s="313"/>
      <c r="Q574" s="313"/>
      <c r="R574" s="313"/>
      <c r="S574" s="313"/>
      <c r="T574" s="313"/>
      <c r="U574" s="313"/>
      <c r="V574" s="313"/>
      <c r="W574" s="313"/>
      <c r="X574" s="313"/>
      <c r="Y574" s="313"/>
      <c r="Z574" s="313"/>
      <c r="AA574" s="313"/>
    </row>
    <row r="575" spans="1:27" ht="14.25" customHeight="1" x14ac:dyDescent="0.2">
      <c r="A575" s="346">
        <v>43433</v>
      </c>
      <c r="B575" s="313">
        <v>273.98001099999999</v>
      </c>
      <c r="C575" s="313">
        <v>162.720001</v>
      </c>
      <c r="D575" s="345">
        <f t="shared" ref="D575:E575" si="584">B575/B574-1</f>
        <v>-2.185068207465668E-3</v>
      </c>
      <c r="E575" s="345">
        <f t="shared" si="584"/>
        <v>4.4444506172838238E-3</v>
      </c>
      <c r="F575" s="313"/>
      <c r="G575" s="313"/>
      <c r="H575" s="313"/>
      <c r="I575" s="313"/>
      <c r="J575" s="313"/>
      <c r="K575" s="313"/>
      <c r="L575" s="313"/>
      <c r="M575" s="313"/>
      <c r="N575" s="313"/>
      <c r="O575" s="313"/>
      <c r="P575" s="313"/>
      <c r="Q575" s="313"/>
      <c r="R575" s="313"/>
      <c r="S575" s="313"/>
      <c r="T575" s="313"/>
      <c r="U575" s="313"/>
      <c r="V575" s="313"/>
      <c r="W575" s="313"/>
      <c r="X575" s="313"/>
      <c r="Y575" s="313"/>
      <c r="Z575" s="313"/>
      <c r="AA575" s="313"/>
    </row>
    <row r="576" spans="1:27" ht="14.25" customHeight="1" x14ac:dyDescent="0.2">
      <c r="A576" s="346">
        <v>43434</v>
      </c>
      <c r="B576" s="313">
        <v>275.64999399999999</v>
      </c>
      <c r="C576" s="313">
        <v>164.490005</v>
      </c>
      <c r="D576" s="345">
        <f t="shared" ref="D576:E576" si="585">B576/B575-1</f>
        <v>6.0952731329002585E-3</v>
      </c>
      <c r="E576" s="345">
        <f t="shared" si="585"/>
        <v>1.0877605636199661E-2</v>
      </c>
      <c r="F576" s="313"/>
      <c r="G576" s="313"/>
      <c r="H576" s="313"/>
      <c r="I576" s="313"/>
      <c r="J576" s="313"/>
      <c r="K576" s="313"/>
      <c r="L576" s="313"/>
      <c r="M576" s="313"/>
      <c r="N576" s="313"/>
      <c r="O576" s="313"/>
      <c r="P576" s="313"/>
      <c r="Q576" s="313"/>
      <c r="R576" s="313"/>
      <c r="S576" s="313"/>
      <c r="T576" s="313"/>
      <c r="U576" s="313"/>
      <c r="V576" s="313"/>
      <c r="W576" s="313"/>
      <c r="X576" s="313"/>
      <c r="Y576" s="313"/>
      <c r="Z576" s="313"/>
      <c r="AA576" s="313"/>
    </row>
    <row r="577" spans="1:27" ht="14.25" customHeight="1" x14ac:dyDescent="0.2">
      <c r="A577" s="346">
        <v>43437</v>
      </c>
      <c r="B577" s="313">
        <v>279.29998799999998</v>
      </c>
      <c r="C577" s="313">
        <v>163.08000200000001</v>
      </c>
      <c r="D577" s="345">
        <f t="shared" ref="D577:E577" si="586">B577/B576-1</f>
        <v>1.3241407870300925E-2</v>
      </c>
      <c r="E577" s="345">
        <f t="shared" si="586"/>
        <v>-8.5719676402221667E-3</v>
      </c>
      <c r="F577" s="313"/>
      <c r="G577" s="313"/>
      <c r="H577" s="313"/>
      <c r="I577" s="313"/>
      <c r="J577" s="313"/>
      <c r="K577" s="313"/>
      <c r="L577" s="313"/>
      <c r="M577" s="313"/>
      <c r="N577" s="313"/>
      <c r="O577" s="313"/>
      <c r="P577" s="313"/>
      <c r="Q577" s="313"/>
      <c r="R577" s="313"/>
      <c r="S577" s="313"/>
      <c r="T577" s="313"/>
      <c r="U577" s="313"/>
      <c r="V577" s="313"/>
      <c r="W577" s="313"/>
      <c r="X577" s="313"/>
      <c r="Y577" s="313"/>
      <c r="Z577" s="313"/>
      <c r="AA577" s="313"/>
    </row>
    <row r="578" spans="1:27" ht="14.25" customHeight="1" x14ac:dyDescent="0.2">
      <c r="A578" s="346">
        <v>43438</v>
      </c>
      <c r="B578" s="313">
        <v>270.25</v>
      </c>
      <c r="C578" s="313">
        <v>163.479996</v>
      </c>
      <c r="D578" s="345">
        <f t="shared" ref="D578:E578" si="587">B578/B577-1</f>
        <v>-3.2402393085673831E-2</v>
      </c>
      <c r="E578" s="345">
        <f t="shared" si="587"/>
        <v>2.4527470878985547E-3</v>
      </c>
      <c r="F578" s="313"/>
      <c r="G578" s="313"/>
      <c r="H578" s="313"/>
      <c r="I578" s="313"/>
      <c r="J578" s="313"/>
      <c r="K578" s="313"/>
      <c r="L578" s="313"/>
      <c r="M578" s="313"/>
      <c r="N578" s="313"/>
      <c r="O578" s="313"/>
      <c r="P578" s="313"/>
      <c r="Q578" s="313"/>
      <c r="R578" s="313"/>
      <c r="S578" s="313"/>
      <c r="T578" s="313"/>
      <c r="U578" s="313"/>
      <c r="V578" s="313"/>
      <c r="W578" s="313"/>
      <c r="X578" s="313"/>
      <c r="Y578" s="313"/>
      <c r="Z578" s="313"/>
      <c r="AA578" s="313"/>
    </row>
    <row r="579" spans="1:27" ht="14.25" customHeight="1" x14ac:dyDescent="0.2">
      <c r="A579" s="346">
        <v>43440</v>
      </c>
      <c r="B579" s="313">
        <v>269.83999599999999</v>
      </c>
      <c r="C579" s="313">
        <v>167.63000500000001</v>
      </c>
      <c r="D579" s="345">
        <f t="shared" ref="D579:E579" si="588">B579/B578-1</f>
        <v>-1.5171285846439231E-3</v>
      </c>
      <c r="E579" s="345">
        <f t="shared" si="588"/>
        <v>2.5385423914495497E-2</v>
      </c>
      <c r="F579" s="313"/>
      <c r="G579" s="313"/>
      <c r="H579" s="313"/>
      <c r="I579" s="313"/>
      <c r="J579" s="313"/>
      <c r="K579" s="313"/>
      <c r="L579" s="313"/>
      <c r="M579" s="313"/>
      <c r="N579" s="313"/>
      <c r="O579" s="313"/>
      <c r="P579" s="313"/>
      <c r="Q579" s="313"/>
      <c r="R579" s="313"/>
      <c r="S579" s="313"/>
      <c r="T579" s="313"/>
      <c r="U579" s="313"/>
      <c r="V579" s="313"/>
      <c r="W579" s="313"/>
      <c r="X579" s="313"/>
      <c r="Y579" s="313"/>
      <c r="Z579" s="313"/>
      <c r="AA579" s="313"/>
    </row>
    <row r="580" spans="1:27" ht="14.25" customHeight="1" x14ac:dyDescent="0.2">
      <c r="A580" s="346">
        <v>43441</v>
      </c>
      <c r="B580" s="313">
        <v>263.57000699999998</v>
      </c>
      <c r="C580" s="313">
        <v>166.429993</v>
      </c>
      <c r="D580" s="345">
        <f t="shared" ref="D580:E580" si="589">B580/B579-1</f>
        <v>-2.3235951278327227E-2</v>
      </c>
      <c r="E580" s="345">
        <f t="shared" si="589"/>
        <v>-7.1586945308509398E-3</v>
      </c>
      <c r="F580" s="313"/>
      <c r="G580" s="313"/>
      <c r="H580" s="313"/>
      <c r="I580" s="313"/>
      <c r="J580" s="313"/>
      <c r="K580" s="313"/>
      <c r="L580" s="313"/>
      <c r="M580" s="313"/>
      <c r="N580" s="313"/>
      <c r="O580" s="313"/>
      <c r="P580" s="313"/>
      <c r="Q580" s="313"/>
      <c r="R580" s="313"/>
      <c r="S580" s="313"/>
      <c r="T580" s="313"/>
      <c r="U580" s="313"/>
      <c r="V580" s="313"/>
      <c r="W580" s="313"/>
      <c r="X580" s="313"/>
      <c r="Y580" s="313"/>
      <c r="Z580" s="313"/>
      <c r="AA580" s="313"/>
    </row>
    <row r="581" spans="1:27" ht="14.25" customHeight="1" x14ac:dyDescent="0.2">
      <c r="A581" s="346">
        <v>43444</v>
      </c>
      <c r="B581" s="313">
        <v>264.07000699999998</v>
      </c>
      <c r="C581" s="313">
        <v>166.19000199999999</v>
      </c>
      <c r="D581" s="345">
        <f t="shared" ref="D581:E581" si="590">B581/B580-1</f>
        <v>1.8970292018090085E-3</v>
      </c>
      <c r="E581" s="345">
        <f t="shared" si="590"/>
        <v>-1.4419936916058029E-3</v>
      </c>
      <c r="F581" s="313"/>
      <c r="G581" s="313"/>
      <c r="H581" s="313"/>
      <c r="I581" s="313"/>
      <c r="J581" s="313"/>
      <c r="K581" s="313"/>
      <c r="L581" s="313"/>
      <c r="M581" s="313"/>
      <c r="N581" s="313"/>
      <c r="O581" s="313"/>
      <c r="P581" s="313"/>
      <c r="Q581" s="313"/>
      <c r="R581" s="313"/>
      <c r="S581" s="313"/>
      <c r="T581" s="313"/>
      <c r="U581" s="313"/>
      <c r="V581" s="313"/>
      <c r="W581" s="313"/>
      <c r="X581" s="313"/>
      <c r="Y581" s="313"/>
      <c r="Z581" s="313"/>
      <c r="AA581" s="313"/>
    </row>
    <row r="582" spans="1:27" ht="14.25" customHeight="1" x14ac:dyDescent="0.2">
      <c r="A582" s="346">
        <v>43445</v>
      </c>
      <c r="B582" s="313">
        <v>264.13000499999998</v>
      </c>
      <c r="C582" s="313">
        <v>166.63999899999999</v>
      </c>
      <c r="D582" s="345">
        <f t="shared" ref="D582:E582" si="591">B582/B581-1</f>
        <v>2.2720490176686425E-4</v>
      </c>
      <c r="E582" s="345">
        <f t="shared" si="591"/>
        <v>2.707726064050453E-3</v>
      </c>
      <c r="F582" s="313"/>
      <c r="G582" s="313"/>
      <c r="H582" s="313"/>
      <c r="I582" s="313"/>
      <c r="J582" s="313"/>
      <c r="K582" s="313"/>
      <c r="L582" s="313"/>
      <c r="M582" s="313"/>
      <c r="N582" s="313"/>
      <c r="O582" s="313"/>
      <c r="P582" s="313"/>
      <c r="Q582" s="313"/>
      <c r="R582" s="313"/>
      <c r="S582" s="313"/>
      <c r="T582" s="313"/>
      <c r="U582" s="313"/>
      <c r="V582" s="313"/>
      <c r="W582" s="313"/>
      <c r="X582" s="313"/>
      <c r="Y582" s="313"/>
      <c r="Z582" s="313"/>
      <c r="AA582" s="313"/>
    </row>
    <row r="583" spans="1:27" ht="14.25" customHeight="1" x14ac:dyDescent="0.2">
      <c r="A583" s="346">
        <v>43446</v>
      </c>
      <c r="B583" s="313">
        <v>265.459991</v>
      </c>
      <c r="C583" s="313">
        <v>164.64999399999999</v>
      </c>
      <c r="D583" s="345">
        <f t="shared" ref="D583:E583" si="592">B583/B582-1</f>
        <v>5.0353461357031115E-3</v>
      </c>
      <c r="E583" s="345">
        <f t="shared" si="592"/>
        <v>-1.1941940782176808E-2</v>
      </c>
      <c r="F583" s="313"/>
      <c r="G583" s="313"/>
      <c r="H583" s="313"/>
      <c r="I583" s="313"/>
      <c r="J583" s="313"/>
      <c r="K583" s="313"/>
      <c r="L583" s="313"/>
      <c r="M583" s="313"/>
      <c r="N583" s="313"/>
      <c r="O583" s="313"/>
      <c r="P583" s="313"/>
      <c r="Q583" s="313"/>
      <c r="R583" s="313"/>
      <c r="S583" s="313"/>
      <c r="T583" s="313"/>
      <c r="U583" s="313"/>
      <c r="V583" s="313"/>
      <c r="W583" s="313"/>
      <c r="X583" s="313"/>
      <c r="Y583" s="313"/>
      <c r="Z583" s="313"/>
      <c r="AA583" s="313"/>
    </row>
    <row r="584" spans="1:27" ht="14.25" customHeight="1" x14ac:dyDescent="0.2">
      <c r="A584" s="346">
        <v>43447</v>
      </c>
      <c r="B584" s="313">
        <v>265.36999500000002</v>
      </c>
      <c r="C584" s="313">
        <v>166.800003</v>
      </c>
      <c r="D584" s="345">
        <f t="shared" ref="D584:E584" si="593">B584/B583-1</f>
        <v>-3.3901907274602738E-4</v>
      </c>
      <c r="E584" s="345">
        <f t="shared" si="593"/>
        <v>1.3058056959297515E-2</v>
      </c>
      <c r="F584" s="313"/>
      <c r="G584" s="313"/>
      <c r="H584" s="313"/>
      <c r="I584" s="313"/>
      <c r="J584" s="313"/>
      <c r="K584" s="313"/>
      <c r="L584" s="313"/>
      <c r="M584" s="313"/>
      <c r="N584" s="313"/>
      <c r="O584" s="313"/>
      <c r="P584" s="313"/>
      <c r="Q584" s="313"/>
      <c r="R584" s="313"/>
      <c r="S584" s="313"/>
      <c r="T584" s="313"/>
      <c r="U584" s="313"/>
      <c r="V584" s="313"/>
      <c r="W584" s="313"/>
      <c r="X584" s="313"/>
      <c r="Y584" s="313"/>
      <c r="Z584" s="313"/>
      <c r="AA584" s="313"/>
    </row>
    <row r="585" spans="1:27" ht="14.25" customHeight="1" x14ac:dyDescent="0.2">
      <c r="A585" s="346">
        <v>43448</v>
      </c>
      <c r="B585" s="313">
        <v>260.47000100000002</v>
      </c>
      <c r="C585" s="313">
        <v>166.60000600000001</v>
      </c>
      <c r="D585" s="345">
        <f t="shared" ref="D585:E585" si="594">B585/B584-1</f>
        <v>-1.8464762755110997E-2</v>
      </c>
      <c r="E585" s="345">
        <f t="shared" si="594"/>
        <v>-1.199022760209445E-3</v>
      </c>
      <c r="F585" s="313"/>
      <c r="G585" s="313"/>
      <c r="H585" s="313"/>
      <c r="I585" s="313"/>
      <c r="J585" s="313"/>
      <c r="K585" s="313"/>
      <c r="L585" s="313"/>
      <c r="M585" s="313"/>
      <c r="N585" s="313"/>
      <c r="O585" s="313"/>
      <c r="P585" s="313"/>
      <c r="Q585" s="313"/>
      <c r="R585" s="313"/>
      <c r="S585" s="313"/>
      <c r="T585" s="313"/>
      <c r="U585" s="313"/>
      <c r="V585" s="313"/>
      <c r="W585" s="313"/>
      <c r="X585" s="313"/>
      <c r="Y585" s="313"/>
      <c r="Z585" s="313"/>
      <c r="AA585" s="313"/>
    </row>
    <row r="586" spans="1:27" ht="14.25" customHeight="1" x14ac:dyDescent="0.2">
      <c r="A586" s="346">
        <v>43451</v>
      </c>
      <c r="B586" s="313">
        <v>255.36000100000001</v>
      </c>
      <c r="C586" s="313">
        <v>160.94000199999999</v>
      </c>
      <c r="D586" s="345">
        <f t="shared" ref="D586:E586" si="595">B586/B585-1</f>
        <v>-1.9618382080015428E-2</v>
      </c>
      <c r="E586" s="345">
        <f t="shared" si="595"/>
        <v>-3.3973612221838811E-2</v>
      </c>
      <c r="F586" s="313"/>
      <c r="G586" s="313"/>
      <c r="H586" s="313"/>
      <c r="I586" s="313"/>
      <c r="J586" s="313"/>
      <c r="K586" s="313"/>
      <c r="L586" s="313"/>
      <c r="M586" s="313"/>
      <c r="N586" s="313"/>
      <c r="O586" s="313"/>
      <c r="P586" s="313"/>
      <c r="Q586" s="313"/>
      <c r="R586" s="313"/>
      <c r="S586" s="313"/>
      <c r="T586" s="313"/>
      <c r="U586" s="313"/>
      <c r="V586" s="313"/>
      <c r="W586" s="313"/>
      <c r="X586" s="313"/>
      <c r="Y586" s="313"/>
      <c r="Z586" s="313"/>
      <c r="AA586" s="313"/>
    </row>
    <row r="587" spans="1:27" ht="14.25" customHeight="1" x14ac:dyDescent="0.2">
      <c r="A587" s="346">
        <v>43452</v>
      </c>
      <c r="B587" s="313">
        <v>255.08000200000001</v>
      </c>
      <c r="C587" s="313">
        <v>162.30999800000001</v>
      </c>
      <c r="D587" s="345">
        <f t="shared" ref="D587:E587" si="596">B587/B586-1</f>
        <v>-1.0964873077361492E-3</v>
      </c>
      <c r="E587" s="345">
        <f t="shared" si="596"/>
        <v>8.512464166615441E-3</v>
      </c>
      <c r="F587" s="313"/>
      <c r="G587" s="313"/>
      <c r="H587" s="313"/>
      <c r="I587" s="313"/>
      <c r="J587" s="313"/>
      <c r="K587" s="313"/>
      <c r="L587" s="313"/>
      <c r="M587" s="313"/>
      <c r="N587" s="313"/>
      <c r="O587" s="313"/>
      <c r="P587" s="313"/>
      <c r="Q587" s="313"/>
      <c r="R587" s="313"/>
      <c r="S587" s="313"/>
      <c r="T587" s="313"/>
      <c r="U587" s="313"/>
      <c r="V587" s="313"/>
      <c r="W587" s="313"/>
      <c r="X587" s="313"/>
      <c r="Y587" s="313"/>
      <c r="Z587" s="313"/>
      <c r="AA587" s="313"/>
    </row>
    <row r="588" spans="1:27" ht="14.25" customHeight="1" x14ac:dyDescent="0.2">
      <c r="A588" s="346">
        <v>43453</v>
      </c>
      <c r="B588" s="313">
        <v>251.259995</v>
      </c>
      <c r="C588" s="313">
        <v>162.53999300000001</v>
      </c>
      <c r="D588" s="345">
        <f t="shared" ref="D588:E588" si="597">B588/B587-1</f>
        <v>-1.4975721224904204E-2</v>
      </c>
      <c r="E588" s="345">
        <f t="shared" si="597"/>
        <v>1.417010676076691E-3</v>
      </c>
      <c r="F588" s="313"/>
      <c r="G588" s="313"/>
      <c r="H588" s="313"/>
      <c r="I588" s="313"/>
      <c r="J588" s="313"/>
      <c r="K588" s="313"/>
      <c r="L588" s="313"/>
      <c r="M588" s="313"/>
      <c r="N588" s="313"/>
      <c r="O588" s="313"/>
      <c r="P588" s="313"/>
      <c r="Q588" s="313"/>
      <c r="R588" s="313"/>
      <c r="S588" s="313"/>
      <c r="T588" s="313"/>
      <c r="U588" s="313"/>
      <c r="V588" s="313"/>
      <c r="W588" s="313"/>
      <c r="X588" s="313"/>
      <c r="Y588" s="313"/>
      <c r="Z588" s="313"/>
      <c r="AA588" s="313"/>
    </row>
    <row r="589" spans="1:27" ht="14.25" customHeight="1" x14ac:dyDescent="0.2">
      <c r="A589" s="346">
        <v>43454</v>
      </c>
      <c r="B589" s="313">
        <v>247.16999799999999</v>
      </c>
      <c r="C589" s="313">
        <v>161.53999300000001</v>
      </c>
      <c r="D589" s="345">
        <f t="shared" ref="D589:E589" si="598">B589/B588-1</f>
        <v>-1.627794747030864E-2</v>
      </c>
      <c r="E589" s="345">
        <f t="shared" si="598"/>
        <v>-6.1523319986853675E-3</v>
      </c>
      <c r="F589" s="313"/>
      <c r="G589" s="313"/>
      <c r="H589" s="313"/>
      <c r="I589" s="313"/>
      <c r="J589" s="313"/>
      <c r="K589" s="313"/>
      <c r="L589" s="313"/>
      <c r="M589" s="313"/>
      <c r="N589" s="313"/>
      <c r="O589" s="313"/>
      <c r="P589" s="313"/>
      <c r="Q589" s="313"/>
      <c r="R589" s="313"/>
      <c r="S589" s="313"/>
      <c r="T589" s="313"/>
      <c r="U589" s="313"/>
      <c r="V589" s="313"/>
      <c r="W589" s="313"/>
      <c r="X589" s="313"/>
      <c r="Y589" s="313"/>
      <c r="Z589" s="313"/>
      <c r="AA589" s="313"/>
    </row>
    <row r="590" spans="1:27" ht="14.25" customHeight="1" x14ac:dyDescent="0.2">
      <c r="A590" s="346">
        <v>43455</v>
      </c>
      <c r="B590" s="313">
        <v>240.699997</v>
      </c>
      <c r="C590" s="313">
        <v>158</v>
      </c>
      <c r="D590" s="345">
        <f t="shared" ref="D590:E590" si="599">B590/B589-1</f>
        <v>-2.617632015354876E-2</v>
      </c>
      <c r="E590" s="345">
        <f t="shared" si="599"/>
        <v>-2.1914034625468926E-2</v>
      </c>
      <c r="F590" s="313"/>
      <c r="G590" s="313"/>
      <c r="H590" s="313"/>
      <c r="I590" s="313"/>
      <c r="J590" s="313"/>
      <c r="K590" s="313"/>
      <c r="L590" s="313"/>
      <c r="M590" s="313"/>
      <c r="N590" s="313"/>
      <c r="O590" s="313"/>
      <c r="P590" s="313"/>
      <c r="Q590" s="313"/>
      <c r="R590" s="313"/>
      <c r="S590" s="313"/>
      <c r="T590" s="313"/>
      <c r="U590" s="313"/>
      <c r="V590" s="313"/>
      <c r="W590" s="313"/>
      <c r="X590" s="313"/>
      <c r="Y590" s="313"/>
      <c r="Z590" s="313"/>
      <c r="AA590" s="313"/>
    </row>
    <row r="591" spans="1:27" ht="14.25" customHeight="1" x14ac:dyDescent="0.2">
      <c r="A591" s="346">
        <v>43458</v>
      </c>
      <c r="B591" s="313">
        <v>234.33999600000001</v>
      </c>
      <c r="C591" s="313">
        <v>153.58000200000001</v>
      </c>
      <c r="D591" s="345">
        <f t="shared" ref="D591:E591" si="600">B591/B590-1</f>
        <v>-2.6422937595632745E-2</v>
      </c>
      <c r="E591" s="345">
        <f t="shared" si="600"/>
        <v>-2.7974670886075859E-2</v>
      </c>
      <c r="F591" s="313"/>
      <c r="G591" s="313"/>
      <c r="H591" s="313"/>
      <c r="I591" s="313"/>
      <c r="J591" s="313"/>
      <c r="K591" s="313"/>
      <c r="L591" s="313"/>
      <c r="M591" s="313"/>
      <c r="N591" s="313"/>
      <c r="O591" s="313"/>
      <c r="P591" s="313"/>
      <c r="Q591" s="313"/>
      <c r="R591" s="313"/>
      <c r="S591" s="313"/>
      <c r="T591" s="313"/>
      <c r="U591" s="313"/>
      <c r="V591" s="313"/>
      <c r="W591" s="313"/>
      <c r="X591" s="313"/>
      <c r="Y591" s="313"/>
      <c r="Z591" s="313"/>
      <c r="AA591" s="313"/>
    </row>
    <row r="592" spans="1:27" ht="14.25" customHeight="1" x14ac:dyDescent="0.2">
      <c r="A592" s="346">
        <v>43460</v>
      </c>
      <c r="B592" s="313">
        <v>246.179993</v>
      </c>
      <c r="C592" s="313">
        <v>157.529999</v>
      </c>
      <c r="D592" s="345">
        <f t="shared" ref="D592:E592" si="601">B592/B591-1</f>
        <v>5.0524866442346328E-2</v>
      </c>
      <c r="E592" s="345">
        <f t="shared" si="601"/>
        <v>2.5719474857149649E-2</v>
      </c>
      <c r="F592" s="313"/>
      <c r="G592" s="313"/>
      <c r="H592" s="313"/>
      <c r="I592" s="313"/>
      <c r="J592" s="313"/>
      <c r="K592" s="313"/>
      <c r="L592" s="313"/>
      <c r="M592" s="313"/>
      <c r="N592" s="313"/>
      <c r="O592" s="313"/>
      <c r="P592" s="313"/>
      <c r="Q592" s="313"/>
      <c r="R592" s="313"/>
      <c r="S592" s="313"/>
      <c r="T592" s="313"/>
      <c r="U592" s="313"/>
      <c r="V592" s="313"/>
      <c r="W592" s="313"/>
      <c r="X592" s="313"/>
      <c r="Y592" s="313"/>
      <c r="Z592" s="313"/>
      <c r="AA592" s="313"/>
    </row>
    <row r="593" spans="1:27" ht="14.25" customHeight="1" x14ac:dyDescent="0.2">
      <c r="A593" s="346">
        <v>43461</v>
      </c>
      <c r="B593" s="313">
        <v>248.070007</v>
      </c>
      <c r="C593" s="313">
        <v>158.60000600000001</v>
      </c>
      <c r="D593" s="345">
        <f t="shared" ref="D593:E593" si="602">B593/B592-1</f>
        <v>7.6773663731479758E-3</v>
      </c>
      <c r="E593" s="345">
        <f t="shared" si="602"/>
        <v>6.7924014904614527E-3</v>
      </c>
      <c r="F593" s="313"/>
      <c r="G593" s="313"/>
      <c r="H593" s="313"/>
      <c r="I593" s="313"/>
      <c r="J593" s="313"/>
      <c r="K593" s="313"/>
      <c r="L593" s="313"/>
      <c r="M593" s="313"/>
      <c r="N593" s="313"/>
      <c r="O593" s="313"/>
      <c r="P593" s="313"/>
      <c r="Q593" s="313"/>
      <c r="R593" s="313"/>
      <c r="S593" s="313"/>
      <c r="T593" s="313"/>
      <c r="U593" s="313"/>
      <c r="V593" s="313"/>
      <c r="W593" s="313"/>
      <c r="X593" s="313"/>
      <c r="Y593" s="313"/>
      <c r="Z593" s="313"/>
      <c r="AA593" s="313"/>
    </row>
    <row r="594" spans="1:27" ht="14.25" customHeight="1" x14ac:dyDescent="0.2">
      <c r="A594" s="346">
        <v>43462</v>
      </c>
      <c r="B594" s="313">
        <v>247.75</v>
      </c>
      <c r="C594" s="313">
        <v>158.83000200000001</v>
      </c>
      <c r="D594" s="345">
        <f t="shared" ref="D594:E594" si="603">B594/B593-1</f>
        <v>-1.2899866609025201E-3</v>
      </c>
      <c r="E594" s="345">
        <f t="shared" si="603"/>
        <v>1.4501638795649807E-3</v>
      </c>
      <c r="F594" s="313"/>
      <c r="G594" s="313"/>
      <c r="H594" s="313"/>
      <c r="I594" s="313"/>
      <c r="J594" s="313"/>
      <c r="K594" s="313"/>
      <c r="L594" s="313"/>
      <c r="M594" s="313"/>
      <c r="N594" s="313"/>
      <c r="O594" s="313"/>
      <c r="P594" s="313"/>
      <c r="Q594" s="313"/>
      <c r="R594" s="313"/>
      <c r="S594" s="313"/>
      <c r="T594" s="313"/>
      <c r="U594" s="313"/>
      <c r="V594" s="313"/>
      <c r="W594" s="313"/>
      <c r="X594" s="313"/>
      <c r="Y594" s="313"/>
      <c r="Z594" s="313"/>
      <c r="AA594" s="313"/>
    </row>
    <row r="595" spans="1:27" ht="14.25" customHeight="1" x14ac:dyDescent="0.2">
      <c r="A595" s="346">
        <v>43465</v>
      </c>
      <c r="B595" s="313">
        <v>249.91999799999999</v>
      </c>
      <c r="C595" s="313">
        <v>158.19000199999999</v>
      </c>
      <c r="D595" s="345">
        <f t="shared" ref="D595:E595" si="604">B595/B594-1</f>
        <v>8.7588213925327008E-3</v>
      </c>
      <c r="E595" s="345">
        <f t="shared" si="604"/>
        <v>-4.0294654154824361E-3</v>
      </c>
      <c r="F595" s="313"/>
      <c r="G595" s="313"/>
      <c r="H595" s="313"/>
      <c r="I595" s="313"/>
      <c r="J595" s="313"/>
      <c r="K595" s="313"/>
      <c r="L595" s="313"/>
      <c r="M595" s="313"/>
      <c r="N595" s="313"/>
      <c r="O595" s="313"/>
      <c r="P595" s="313"/>
      <c r="Q595" s="313"/>
      <c r="R595" s="313"/>
      <c r="S595" s="313"/>
      <c r="T595" s="313"/>
      <c r="U595" s="313"/>
      <c r="V595" s="313"/>
      <c r="W595" s="313"/>
      <c r="X595" s="313"/>
      <c r="Y595" s="313"/>
      <c r="Z595" s="313"/>
      <c r="AA595" s="313"/>
    </row>
    <row r="596" spans="1:27" ht="14.25" customHeight="1" x14ac:dyDescent="0.2">
      <c r="A596" s="346">
        <v>43467</v>
      </c>
      <c r="B596" s="313">
        <v>250.179993</v>
      </c>
      <c r="C596" s="313">
        <v>156.740005</v>
      </c>
      <c r="D596" s="345">
        <f t="shared" ref="D596:E596" si="605">B596/B595-1</f>
        <v>1.0403129084533003E-3</v>
      </c>
      <c r="E596" s="345">
        <f t="shared" si="605"/>
        <v>-9.1661734728342159E-3</v>
      </c>
      <c r="F596" s="313"/>
      <c r="G596" s="313"/>
      <c r="H596" s="313"/>
      <c r="I596" s="313"/>
      <c r="J596" s="313"/>
      <c r="K596" s="313"/>
      <c r="L596" s="313"/>
      <c r="M596" s="313"/>
      <c r="N596" s="313"/>
      <c r="O596" s="313"/>
      <c r="P596" s="313"/>
      <c r="Q596" s="313"/>
      <c r="R596" s="313"/>
      <c r="S596" s="313"/>
      <c r="T596" s="313"/>
      <c r="U596" s="313"/>
      <c r="V596" s="313"/>
      <c r="W596" s="313"/>
      <c r="X596" s="313"/>
      <c r="Y596" s="313"/>
      <c r="Z596" s="313"/>
      <c r="AA596" s="313"/>
    </row>
    <row r="597" spans="1:27" ht="14.25" customHeight="1" x14ac:dyDescent="0.2">
      <c r="A597" s="346">
        <v>43468</v>
      </c>
      <c r="B597" s="313">
        <v>244.21000699999999</v>
      </c>
      <c r="C597" s="313">
        <v>157.679993</v>
      </c>
      <c r="D597" s="345">
        <f t="shared" ref="D597:E597" si="606">B597/B596-1</f>
        <v>-2.3862763478452953E-2</v>
      </c>
      <c r="E597" s="345">
        <f t="shared" si="606"/>
        <v>5.9971160521528066E-3</v>
      </c>
      <c r="F597" s="313"/>
      <c r="G597" s="313"/>
      <c r="H597" s="313"/>
      <c r="I597" s="313"/>
      <c r="J597" s="313"/>
      <c r="K597" s="313"/>
      <c r="L597" s="313"/>
      <c r="M597" s="313"/>
      <c r="N597" s="313"/>
      <c r="O597" s="313"/>
      <c r="P597" s="313"/>
      <c r="Q597" s="313"/>
      <c r="R597" s="313"/>
      <c r="S597" s="313"/>
      <c r="T597" s="313"/>
      <c r="U597" s="313"/>
      <c r="V597" s="313"/>
      <c r="W597" s="313"/>
      <c r="X597" s="313"/>
      <c r="Y597" s="313"/>
      <c r="Z597" s="313"/>
      <c r="AA597" s="313"/>
    </row>
    <row r="598" spans="1:27" ht="14.25" customHeight="1" x14ac:dyDescent="0.2">
      <c r="A598" s="346">
        <v>43469</v>
      </c>
      <c r="B598" s="313">
        <v>252.38999899999999</v>
      </c>
      <c r="C598" s="313">
        <v>158.30999800000001</v>
      </c>
      <c r="D598" s="345">
        <f t="shared" ref="D598:E598" si="607">B598/B597-1</f>
        <v>3.3495728125506385E-2</v>
      </c>
      <c r="E598" s="345">
        <f t="shared" si="607"/>
        <v>3.995465677119947E-3</v>
      </c>
      <c r="F598" s="313"/>
      <c r="G598" s="313"/>
      <c r="H598" s="313"/>
      <c r="I598" s="313"/>
      <c r="J598" s="313"/>
      <c r="K598" s="313"/>
      <c r="L598" s="313"/>
      <c r="M598" s="313"/>
      <c r="N598" s="313"/>
      <c r="O598" s="313"/>
      <c r="P598" s="313"/>
      <c r="Q598" s="313"/>
      <c r="R598" s="313"/>
      <c r="S598" s="313"/>
      <c r="T598" s="313"/>
      <c r="U598" s="313"/>
      <c r="V598" s="313"/>
      <c r="W598" s="313"/>
      <c r="X598" s="313"/>
      <c r="Y598" s="313"/>
      <c r="Z598" s="313"/>
      <c r="AA598" s="313"/>
    </row>
    <row r="599" spans="1:27" ht="14.25" customHeight="1" x14ac:dyDescent="0.2">
      <c r="A599" s="346">
        <v>43472</v>
      </c>
      <c r="B599" s="313">
        <v>254.38000500000001</v>
      </c>
      <c r="C599" s="313">
        <v>159.28999300000001</v>
      </c>
      <c r="D599" s="345">
        <f t="shared" ref="D599:E599" si="608">B599/B598-1</f>
        <v>7.8846468080537857E-3</v>
      </c>
      <c r="E599" s="345">
        <f t="shared" si="608"/>
        <v>6.1903544462176274E-3</v>
      </c>
      <c r="F599" s="313"/>
      <c r="G599" s="313"/>
      <c r="H599" s="313"/>
      <c r="I599" s="313"/>
      <c r="J599" s="313"/>
      <c r="K599" s="313"/>
      <c r="L599" s="313"/>
      <c r="M599" s="313"/>
      <c r="N599" s="313"/>
      <c r="O599" s="313"/>
      <c r="P599" s="313"/>
      <c r="Q599" s="313"/>
      <c r="R599" s="313"/>
      <c r="S599" s="313"/>
      <c r="T599" s="313"/>
      <c r="U599" s="313"/>
      <c r="V599" s="313"/>
      <c r="W599" s="313"/>
      <c r="X599" s="313"/>
      <c r="Y599" s="313"/>
      <c r="Z599" s="313"/>
      <c r="AA599" s="313"/>
    </row>
    <row r="600" spans="1:27" ht="14.25" customHeight="1" x14ac:dyDescent="0.2">
      <c r="A600" s="346">
        <v>43473</v>
      </c>
      <c r="B600" s="313">
        <v>256.76998900000001</v>
      </c>
      <c r="C600" s="313">
        <v>161.08999600000001</v>
      </c>
      <c r="D600" s="345">
        <f t="shared" ref="D600:E600" si="609">B600/B599-1</f>
        <v>9.3953296368556316E-3</v>
      </c>
      <c r="E600" s="345">
        <f t="shared" si="609"/>
        <v>1.1300163720893597E-2</v>
      </c>
      <c r="F600" s="313"/>
      <c r="G600" s="313"/>
      <c r="H600" s="313"/>
      <c r="I600" s="313"/>
      <c r="J600" s="313"/>
      <c r="K600" s="313"/>
      <c r="L600" s="313"/>
      <c r="M600" s="313"/>
      <c r="N600" s="313"/>
      <c r="O600" s="313"/>
      <c r="P600" s="313"/>
      <c r="Q600" s="313"/>
      <c r="R600" s="313"/>
      <c r="S600" s="313"/>
      <c r="T600" s="313"/>
      <c r="U600" s="313"/>
      <c r="V600" s="313"/>
      <c r="W600" s="313"/>
      <c r="X600" s="313"/>
      <c r="Y600" s="313"/>
      <c r="Z600" s="313"/>
      <c r="AA600" s="313"/>
    </row>
    <row r="601" spans="1:27" ht="14.25" customHeight="1" x14ac:dyDescent="0.2">
      <c r="A601" s="346">
        <v>43474</v>
      </c>
      <c r="B601" s="313">
        <v>257.97000100000002</v>
      </c>
      <c r="C601" s="313">
        <v>159.679993</v>
      </c>
      <c r="D601" s="345">
        <f t="shared" ref="D601:E601" si="610">B601/B600-1</f>
        <v>4.6734900938909529E-3</v>
      </c>
      <c r="E601" s="345">
        <f t="shared" si="610"/>
        <v>-8.7528899063354926E-3</v>
      </c>
      <c r="F601" s="313"/>
      <c r="G601" s="313"/>
      <c r="H601" s="313"/>
      <c r="I601" s="313"/>
      <c r="J601" s="313"/>
      <c r="K601" s="313"/>
      <c r="L601" s="313"/>
      <c r="M601" s="313"/>
      <c r="N601" s="313"/>
      <c r="O601" s="313"/>
      <c r="P601" s="313"/>
      <c r="Q601" s="313"/>
      <c r="R601" s="313"/>
      <c r="S601" s="313"/>
      <c r="T601" s="313"/>
      <c r="U601" s="313"/>
      <c r="V601" s="313"/>
      <c r="W601" s="313"/>
      <c r="X601" s="313"/>
      <c r="Y601" s="313"/>
      <c r="Z601" s="313"/>
      <c r="AA601" s="313"/>
    </row>
    <row r="602" spans="1:27" ht="14.25" customHeight="1" x14ac:dyDescent="0.2">
      <c r="A602" s="346">
        <v>43475</v>
      </c>
      <c r="B602" s="313">
        <v>258.88000499999998</v>
      </c>
      <c r="C602" s="313">
        <v>161.86000100000001</v>
      </c>
      <c r="D602" s="345">
        <f t="shared" ref="D602:E602" si="611">B602/B601-1</f>
        <v>3.5275574542481536E-3</v>
      </c>
      <c r="E602" s="345">
        <f t="shared" si="611"/>
        <v>1.3652355307906427E-2</v>
      </c>
      <c r="F602" s="313"/>
      <c r="G602" s="313"/>
      <c r="H602" s="313"/>
      <c r="I602" s="313"/>
      <c r="J602" s="313"/>
      <c r="K602" s="313"/>
      <c r="L602" s="313"/>
      <c r="M602" s="313"/>
      <c r="N602" s="313"/>
      <c r="O602" s="313"/>
      <c r="P602" s="313"/>
      <c r="Q602" s="313"/>
      <c r="R602" s="313"/>
      <c r="S602" s="313"/>
      <c r="T602" s="313"/>
      <c r="U602" s="313"/>
      <c r="V602" s="313"/>
      <c r="W602" s="313"/>
      <c r="X602" s="313"/>
      <c r="Y602" s="313"/>
      <c r="Z602" s="313"/>
      <c r="AA602" s="313"/>
    </row>
    <row r="603" spans="1:27" ht="14.25" customHeight="1" x14ac:dyDescent="0.2">
      <c r="A603" s="346">
        <v>43476</v>
      </c>
      <c r="B603" s="313">
        <v>258.98001099999999</v>
      </c>
      <c r="C603" s="313">
        <v>161.39999399999999</v>
      </c>
      <c r="D603" s="345">
        <f t="shared" ref="D603:E603" si="612">B603/B602-1</f>
        <v>3.8630252653160113E-4</v>
      </c>
      <c r="E603" s="345">
        <f t="shared" si="612"/>
        <v>-2.8420054192389577E-3</v>
      </c>
      <c r="F603" s="313"/>
      <c r="G603" s="313"/>
      <c r="H603" s="313"/>
      <c r="I603" s="313"/>
      <c r="J603" s="313"/>
      <c r="K603" s="313"/>
      <c r="L603" s="313"/>
      <c r="M603" s="313"/>
      <c r="N603" s="313"/>
      <c r="O603" s="313"/>
      <c r="P603" s="313"/>
      <c r="Q603" s="313"/>
      <c r="R603" s="313"/>
      <c r="S603" s="313"/>
      <c r="T603" s="313"/>
      <c r="U603" s="313"/>
      <c r="V603" s="313"/>
      <c r="W603" s="313"/>
      <c r="X603" s="313"/>
      <c r="Y603" s="313"/>
      <c r="Z603" s="313"/>
      <c r="AA603" s="313"/>
    </row>
    <row r="604" spans="1:27" ht="14.25" customHeight="1" x14ac:dyDescent="0.2">
      <c r="A604" s="346">
        <v>43479</v>
      </c>
      <c r="B604" s="313">
        <v>257.39999399999999</v>
      </c>
      <c r="C604" s="313">
        <v>161.39999399999999</v>
      </c>
      <c r="D604" s="345">
        <f t="shared" ref="D604:E604" si="613">B604/B603-1</f>
        <v>-6.1009225920528598E-3</v>
      </c>
      <c r="E604" s="345">
        <f t="shared" si="613"/>
        <v>0</v>
      </c>
      <c r="F604" s="313"/>
      <c r="G604" s="313"/>
      <c r="H604" s="313"/>
      <c r="I604" s="313"/>
      <c r="J604" s="313"/>
      <c r="K604" s="313"/>
      <c r="L604" s="313"/>
      <c r="M604" s="313"/>
      <c r="N604" s="313"/>
      <c r="O604" s="313"/>
      <c r="P604" s="313"/>
      <c r="Q604" s="313"/>
      <c r="R604" s="313"/>
      <c r="S604" s="313"/>
      <c r="T604" s="313"/>
      <c r="U604" s="313"/>
      <c r="V604" s="313"/>
      <c r="W604" s="313"/>
      <c r="X604" s="313"/>
      <c r="Y604" s="313"/>
      <c r="Z604" s="313"/>
      <c r="AA604" s="313"/>
    </row>
    <row r="605" spans="1:27" ht="14.25" customHeight="1" x14ac:dyDescent="0.2">
      <c r="A605" s="346">
        <v>43480</v>
      </c>
      <c r="B605" s="313">
        <v>260.35000600000001</v>
      </c>
      <c r="C605" s="313">
        <v>163.050003</v>
      </c>
      <c r="D605" s="345">
        <f t="shared" ref="D605:E605" si="614">B605/B604-1</f>
        <v>1.1460808347959928E-2</v>
      </c>
      <c r="E605" s="345">
        <f t="shared" si="614"/>
        <v>1.0223104469260447E-2</v>
      </c>
      <c r="F605" s="313"/>
      <c r="G605" s="313"/>
      <c r="H605" s="313"/>
      <c r="I605" s="313"/>
      <c r="J605" s="313"/>
      <c r="K605" s="313"/>
      <c r="L605" s="313"/>
      <c r="M605" s="313"/>
      <c r="N605" s="313"/>
      <c r="O605" s="313"/>
      <c r="P605" s="313"/>
      <c r="Q605" s="313"/>
      <c r="R605" s="313"/>
      <c r="S605" s="313"/>
      <c r="T605" s="313"/>
      <c r="U605" s="313"/>
      <c r="V605" s="313"/>
      <c r="W605" s="313"/>
      <c r="X605" s="313"/>
      <c r="Y605" s="313"/>
      <c r="Z605" s="313"/>
      <c r="AA605" s="313"/>
    </row>
    <row r="606" spans="1:27" ht="14.25" customHeight="1" x14ac:dyDescent="0.2">
      <c r="A606" s="346">
        <v>43481</v>
      </c>
      <c r="B606" s="313">
        <v>260.98001099999999</v>
      </c>
      <c r="C606" s="313">
        <v>163.779999</v>
      </c>
      <c r="D606" s="345">
        <f t="shared" ref="D606:E606" si="615">B606/B605-1</f>
        <v>2.4198386229343782E-3</v>
      </c>
      <c r="E606" s="345">
        <f t="shared" si="615"/>
        <v>4.477129632435517E-3</v>
      </c>
      <c r="F606" s="313"/>
      <c r="G606" s="313"/>
      <c r="H606" s="313"/>
      <c r="I606" s="313"/>
      <c r="J606" s="313"/>
      <c r="K606" s="313"/>
      <c r="L606" s="313"/>
      <c r="M606" s="313"/>
      <c r="N606" s="313"/>
      <c r="O606" s="313"/>
      <c r="P606" s="313"/>
      <c r="Q606" s="313"/>
      <c r="R606" s="313"/>
      <c r="S606" s="313"/>
      <c r="T606" s="313"/>
      <c r="U606" s="313"/>
      <c r="V606" s="313"/>
      <c r="W606" s="313"/>
      <c r="X606" s="313"/>
      <c r="Y606" s="313"/>
      <c r="Z606" s="313"/>
      <c r="AA606" s="313"/>
    </row>
    <row r="607" spans="1:27" ht="14.25" customHeight="1" x14ac:dyDescent="0.2">
      <c r="A607" s="346">
        <v>43482</v>
      </c>
      <c r="B607" s="313">
        <v>262.959991</v>
      </c>
      <c r="C607" s="313">
        <v>164.38000500000001</v>
      </c>
      <c r="D607" s="345">
        <f t="shared" ref="D607:E607" si="616">B607/B606-1</f>
        <v>7.5867113056409252E-3</v>
      </c>
      <c r="E607" s="345">
        <f t="shared" si="616"/>
        <v>3.6634876276926409E-3</v>
      </c>
      <c r="F607" s="313"/>
      <c r="G607" s="313"/>
      <c r="H607" s="313"/>
      <c r="I607" s="313"/>
      <c r="J607" s="313"/>
      <c r="K607" s="313"/>
      <c r="L607" s="313"/>
      <c r="M607" s="313"/>
      <c r="N607" s="313"/>
      <c r="O607" s="313"/>
      <c r="P607" s="313"/>
      <c r="Q607" s="313"/>
      <c r="R607" s="313"/>
      <c r="S607" s="313"/>
      <c r="T607" s="313"/>
      <c r="U607" s="313"/>
      <c r="V607" s="313"/>
      <c r="W607" s="313"/>
      <c r="X607" s="313"/>
      <c r="Y607" s="313"/>
      <c r="Z607" s="313"/>
      <c r="AA607" s="313"/>
    </row>
    <row r="608" spans="1:27" ht="14.25" customHeight="1" x14ac:dyDescent="0.2">
      <c r="A608" s="346">
        <v>43483</v>
      </c>
      <c r="B608" s="313">
        <v>266.459991</v>
      </c>
      <c r="C608" s="313">
        <v>164.66999799999999</v>
      </c>
      <c r="D608" s="345">
        <f t="shared" ref="D608:E608" si="617">B608/B607-1</f>
        <v>1.3310009582408355E-2</v>
      </c>
      <c r="E608" s="345">
        <f t="shared" si="617"/>
        <v>1.7641622531887613E-3</v>
      </c>
      <c r="F608" s="313"/>
      <c r="G608" s="313"/>
      <c r="H608" s="313"/>
      <c r="I608" s="313"/>
      <c r="J608" s="313"/>
      <c r="K608" s="313"/>
      <c r="L608" s="313"/>
      <c r="M608" s="313"/>
      <c r="N608" s="313"/>
      <c r="O608" s="313"/>
      <c r="P608" s="313"/>
      <c r="Q608" s="313"/>
      <c r="R608" s="313"/>
      <c r="S608" s="313"/>
      <c r="T608" s="313"/>
      <c r="U608" s="313"/>
      <c r="V608" s="313"/>
      <c r="W608" s="313"/>
      <c r="X608" s="313"/>
      <c r="Y608" s="313"/>
      <c r="Z608" s="313"/>
      <c r="AA608" s="313"/>
    </row>
    <row r="609" spans="1:27" ht="14.25" customHeight="1" x14ac:dyDescent="0.2">
      <c r="A609" s="346">
        <v>43487</v>
      </c>
      <c r="B609" s="313">
        <v>262.85998499999999</v>
      </c>
      <c r="C609" s="313">
        <v>164.679993</v>
      </c>
      <c r="D609" s="345">
        <f t="shared" ref="D609:E609" si="618">B609/B608-1</f>
        <v>-1.3510493588510308E-2</v>
      </c>
      <c r="E609" s="345">
        <f t="shared" si="618"/>
        <v>6.0697152616695504E-5</v>
      </c>
      <c r="F609" s="313"/>
      <c r="G609" s="313"/>
      <c r="H609" s="313"/>
      <c r="I609" s="313"/>
      <c r="J609" s="313"/>
      <c r="K609" s="313"/>
      <c r="L609" s="313"/>
      <c r="M609" s="313"/>
      <c r="N609" s="313"/>
      <c r="O609" s="313"/>
      <c r="P609" s="313"/>
      <c r="Q609" s="313"/>
      <c r="R609" s="313"/>
      <c r="S609" s="313"/>
      <c r="T609" s="313"/>
      <c r="U609" s="313"/>
      <c r="V609" s="313"/>
      <c r="W609" s="313"/>
      <c r="X609" s="313"/>
      <c r="Y609" s="313"/>
      <c r="Z609" s="313"/>
      <c r="AA609" s="313"/>
    </row>
    <row r="610" spans="1:27" ht="14.25" customHeight="1" x14ac:dyDescent="0.2">
      <c r="A610" s="346">
        <v>43488</v>
      </c>
      <c r="B610" s="313">
        <v>263.41000400000001</v>
      </c>
      <c r="C610" s="313">
        <v>165.78999300000001</v>
      </c>
      <c r="D610" s="345">
        <f t="shared" ref="D610:E610" si="619">B610/B609-1</f>
        <v>2.0924409624387685E-3</v>
      </c>
      <c r="E610" s="345">
        <f t="shared" si="619"/>
        <v>6.7403451978529372E-3</v>
      </c>
      <c r="F610" s="313"/>
      <c r="G610" s="313"/>
      <c r="H610" s="313"/>
      <c r="I610" s="313"/>
      <c r="J610" s="313"/>
      <c r="K610" s="313"/>
      <c r="L610" s="313"/>
      <c r="M610" s="313"/>
      <c r="N610" s="313"/>
      <c r="O610" s="313"/>
      <c r="P610" s="313"/>
      <c r="Q610" s="313"/>
      <c r="R610" s="313"/>
      <c r="S610" s="313"/>
      <c r="T610" s="313"/>
      <c r="U610" s="313"/>
      <c r="V610" s="313"/>
      <c r="W610" s="313"/>
      <c r="X610" s="313"/>
      <c r="Y610" s="313"/>
      <c r="Z610" s="313"/>
      <c r="AA610" s="313"/>
    </row>
    <row r="611" spans="1:27" ht="14.25" customHeight="1" x14ac:dyDescent="0.2">
      <c r="A611" s="346">
        <v>43489</v>
      </c>
      <c r="B611" s="313">
        <v>263.54998799999998</v>
      </c>
      <c r="C611" s="313">
        <v>165.64999399999999</v>
      </c>
      <c r="D611" s="345">
        <f t="shared" ref="D611:E611" si="620">B611/B610-1</f>
        <v>5.3143008190370544E-4</v>
      </c>
      <c r="E611" s="345">
        <f t="shared" si="620"/>
        <v>-8.4443576760395711E-4</v>
      </c>
      <c r="F611" s="313"/>
      <c r="G611" s="313"/>
      <c r="H611" s="313"/>
      <c r="I611" s="313"/>
      <c r="J611" s="313"/>
      <c r="K611" s="313"/>
      <c r="L611" s="313"/>
      <c r="M611" s="313"/>
      <c r="N611" s="313"/>
      <c r="O611" s="313"/>
      <c r="P611" s="313"/>
      <c r="Q611" s="313"/>
      <c r="R611" s="313"/>
      <c r="S611" s="313"/>
      <c r="T611" s="313"/>
      <c r="U611" s="313"/>
      <c r="V611" s="313"/>
      <c r="W611" s="313"/>
      <c r="X611" s="313"/>
      <c r="Y611" s="313"/>
      <c r="Z611" s="313"/>
      <c r="AA611" s="313"/>
    </row>
    <row r="612" spans="1:27" ht="14.25" customHeight="1" x14ac:dyDescent="0.2">
      <c r="A612" s="346">
        <v>43490</v>
      </c>
      <c r="B612" s="313">
        <v>265.77999899999998</v>
      </c>
      <c r="C612" s="313">
        <v>167.41000399999999</v>
      </c>
      <c r="D612" s="345">
        <f t="shared" ref="D612:E612" si="621">B612/B611-1</f>
        <v>8.4614346482154712E-3</v>
      </c>
      <c r="E612" s="345">
        <f t="shared" si="621"/>
        <v>1.0624872102319438E-2</v>
      </c>
      <c r="F612" s="313"/>
      <c r="G612" s="313"/>
      <c r="H612" s="313"/>
      <c r="I612" s="313"/>
      <c r="J612" s="313"/>
      <c r="K612" s="313"/>
      <c r="L612" s="313"/>
      <c r="M612" s="313"/>
      <c r="N612" s="313"/>
      <c r="O612" s="313"/>
      <c r="P612" s="313"/>
      <c r="Q612" s="313"/>
      <c r="R612" s="313"/>
      <c r="S612" s="313"/>
      <c r="T612" s="313"/>
      <c r="U612" s="313"/>
      <c r="V612" s="313"/>
      <c r="W612" s="313"/>
      <c r="X612" s="313"/>
      <c r="Y612" s="313"/>
      <c r="Z612" s="313"/>
      <c r="AA612" s="313"/>
    </row>
    <row r="613" spans="1:27" ht="14.25" customHeight="1" x14ac:dyDescent="0.2">
      <c r="A613" s="346">
        <v>43493</v>
      </c>
      <c r="B613" s="313">
        <v>263.76001000000002</v>
      </c>
      <c r="C613" s="313">
        <v>168.050003</v>
      </c>
      <c r="D613" s="345">
        <f t="shared" ref="D613:E613" si="622">B613/B612-1</f>
        <v>-7.6002295417268995E-3</v>
      </c>
      <c r="E613" s="345">
        <f t="shared" si="622"/>
        <v>3.8229435798831091E-3</v>
      </c>
      <c r="F613" s="313"/>
      <c r="G613" s="313"/>
      <c r="H613" s="313"/>
      <c r="I613" s="313"/>
      <c r="J613" s="313"/>
      <c r="K613" s="313"/>
      <c r="L613" s="313"/>
      <c r="M613" s="313"/>
      <c r="N613" s="313"/>
      <c r="O613" s="313"/>
      <c r="P613" s="313"/>
      <c r="Q613" s="313"/>
      <c r="R613" s="313"/>
      <c r="S613" s="313"/>
      <c r="T613" s="313"/>
      <c r="U613" s="313"/>
      <c r="V613" s="313"/>
      <c r="W613" s="313"/>
      <c r="X613" s="313"/>
      <c r="Y613" s="313"/>
      <c r="Z613" s="313"/>
      <c r="AA613" s="313"/>
    </row>
    <row r="614" spans="1:27" ht="14.25" customHeight="1" x14ac:dyDescent="0.2">
      <c r="A614" s="346">
        <v>43494</v>
      </c>
      <c r="B614" s="313">
        <v>263.41000400000001</v>
      </c>
      <c r="C614" s="313">
        <v>169.44000199999999</v>
      </c>
      <c r="D614" s="345">
        <f t="shared" ref="D614:E614" si="623">B614/B613-1</f>
        <v>-1.3269866042240341E-3</v>
      </c>
      <c r="E614" s="345">
        <f t="shared" si="623"/>
        <v>8.2713417148823076E-3</v>
      </c>
      <c r="F614" s="313"/>
      <c r="G614" s="313"/>
      <c r="H614" s="313"/>
      <c r="I614" s="313"/>
      <c r="J614" s="313"/>
      <c r="K614" s="313"/>
      <c r="L614" s="313"/>
      <c r="M614" s="313"/>
      <c r="N614" s="313"/>
      <c r="O614" s="313"/>
      <c r="P614" s="313"/>
      <c r="Q614" s="313"/>
      <c r="R614" s="313"/>
      <c r="S614" s="313"/>
      <c r="T614" s="313"/>
      <c r="U614" s="313"/>
      <c r="V614" s="313"/>
      <c r="W614" s="313"/>
      <c r="X614" s="313"/>
      <c r="Y614" s="313"/>
      <c r="Z614" s="313"/>
      <c r="AA614" s="313"/>
    </row>
    <row r="615" spans="1:27" ht="14.25" customHeight="1" x14ac:dyDescent="0.2">
      <c r="A615" s="346">
        <v>43495</v>
      </c>
      <c r="B615" s="313">
        <v>267.57998700000002</v>
      </c>
      <c r="C615" s="313">
        <v>170.470001</v>
      </c>
      <c r="D615" s="345">
        <f t="shared" ref="D615:E615" si="624">B615/B614-1</f>
        <v>1.5830769282399793E-2</v>
      </c>
      <c r="E615" s="345">
        <f t="shared" si="624"/>
        <v>6.0788419962365392E-3</v>
      </c>
      <c r="F615" s="313"/>
      <c r="G615" s="313"/>
      <c r="H615" s="313"/>
      <c r="I615" s="313"/>
      <c r="J615" s="313"/>
      <c r="K615" s="313"/>
      <c r="L615" s="313"/>
      <c r="M615" s="313"/>
      <c r="N615" s="313"/>
      <c r="O615" s="313"/>
      <c r="P615" s="313"/>
      <c r="Q615" s="313"/>
      <c r="R615" s="313"/>
      <c r="S615" s="313"/>
      <c r="T615" s="313"/>
      <c r="U615" s="313"/>
      <c r="V615" s="313"/>
      <c r="W615" s="313"/>
      <c r="X615" s="313"/>
      <c r="Y615" s="313"/>
      <c r="Z615" s="313"/>
      <c r="AA615" s="313"/>
    </row>
    <row r="616" spans="1:27" ht="14.25" customHeight="1" x14ac:dyDescent="0.2">
      <c r="A616" s="346">
        <v>43496</v>
      </c>
      <c r="B616" s="313">
        <v>269.92999300000002</v>
      </c>
      <c r="C616" s="313">
        <v>172.83999600000001</v>
      </c>
      <c r="D616" s="345">
        <f t="shared" ref="D616:E616" si="625">B616/B615-1</f>
        <v>8.782443060661338E-3</v>
      </c>
      <c r="E616" s="345">
        <f t="shared" si="625"/>
        <v>1.3902710072724256E-2</v>
      </c>
      <c r="F616" s="313"/>
      <c r="G616" s="313"/>
      <c r="H616" s="313"/>
      <c r="I616" s="313"/>
      <c r="J616" s="313"/>
      <c r="K616" s="313"/>
      <c r="L616" s="313"/>
      <c r="M616" s="313"/>
      <c r="N616" s="313"/>
      <c r="O616" s="313"/>
      <c r="P616" s="313"/>
      <c r="Q616" s="313"/>
      <c r="R616" s="313"/>
      <c r="S616" s="313"/>
      <c r="T616" s="313"/>
      <c r="U616" s="313"/>
      <c r="V616" s="313"/>
      <c r="W616" s="313"/>
      <c r="X616" s="313"/>
      <c r="Y616" s="313"/>
      <c r="Z616" s="313"/>
      <c r="AA616" s="313"/>
    </row>
    <row r="617" spans="1:27" ht="14.25" customHeight="1" x14ac:dyDescent="0.2">
      <c r="A617" s="346">
        <v>43497</v>
      </c>
      <c r="B617" s="313">
        <v>270.05999800000001</v>
      </c>
      <c r="C617" s="313">
        <v>170.429993</v>
      </c>
      <c r="D617" s="345">
        <f t="shared" ref="D617:E617" si="626">B617/B616-1</f>
        <v>4.8162487819558564E-4</v>
      </c>
      <c r="E617" s="345">
        <f t="shared" si="626"/>
        <v>-1.3943549269695765E-2</v>
      </c>
      <c r="F617" s="313"/>
      <c r="G617" s="313"/>
      <c r="H617" s="313"/>
      <c r="I617" s="313"/>
      <c r="J617" s="313"/>
      <c r="K617" s="313"/>
      <c r="L617" s="313"/>
      <c r="M617" s="313"/>
      <c r="N617" s="313"/>
      <c r="O617" s="313"/>
      <c r="P617" s="313"/>
      <c r="Q617" s="313"/>
      <c r="R617" s="313"/>
      <c r="S617" s="313"/>
      <c r="T617" s="313"/>
      <c r="U617" s="313"/>
      <c r="V617" s="313"/>
      <c r="W617" s="313"/>
      <c r="X617" s="313"/>
      <c r="Y617" s="313"/>
      <c r="Z617" s="313"/>
      <c r="AA617" s="313"/>
    </row>
    <row r="618" spans="1:27" ht="14.25" customHeight="1" x14ac:dyDescent="0.2">
      <c r="A618" s="346">
        <v>43500</v>
      </c>
      <c r="B618" s="313">
        <v>271.959991</v>
      </c>
      <c r="C618" s="313">
        <v>170.94000199999999</v>
      </c>
      <c r="D618" s="345">
        <f t="shared" ref="D618:E618" si="627">B618/B617-1</f>
        <v>7.035447730396438E-3</v>
      </c>
      <c r="E618" s="345">
        <f t="shared" si="627"/>
        <v>2.9924838405643861E-3</v>
      </c>
      <c r="F618" s="313"/>
      <c r="G618" s="313"/>
      <c r="H618" s="313"/>
      <c r="I618" s="313"/>
      <c r="J618" s="313"/>
      <c r="K618" s="313"/>
      <c r="L618" s="313"/>
      <c r="M618" s="313"/>
      <c r="N618" s="313"/>
      <c r="O618" s="313"/>
      <c r="P618" s="313"/>
      <c r="Q618" s="313"/>
      <c r="R618" s="313"/>
      <c r="S618" s="313"/>
      <c r="T618" s="313"/>
      <c r="U618" s="313"/>
      <c r="V618" s="313"/>
      <c r="W618" s="313"/>
      <c r="X618" s="313"/>
      <c r="Y618" s="313"/>
      <c r="Z618" s="313"/>
      <c r="AA618" s="313"/>
    </row>
    <row r="619" spans="1:27" ht="14.25" customHeight="1" x14ac:dyDescent="0.2">
      <c r="A619" s="346">
        <v>43501</v>
      </c>
      <c r="B619" s="313">
        <v>273.10000600000001</v>
      </c>
      <c r="C619" s="313">
        <v>172.429993</v>
      </c>
      <c r="D619" s="345">
        <f t="shared" ref="D619:E619" si="628">B619/B618-1</f>
        <v>4.1918482046132688E-3</v>
      </c>
      <c r="E619" s="345">
        <f t="shared" si="628"/>
        <v>8.7164559644734574E-3</v>
      </c>
      <c r="F619" s="313"/>
      <c r="G619" s="313"/>
      <c r="H619" s="313"/>
      <c r="I619" s="313"/>
      <c r="J619" s="313"/>
      <c r="K619" s="313"/>
      <c r="L619" s="313"/>
      <c r="M619" s="313"/>
      <c r="N619" s="313"/>
      <c r="O619" s="313"/>
      <c r="P619" s="313"/>
      <c r="Q619" s="313"/>
      <c r="R619" s="313"/>
      <c r="S619" s="313"/>
      <c r="T619" s="313"/>
      <c r="U619" s="313"/>
      <c r="V619" s="313"/>
      <c r="W619" s="313"/>
      <c r="X619" s="313"/>
      <c r="Y619" s="313"/>
      <c r="Z619" s="313"/>
      <c r="AA619" s="313"/>
    </row>
    <row r="620" spans="1:27" ht="14.25" customHeight="1" x14ac:dyDescent="0.2">
      <c r="A620" s="346">
        <v>43502</v>
      </c>
      <c r="B620" s="313">
        <v>272.73998999999998</v>
      </c>
      <c r="C620" s="313">
        <v>170.270004</v>
      </c>
      <c r="D620" s="345">
        <f t="shared" ref="D620:E620" si="629">B620/B619-1</f>
        <v>-1.3182570197382004E-3</v>
      </c>
      <c r="E620" s="345">
        <f t="shared" si="629"/>
        <v>-1.2526759193222214E-2</v>
      </c>
      <c r="F620" s="313"/>
      <c r="G620" s="313"/>
      <c r="H620" s="313"/>
      <c r="I620" s="313"/>
      <c r="J620" s="313"/>
      <c r="K620" s="313"/>
      <c r="L620" s="313"/>
      <c r="M620" s="313"/>
      <c r="N620" s="313"/>
      <c r="O620" s="313"/>
      <c r="P620" s="313"/>
      <c r="Q620" s="313"/>
      <c r="R620" s="313"/>
      <c r="S620" s="313"/>
      <c r="T620" s="313"/>
      <c r="U620" s="313"/>
      <c r="V620" s="313"/>
      <c r="W620" s="313"/>
      <c r="X620" s="313"/>
      <c r="Y620" s="313"/>
      <c r="Z620" s="313"/>
      <c r="AA620" s="313"/>
    </row>
    <row r="621" spans="1:27" ht="14.25" customHeight="1" x14ac:dyDescent="0.2">
      <c r="A621" s="346">
        <v>43503</v>
      </c>
      <c r="B621" s="313">
        <v>270.14001500000001</v>
      </c>
      <c r="C621" s="313">
        <v>172.009995</v>
      </c>
      <c r="D621" s="345">
        <f t="shared" ref="D621:E621" si="630">B621/B620-1</f>
        <v>-9.5327971523353483E-3</v>
      </c>
      <c r="E621" s="345">
        <f t="shared" si="630"/>
        <v>1.0219010742491097E-2</v>
      </c>
      <c r="F621" s="313"/>
      <c r="G621" s="313"/>
      <c r="H621" s="313"/>
      <c r="I621" s="313"/>
      <c r="J621" s="313"/>
      <c r="K621" s="313"/>
      <c r="L621" s="313"/>
      <c r="M621" s="313"/>
      <c r="N621" s="313"/>
      <c r="O621" s="313"/>
      <c r="P621" s="313"/>
      <c r="Q621" s="313"/>
      <c r="R621" s="313"/>
      <c r="S621" s="313"/>
      <c r="T621" s="313"/>
      <c r="U621" s="313"/>
      <c r="V621" s="313"/>
      <c r="W621" s="313"/>
      <c r="X621" s="313"/>
      <c r="Y621" s="313"/>
      <c r="Z621" s="313"/>
      <c r="AA621" s="313"/>
    </row>
    <row r="622" spans="1:27" ht="14.25" customHeight="1" x14ac:dyDescent="0.2">
      <c r="A622" s="346">
        <v>43504</v>
      </c>
      <c r="B622" s="313">
        <v>270.47000100000002</v>
      </c>
      <c r="C622" s="313">
        <v>172.429993</v>
      </c>
      <c r="D622" s="345">
        <f t="shared" ref="D622:E622" si="631">B622/B621-1</f>
        <v>1.2215369129968678E-3</v>
      </c>
      <c r="E622" s="345">
        <f t="shared" si="631"/>
        <v>2.4417069484827802E-3</v>
      </c>
      <c r="F622" s="313"/>
      <c r="G622" s="313"/>
      <c r="H622" s="313"/>
      <c r="I622" s="313"/>
      <c r="J622" s="313"/>
      <c r="K622" s="313"/>
      <c r="L622" s="313"/>
      <c r="M622" s="313"/>
      <c r="N622" s="313"/>
      <c r="O622" s="313"/>
      <c r="P622" s="313"/>
      <c r="Q622" s="313"/>
      <c r="R622" s="313"/>
      <c r="S622" s="313"/>
      <c r="T622" s="313"/>
      <c r="U622" s="313"/>
      <c r="V622" s="313"/>
      <c r="W622" s="313"/>
      <c r="X622" s="313"/>
      <c r="Y622" s="313"/>
      <c r="Z622" s="313"/>
      <c r="AA622" s="313"/>
    </row>
    <row r="623" spans="1:27" ht="14.25" customHeight="1" x14ac:dyDescent="0.2">
      <c r="A623" s="346">
        <v>43507</v>
      </c>
      <c r="B623" s="313">
        <v>270.61999500000002</v>
      </c>
      <c r="C623" s="313">
        <v>172.990005</v>
      </c>
      <c r="D623" s="345">
        <f t="shared" ref="D623:E623" si="632">B623/B622-1</f>
        <v>5.5456797221653531E-4</v>
      </c>
      <c r="E623" s="345">
        <f t="shared" si="632"/>
        <v>3.2477644420016993E-3</v>
      </c>
      <c r="F623" s="313"/>
      <c r="G623" s="313"/>
      <c r="H623" s="313"/>
      <c r="I623" s="313"/>
      <c r="J623" s="313"/>
      <c r="K623" s="313"/>
      <c r="L623" s="313"/>
      <c r="M623" s="313"/>
      <c r="N623" s="313"/>
      <c r="O623" s="313"/>
      <c r="P623" s="313"/>
      <c r="Q623" s="313"/>
      <c r="R623" s="313"/>
      <c r="S623" s="313"/>
      <c r="T623" s="313"/>
      <c r="U623" s="313"/>
      <c r="V623" s="313"/>
      <c r="W623" s="313"/>
      <c r="X623" s="313"/>
      <c r="Y623" s="313"/>
      <c r="Z623" s="313"/>
      <c r="AA623" s="313"/>
    </row>
    <row r="624" spans="1:27" ht="14.25" customHeight="1" x14ac:dyDescent="0.2">
      <c r="A624" s="346">
        <v>43508</v>
      </c>
      <c r="B624" s="313">
        <v>274.10000600000001</v>
      </c>
      <c r="C624" s="313">
        <v>172.58999600000001</v>
      </c>
      <c r="D624" s="345">
        <f t="shared" ref="D624:E624" si="633">B624/B623-1</f>
        <v>1.2859400873169058E-2</v>
      </c>
      <c r="E624" s="345">
        <f t="shared" si="633"/>
        <v>-2.3123243449815201E-3</v>
      </c>
      <c r="F624" s="313"/>
      <c r="G624" s="313"/>
      <c r="H624" s="313"/>
      <c r="I624" s="313"/>
      <c r="J624" s="313"/>
      <c r="K624" s="313"/>
      <c r="L624" s="313"/>
      <c r="M624" s="313"/>
      <c r="N624" s="313"/>
      <c r="O624" s="313"/>
      <c r="P624" s="313"/>
      <c r="Q624" s="313"/>
      <c r="R624" s="313"/>
      <c r="S624" s="313"/>
      <c r="T624" s="313"/>
      <c r="U624" s="313"/>
      <c r="V624" s="313"/>
      <c r="W624" s="313"/>
      <c r="X624" s="313"/>
      <c r="Y624" s="313"/>
      <c r="Z624" s="313"/>
      <c r="AA624" s="313"/>
    </row>
    <row r="625" spans="1:27" ht="14.25" customHeight="1" x14ac:dyDescent="0.2">
      <c r="A625" s="346">
        <v>43509</v>
      </c>
      <c r="B625" s="313">
        <v>274.98998999999998</v>
      </c>
      <c r="C625" s="313">
        <v>173.699997</v>
      </c>
      <c r="D625" s="345">
        <f t="shared" ref="D625:E625" si="634">B625/B624-1</f>
        <v>3.2469317056489366E-3</v>
      </c>
      <c r="E625" s="345">
        <f t="shared" si="634"/>
        <v>6.4314330246579843E-3</v>
      </c>
      <c r="F625" s="313"/>
      <c r="G625" s="313"/>
      <c r="H625" s="313"/>
      <c r="I625" s="313"/>
      <c r="J625" s="313"/>
      <c r="K625" s="313"/>
      <c r="L625" s="313"/>
      <c r="M625" s="313"/>
      <c r="N625" s="313"/>
      <c r="O625" s="313"/>
      <c r="P625" s="313"/>
      <c r="Q625" s="313"/>
      <c r="R625" s="313"/>
      <c r="S625" s="313"/>
      <c r="T625" s="313"/>
      <c r="U625" s="313"/>
      <c r="V625" s="313"/>
      <c r="W625" s="313"/>
      <c r="X625" s="313"/>
      <c r="Y625" s="313"/>
      <c r="Z625" s="313"/>
      <c r="AA625" s="313"/>
    </row>
    <row r="626" spans="1:27" ht="14.25" customHeight="1" x14ac:dyDescent="0.2">
      <c r="A626" s="346">
        <v>43510</v>
      </c>
      <c r="B626" s="313">
        <v>274.38000499999998</v>
      </c>
      <c r="C626" s="313">
        <v>175.78999300000001</v>
      </c>
      <c r="D626" s="345">
        <f t="shared" ref="D626:E626" si="635">B626/B625-1</f>
        <v>-2.2182080154989903E-3</v>
      </c>
      <c r="E626" s="345">
        <f t="shared" si="635"/>
        <v>1.2032216672980267E-2</v>
      </c>
      <c r="F626" s="313"/>
      <c r="G626" s="313"/>
      <c r="H626" s="313"/>
      <c r="I626" s="313"/>
      <c r="J626" s="313"/>
      <c r="K626" s="313"/>
      <c r="L626" s="313"/>
      <c r="M626" s="313"/>
      <c r="N626" s="313"/>
      <c r="O626" s="313"/>
      <c r="P626" s="313"/>
      <c r="Q626" s="313"/>
      <c r="R626" s="313"/>
      <c r="S626" s="313"/>
      <c r="T626" s="313"/>
      <c r="U626" s="313"/>
      <c r="V626" s="313"/>
      <c r="W626" s="313"/>
      <c r="X626" s="313"/>
      <c r="Y626" s="313"/>
      <c r="Z626" s="313"/>
      <c r="AA626" s="313"/>
    </row>
    <row r="627" spans="1:27" ht="14.25" customHeight="1" x14ac:dyDescent="0.2">
      <c r="A627" s="346">
        <v>43511</v>
      </c>
      <c r="B627" s="313">
        <v>277.36999500000002</v>
      </c>
      <c r="C627" s="313">
        <v>177.820007</v>
      </c>
      <c r="D627" s="345">
        <f t="shared" ref="D627:E627" si="636">B627/B626-1</f>
        <v>1.0897259076877885E-2</v>
      </c>
      <c r="E627" s="345">
        <f t="shared" si="636"/>
        <v>1.1547949717479078E-2</v>
      </c>
      <c r="F627" s="313"/>
      <c r="G627" s="313"/>
      <c r="H627" s="313"/>
      <c r="I627" s="313"/>
      <c r="J627" s="313"/>
      <c r="K627" s="313"/>
      <c r="L627" s="313"/>
      <c r="M627" s="313"/>
      <c r="N627" s="313"/>
      <c r="O627" s="313"/>
      <c r="P627" s="313"/>
      <c r="Q627" s="313"/>
      <c r="R627" s="313"/>
      <c r="S627" s="313"/>
      <c r="T627" s="313"/>
      <c r="U627" s="313"/>
      <c r="V627" s="313"/>
      <c r="W627" s="313"/>
      <c r="X627" s="313"/>
      <c r="Y627" s="313"/>
      <c r="Z627" s="313"/>
      <c r="AA627" s="313"/>
    </row>
    <row r="628" spans="1:27" ht="14.25" customHeight="1" x14ac:dyDescent="0.2">
      <c r="A628" s="346">
        <v>43515</v>
      </c>
      <c r="B628" s="313">
        <v>277.85000600000001</v>
      </c>
      <c r="C628" s="313">
        <v>177.60000600000001</v>
      </c>
      <c r="D628" s="345">
        <f t="shared" ref="D628:E628" si="637">B628/B627-1</f>
        <v>1.7305801227707196E-3</v>
      </c>
      <c r="E628" s="345">
        <f t="shared" si="637"/>
        <v>-1.2372117384968906E-3</v>
      </c>
      <c r="F628" s="313"/>
      <c r="G628" s="313"/>
      <c r="H628" s="313"/>
      <c r="I628" s="313"/>
      <c r="J628" s="313"/>
      <c r="K628" s="313"/>
      <c r="L628" s="313"/>
      <c r="M628" s="313"/>
      <c r="N628" s="313"/>
      <c r="O628" s="313"/>
      <c r="P628" s="313"/>
      <c r="Q628" s="313"/>
      <c r="R628" s="313"/>
      <c r="S628" s="313"/>
      <c r="T628" s="313"/>
      <c r="U628" s="313"/>
      <c r="V628" s="313"/>
      <c r="W628" s="313"/>
      <c r="X628" s="313"/>
      <c r="Y628" s="313"/>
      <c r="Z628" s="313"/>
      <c r="AA628" s="313"/>
    </row>
    <row r="629" spans="1:27" ht="14.25" customHeight="1" x14ac:dyDescent="0.2">
      <c r="A629" s="346">
        <v>43516</v>
      </c>
      <c r="B629" s="313">
        <v>278.41000400000001</v>
      </c>
      <c r="C629" s="313">
        <v>176.69000199999999</v>
      </c>
      <c r="D629" s="345">
        <f t="shared" ref="D629:E629" si="638">B629/B628-1</f>
        <v>2.0154687345950162E-3</v>
      </c>
      <c r="E629" s="345">
        <f t="shared" si="638"/>
        <v>-5.1238962232919016E-3</v>
      </c>
      <c r="F629" s="313"/>
      <c r="G629" s="313"/>
      <c r="H629" s="313"/>
      <c r="I629" s="313"/>
      <c r="J629" s="313"/>
      <c r="K629" s="313"/>
      <c r="L629" s="313"/>
      <c r="M629" s="313"/>
      <c r="N629" s="313"/>
      <c r="O629" s="313"/>
      <c r="P629" s="313"/>
      <c r="Q629" s="313"/>
      <c r="R629" s="313"/>
      <c r="S629" s="313"/>
      <c r="T629" s="313"/>
      <c r="U629" s="313"/>
      <c r="V629" s="313"/>
      <c r="W629" s="313"/>
      <c r="X629" s="313"/>
      <c r="Y629" s="313"/>
      <c r="Z629" s="313"/>
      <c r="AA629" s="313"/>
    </row>
    <row r="630" spans="1:27" ht="14.25" customHeight="1" x14ac:dyDescent="0.2">
      <c r="A630" s="346">
        <v>43517</v>
      </c>
      <c r="B630" s="313">
        <v>277.42001299999998</v>
      </c>
      <c r="C630" s="313">
        <v>176.509995</v>
      </c>
      <c r="D630" s="345">
        <f t="shared" ref="D630:E630" si="639">B630/B629-1</f>
        <v>-3.5558743787096336E-3</v>
      </c>
      <c r="E630" s="345">
        <f t="shared" si="639"/>
        <v>-1.0187729807145107E-3</v>
      </c>
      <c r="F630" s="313"/>
      <c r="G630" s="313"/>
      <c r="H630" s="313"/>
      <c r="I630" s="313"/>
      <c r="J630" s="313"/>
      <c r="K630" s="313"/>
      <c r="L630" s="313"/>
      <c r="M630" s="313"/>
      <c r="N630" s="313"/>
      <c r="O630" s="313"/>
      <c r="P630" s="313"/>
      <c r="Q630" s="313"/>
      <c r="R630" s="313"/>
      <c r="S630" s="313"/>
      <c r="T630" s="313"/>
      <c r="U630" s="313"/>
      <c r="V630" s="313"/>
      <c r="W630" s="313"/>
      <c r="X630" s="313"/>
      <c r="Y630" s="313"/>
      <c r="Z630" s="313"/>
      <c r="AA630" s="313"/>
    </row>
    <row r="631" spans="1:27" ht="14.25" customHeight="1" x14ac:dyDescent="0.2">
      <c r="A631" s="346">
        <v>43518</v>
      </c>
      <c r="B631" s="313">
        <v>279.14001500000001</v>
      </c>
      <c r="C631" s="313">
        <v>176.63000500000001</v>
      </c>
      <c r="D631" s="345">
        <f t="shared" ref="D631:E631" si="640">B631/B630-1</f>
        <v>6.1999925001807732E-3</v>
      </c>
      <c r="E631" s="345">
        <f t="shared" si="640"/>
        <v>6.7990484051638767E-4</v>
      </c>
      <c r="F631" s="313"/>
      <c r="G631" s="313"/>
      <c r="H631" s="313"/>
      <c r="I631" s="313"/>
      <c r="J631" s="313"/>
      <c r="K631" s="313"/>
      <c r="L631" s="313"/>
      <c r="M631" s="313"/>
      <c r="N631" s="313"/>
      <c r="O631" s="313"/>
      <c r="P631" s="313"/>
      <c r="Q631" s="313"/>
      <c r="R631" s="313"/>
      <c r="S631" s="313"/>
      <c r="T631" s="313"/>
      <c r="U631" s="313"/>
      <c r="V631" s="313"/>
      <c r="W631" s="313"/>
      <c r="X631" s="313"/>
      <c r="Y631" s="313"/>
      <c r="Z631" s="313"/>
      <c r="AA631" s="313"/>
    </row>
    <row r="632" spans="1:27" ht="14.25" customHeight="1" x14ac:dyDescent="0.2">
      <c r="A632" s="346">
        <v>43521</v>
      </c>
      <c r="B632" s="313">
        <v>279.51998900000001</v>
      </c>
      <c r="C632" s="313">
        <v>174.229996</v>
      </c>
      <c r="D632" s="345">
        <f t="shared" ref="D632:E632" si="641">B632/B631-1</f>
        <v>1.3612308504031834E-3</v>
      </c>
      <c r="E632" s="345">
        <f t="shared" si="641"/>
        <v>-1.358777632373398E-2</v>
      </c>
      <c r="F632" s="313"/>
      <c r="G632" s="313"/>
      <c r="H632" s="313"/>
      <c r="I632" s="313"/>
      <c r="J632" s="313"/>
      <c r="K632" s="313"/>
      <c r="L632" s="313"/>
      <c r="M632" s="313"/>
      <c r="N632" s="313"/>
      <c r="O632" s="313"/>
      <c r="P632" s="313"/>
      <c r="Q632" s="313"/>
      <c r="R632" s="313"/>
      <c r="S632" s="313"/>
      <c r="T632" s="313"/>
      <c r="U632" s="313"/>
      <c r="V632" s="313"/>
      <c r="W632" s="313"/>
      <c r="X632" s="313"/>
      <c r="Y632" s="313"/>
      <c r="Z632" s="313"/>
      <c r="AA632" s="313"/>
    </row>
    <row r="633" spans="1:27" ht="14.25" customHeight="1" x14ac:dyDescent="0.2">
      <c r="A633" s="346">
        <v>43522</v>
      </c>
      <c r="B633" s="313">
        <v>279.32000699999998</v>
      </c>
      <c r="C633" s="313">
        <v>174.020004</v>
      </c>
      <c r="D633" s="345">
        <f t="shared" ref="D633:E633" si="642">B633/B632-1</f>
        <v>-7.1544793885935931E-4</v>
      </c>
      <c r="E633" s="345">
        <f t="shared" si="642"/>
        <v>-1.2052574460255094E-3</v>
      </c>
      <c r="F633" s="313"/>
      <c r="G633" s="313"/>
      <c r="H633" s="313"/>
      <c r="I633" s="313"/>
      <c r="J633" s="313"/>
      <c r="K633" s="313"/>
      <c r="L633" s="313"/>
      <c r="M633" s="313"/>
      <c r="N633" s="313"/>
      <c r="O633" s="313"/>
      <c r="P633" s="313"/>
      <c r="Q633" s="313"/>
      <c r="R633" s="313"/>
      <c r="S633" s="313"/>
      <c r="T633" s="313"/>
      <c r="U633" s="313"/>
      <c r="V633" s="313"/>
      <c r="W633" s="313"/>
      <c r="X633" s="313"/>
      <c r="Y633" s="313"/>
      <c r="Z633" s="313"/>
      <c r="AA633" s="313"/>
    </row>
    <row r="634" spans="1:27" ht="14.25" customHeight="1" x14ac:dyDescent="0.2">
      <c r="A634" s="346">
        <v>43523</v>
      </c>
      <c r="B634" s="313">
        <v>279.20001200000002</v>
      </c>
      <c r="C634" s="313">
        <v>173.199997</v>
      </c>
      <c r="D634" s="345">
        <f t="shared" ref="D634:E634" si="643">B634/B633-1</f>
        <v>-4.2959686736643299E-4</v>
      </c>
      <c r="E634" s="345">
        <f t="shared" si="643"/>
        <v>-4.7121421741835867E-3</v>
      </c>
      <c r="F634" s="313"/>
      <c r="G634" s="313"/>
      <c r="H634" s="313"/>
      <c r="I634" s="313"/>
      <c r="J634" s="313"/>
      <c r="K634" s="313"/>
      <c r="L634" s="313"/>
      <c r="M634" s="313"/>
      <c r="N634" s="313"/>
      <c r="O634" s="313"/>
      <c r="P634" s="313"/>
      <c r="Q634" s="313"/>
      <c r="R634" s="313"/>
      <c r="S634" s="313"/>
      <c r="T634" s="313"/>
      <c r="U634" s="313"/>
      <c r="V634" s="313"/>
      <c r="W634" s="313"/>
      <c r="X634" s="313"/>
      <c r="Y634" s="313"/>
      <c r="Z634" s="313"/>
      <c r="AA634" s="313"/>
    </row>
    <row r="635" spans="1:27" ht="14.25" customHeight="1" x14ac:dyDescent="0.2">
      <c r="A635" s="346">
        <v>43524</v>
      </c>
      <c r="B635" s="313">
        <v>278.67999300000002</v>
      </c>
      <c r="C635" s="313">
        <v>176.14999399999999</v>
      </c>
      <c r="D635" s="345">
        <f t="shared" ref="D635:E635" si="644">B635/B634-1</f>
        <v>-1.8625321549055052E-3</v>
      </c>
      <c r="E635" s="345">
        <f t="shared" si="644"/>
        <v>1.7032315537511167E-2</v>
      </c>
      <c r="F635" s="313"/>
      <c r="G635" s="313"/>
      <c r="H635" s="313"/>
      <c r="I635" s="313"/>
      <c r="J635" s="313"/>
      <c r="K635" s="313"/>
      <c r="L635" s="313"/>
      <c r="M635" s="313"/>
      <c r="N635" s="313"/>
      <c r="O635" s="313"/>
      <c r="P635" s="313"/>
      <c r="Q635" s="313"/>
      <c r="R635" s="313"/>
      <c r="S635" s="313"/>
      <c r="T635" s="313"/>
      <c r="U635" s="313"/>
      <c r="V635" s="313"/>
      <c r="W635" s="313"/>
      <c r="X635" s="313"/>
      <c r="Y635" s="313"/>
      <c r="Z635" s="313"/>
      <c r="AA635" s="313"/>
    </row>
    <row r="636" spans="1:27" ht="14.25" customHeight="1" x14ac:dyDescent="0.2">
      <c r="A636" s="346">
        <v>43525</v>
      </c>
      <c r="B636" s="313">
        <v>280.42001299999998</v>
      </c>
      <c r="C636" s="313">
        <v>177.91999799999999</v>
      </c>
      <c r="D636" s="345">
        <f t="shared" ref="D636:E636" si="645">B636/B635-1</f>
        <v>6.2437923198883638E-3</v>
      </c>
      <c r="E636" s="345">
        <f t="shared" si="645"/>
        <v>1.00482773788797E-2</v>
      </c>
      <c r="F636" s="313"/>
      <c r="G636" s="313"/>
      <c r="H636" s="313"/>
      <c r="I636" s="313"/>
      <c r="J636" s="313"/>
      <c r="K636" s="313"/>
      <c r="L636" s="313"/>
      <c r="M636" s="313"/>
      <c r="N636" s="313"/>
      <c r="O636" s="313"/>
      <c r="P636" s="313"/>
      <c r="Q636" s="313"/>
      <c r="R636" s="313"/>
      <c r="S636" s="313"/>
      <c r="T636" s="313"/>
      <c r="U636" s="313"/>
      <c r="V636" s="313"/>
      <c r="W636" s="313"/>
      <c r="X636" s="313"/>
      <c r="Y636" s="313"/>
      <c r="Z636" s="313"/>
      <c r="AA636" s="313"/>
    </row>
    <row r="637" spans="1:27" ht="14.25" customHeight="1" x14ac:dyDescent="0.2">
      <c r="A637" s="346">
        <v>43528</v>
      </c>
      <c r="B637" s="313">
        <v>279.39999399999999</v>
      </c>
      <c r="C637" s="313">
        <v>179.69000199999999</v>
      </c>
      <c r="D637" s="345">
        <f t="shared" ref="D637:E637" si="646">B637/B636-1</f>
        <v>-3.6374686281752666E-3</v>
      </c>
      <c r="E637" s="345">
        <f t="shared" si="646"/>
        <v>9.9483139607499105E-3</v>
      </c>
      <c r="F637" s="313"/>
      <c r="G637" s="313"/>
      <c r="H637" s="313"/>
      <c r="I637" s="313"/>
      <c r="J637" s="313"/>
      <c r="K637" s="313"/>
      <c r="L637" s="313"/>
      <c r="M637" s="313"/>
      <c r="N637" s="313"/>
      <c r="O637" s="313"/>
      <c r="P637" s="313"/>
      <c r="Q637" s="313"/>
      <c r="R637" s="313"/>
      <c r="S637" s="313"/>
      <c r="T637" s="313"/>
      <c r="U637" s="313"/>
      <c r="V637" s="313"/>
      <c r="W637" s="313"/>
      <c r="X637" s="313"/>
      <c r="Y637" s="313"/>
      <c r="Z637" s="313"/>
      <c r="AA637" s="313"/>
    </row>
    <row r="638" spans="1:27" ht="14.25" customHeight="1" x14ac:dyDescent="0.2">
      <c r="A638" s="346">
        <v>43529</v>
      </c>
      <c r="B638" s="313">
        <v>279.01998900000001</v>
      </c>
      <c r="C638" s="313">
        <v>181.05999800000001</v>
      </c>
      <c r="D638" s="345">
        <f t="shared" ref="D638:E638" si="647">B638/B637-1</f>
        <v>-1.3600751902663744E-3</v>
      </c>
      <c r="E638" s="345">
        <f t="shared" si="647"/>
        <v>7.6242194042606126E-3</v>
      </c>
      <c r="F638" s="313"/>
      <c r="G638" s="313"/>
      <c r="H638" s="313"/>
      <c r="I638" s="313"/>
      <c r="J638" s="313"/>
      <c r="K638" s="313"/>
      <c r="L638" s="313"/>
      <c r="M638" s="313"/>
      <c r="N638" s="313"/>
      <c r="O638" s="313"/>
      <c r="P638" s="313"/>
      <c r="Q638" s="313"/>
      <c r="R638" s="313"/>
      <c r="S638" s="313"/>
      <c r="T638" s="313"/>
      <c r="U638" s="313"/>
      <c r="V638" s="313"/>
      <c r="W638" s="313"/>
      <c r="X638" s="313"/>
      <c r="Y638" s="313"/>
      <c r="Z638" s="313"/>
      <c r="AA638" s="313"/>
    </row>
    <row r="639" spans="1:27" ht="14.25" customHeight="1" x14ac:dyDescent="0.2">
      <c r="A639" s="346">
        <v>43530</v>
      </c>
      <c r="B639" s="313">
        <v>277.32998700000002</v>
      </c>
      <c r="C639" s="313">
        <v>181.64999399999999</v>
      </c>
      <c r="D639" s="345">
        <f t="shared" ref="D639:E639" si="648">B639/B638-1</f>
        <v>-6.0569208896356086E-3</v>
      </c>
      <c r="E639" s="345">
        <f t="shared" si="648"/>
        <v>3.2585662571364971E-3</v>
      </c>
      <c r="F639" s="313"/>
      <c r="G639" s="313"/>
      <c r="H639" s="313"/>
      <c r="I639" s="313"/>
      <c r="J639" s="313"/>
      <c r="K639" s="313"/>
      <c r="L639" s="313"/>
      <c r="M639" s="313"/>
      <c r="N639" s="313"/>
      <c r="O639" s="313"/>
      <c r="P639" s="313"/>
      <c r="Q639" s="313"/>
      <c r="R639" s="313"/>
      <c r="S639" s="313"/>
      <c r="T639" s="313"/>
      <c r="U639" s="313"/>
      <c r="V639" s="313"/>
      <c r="W639" s="313"/>
      <c r="X639" s="313"/>
      <c r="Y639" s="313"/>
      <c r="Z639" s="313"/>
      <c r="AA639" s="313"/>
    </row>
    <row r="640" spans="1:27" ht="14.25" customHeight="1" x14ac:dyDescent="0.2">
      <c r="A640" s="346">
        <v>43531</v>
      </c>
      <c r="B640" s="313">
        <v>275.01001000000002</v>
      </c>
      <c r="C640" s="313">
        <v>181.75</v>
      </c>
      <c r="D640" s="345">
        <f t="shared" ref="D640:E640" si="649">B640/B639-1</f>
        <v>-8.3654026205250975E-3</v>
      </c>
      <c r="E640" s="345">
        <f t="shared" si="649"/>
        <v>5.5054226976736231E-4</v>
      </c>
      <c r="F640" s="313"/>
      <c r="G640" s="313"/>
      <c r="H640" s="313"/>
      <c r="I640" s="313"/>
      <c r="J640" s="313"/>
      <c r="K640" s="313"/>
      <c r="L640" s="313"/>
      <c r="M640" s="313"/>
      <c r="N640" s="313"/>
      <c r="O640" s="313"/>
      <c r="P640" s="313"/>
      <c r="Q640" s="313"/>
      <c r="R640" s="313"/>
      <c r="S640" s="313"/>
      <c r="T640" s="313"/>
      <c r="U640" s="313"/>
      <c r="V640" s="313"/>
      <c r="W640" s="313"/>
      <c r="X640" s="313"/>
      <c r="Y640" s="313"/>
      <c r="Z640" s="313"/>
      <c r="AA640" s="313"/>
    </row>
    <row r="641" spans="1:27" ht="14.25" customHeight="1" x14ac:dyDescent="0.2">
      <c r="A641" s="346">
        <v>43532</v>
      </c>
      <c r="B641" s="313">
        <v>274.459991</v>
      </c>
      <c r="C641" s="313">
        <v>181.61000100000001</v>
      </c>
      <c r="D641" s="345">
        <f t="shared" ref="D641:E641" si="650">B641/B640-1</f>
        <v>-1.9999962910441926E-3</v>
      </c>
      <c r="E641" s="345">
        <f t="shared" si="650"/>
        <v>-7.7028335625850541E-4</v>
      </c>
      <c r="F641" s="313"/>
      <c r="G641" s="313"/>
      <c r="H641" s="313"/>
      <c r="I641" s="313"/>
      <c r="J641" s="313"/>
      <c r="K641" s="313"/>
      <c r="L641" s="313"/>
      <c r="M641" s="313"/>
      <c r="N641" s="313"/>
      <c r="O641" s="313"/>
      <c r="P641" s="313"/>
      <c r="Q641" s="313"/>
      <c r="R641" s="313"/>
      <c r="S641" s="313"/>
      <c r="T641" s="313"/>
      <c r="U641" s="313"/>
      <c r="V641" s="313"/>
      <c r="W641" s="313"/>
      <c r="X641" s="313"/>
      <c r="Y641" s="313"/>
      <c r="Z641" s="313"/>
      <c r="AA641" s="313"/>
    </row>
    <row r="642" spans="1:27" ht="14.25" customHeight="1" x14ac:dyDescent="0.2">
      <c r="A642" s="346">
        <v>43535</v>
      </c>
      <c r="B642" s="313">
        <v>278.44000199999999</v>
      </c>
      <c r="C642" s="313">
        <v>185.16000399999999</v>
      </c>
      <c r="D642" s="345">
        <f t="shared" ref="D642:E642" si="651">B642/B641-1</f>
        <v>1.4501242915219592E-2</v>
      </c>
      <c r="E642" s="345">
        <f t="shared" si="651"/>
        <v>1.9547398163386243E-2</v>
      </c>
      <c r="F642" s="313"/>
      <c r="G642" s="313"/>
      <c r="H642" s="313"/>
      <c r="I642" s="313"/>
      <c r="J642" s="313"/>
      <c r="K642" s="313"/>
      <c r="L642" s="313"/>
      <c r="M642" s="313"/>
      <c r="N642" s="313"/>
      <c r="O642" s="313"/>
      <c r="P642" s="313"/>
      <c r="Q642" s="313"/>
      <c r="R642" s="313"/>
      <c r="S642" s="313"/>
      <c r="T642" s="313"/>
      <c r="U642" s="313"/>
      <c r="V642" s="313"/>
      <c r="W642" s="313"/>
      <c r="X642" s="313"/>
      <c r="Y642" s="313"/>
      <c r="Z642" s="313"/>
      <c r="AA642" s="313"/>
    </row>
    <row r="643" spans="1:27" ht="14.25" customHeight="1" x14ac:dyDescent="0.2">
      <c r="A643" s="346">
        <v>43536</v>
      </c>
      <c r="B643" s="313">
        <v>279.48998999999998</v>
      </c>
      <c r="C643" s="313">
        <v>185.75</v>
      </c>
      <c r="D643" s="345">
        <f t="shared" ref="D643:E643" si="652">B643/B642-1</f>
        <v>3.7709667880263531E-3</v>
      </c>
      <c r="E643" s="345">
        <f t="shared" si="652"/>
        <v>3.1864116831625822E-3</v>
      </c>
      <c r="F643" s="313"/>
      <c r="G643" s="313"/>
      <c r="H643" s="313"/>
      <c r="I643" s="313"/>
      <c r="J643" s="313"/>
      <c r="K643" s="313"/>
      <c r="L643" s="313"/>
      <c r="M643" s="313"/>
      <c r="N643" s="313"/>
      <c r="O643" s="313"/>
      <c r="P643" s="313"/>
      <c r="Q643" s="313"/>
      <c r="R643" s="313"/>
      <c r="S643" s="313"/>
      <c r="T643" s="313"/>
      <c r="U643" s="313"/>
      <c r="V643" s="313"/>
      <c r="W643" s="313"/>
      <c r="X643" s="313"/>
      <c r="Y643" s="313"/>
      <c r="Z643" s="313"/>
      <c r="AA643" s="313"/>
    </row>
    <row r="644" spans="1:27" ht="14.25" customHeight="1" x14ac:dyDescent="0.2">
      <c r="A644" s="346">
        <v>43537</v>
      </c>
      <c r="B644" s="313">
        <v>281.33999599999999</v>
      </c>
      <c r="C644" s="313">
        <v>187.229996</v>
      </c>
      <c r="D644" s="345">
        <f t="shared" ref="D644:E644" si="653">B644/B643-1</f>
        <v>6.6192209602926599E-3</v>
      </c>
      <c r="E644" s="345">
        <f t="shared" si="653"/>
        <v>7.9676769851950713E-3</v>
      </c>
      <c r="F644" s="313"/>
      <c r="G644" s="313"/>
      <c r="H644" s="313"/>
      <c r="I644" s="313"/>
      <c r="J644" s="313"/>
      <c r="K644" s="313"/>
      <c r="L644" s="313"/>
      <c r="M644" s="313"/>
      <c r="N644" s="313"/>
      <c r="O644" s="313"/>
      <c r="P644" s="313"/>
      <c r="Q644" s="313"/>
      <c r="R644" s="313"/>
      <c r="S644" s="313"/>
      <c r="T644" s="313"/>
      <c r="U644" s="313"/>
      <c r="V644" s="313"/>
      <c r="W644" s="313"/>
      <c r="X644" s="313"/>
      <c r="Y644" s="313"/>
      <c r="Z644" s="313"/>
      <c r="AA644" s="313"/>
    </row>
    <row r="645" spans="1:27" ht="14.25" customHeight="1" x14ac:dyDescent="0.2">
      <c r="A645" s="346">
        <v>43538</v>
      </c>
      <c r="B645" s="313">
        <v>281.16000400000001</v>
      </c>
      <c r="C645" s="313">
        <v>187.970001</v>
      </c>
      <c r="D645" s="345">
        <f t="shared" ref="D645:E645" si="654">B645/B644-1</f>
        <v>-6.3976683926580957E-4</v>
      </c>
      <c r="E645" s="345">
        <f t="shared" si="654"/>
        <v>3.9523848518374649E-3</v>
      </c>
      <c r="F645" s="313"/>
      <c r="G645" s="313"/>
      <c r="H645" s="313"/>
      <c r="I645" s="313"/>
      <c r="J645" s="313"/>
      <c r="K645" s="313"/>
      <c r="L645" s="313"/>
      <c r="M645" s="313"/>
      <c r="N645" s="313"/>
      <c r="O645" s="313"/>
      <c r="P645" s="313"/>
      <c r="Q645" s="313"/>
      <c r="R645" s="313"/>
      <c r="S645" s="313"/>
      <c r="T645" s="313"/>
      <c r="U645" s="313"/>
      <c r="V645" s="313"/>
      <c r="W645" s="313"/>
      <c r="X645" s="313"/>
      <c r="Y645" s="313"/>
      <c r="Z645" s="313"/>
      <c r="AA645" s="313"/>
    </row>
    <row r="646" spans="1:27" ht="14.25" customHeight="1" x14ac:dyDescent="0.2">
      <c r="A646" s="346">
        <v>43539</v>
      </c>
      <c r="B646" s="313">
        <v>281.30999800000001</v>
      </c>
      <c r="C646" s="313">
        <v>188.970001</v>
      </c>
      <c r="D646" s="345">
        <f t="shared" ref="D646:E646" si="655">B646/B645-1</f>
        <v>5.3348270687880728E-4</v>
      </c>
      <c r="E646" s="345">
        <f t="shared" si="655"/>
        <v>5.3199978436984097E-3</v>
      </c>
      <c r="F646" s="313"/>
      <c r="G646" s="313"/>
      <c r="H646" s="313"/>
      <c r="I646" s="313"/>
      <c r="J646" s="313"/>
      <c r="K646" s="313"/>
      <c r="L646" s="313"/>
      <c r="M646" s="313"/>
      <c r="N646" s="313"/>
      <c r="O646" s="313"/>
      <c r="P646" s="313"/>
      <c r="Q646" s="313"/>
      <c r="R646" s="313"/>
      <c r="S646" s="313"/>
      <c r="T646" s="313"/>
      <c r="U646" s="313"/>
      <c r="V646" s="313"/>
      <c r="W646" s="313"/>
      <c r="X646" s="313"/>
      <c r="Y646" s="313"/>
      <c r="Z646" s="313"/>
      <c r="AA646" s="313"/>
    </row>
    <row r="647" spans="1:27" ht="14.25" customHeight="1" x14ac:dyDescent="0.2">
      <c r="A647" s="346">
        <v>43542</v>
      </c>
      <c r="B647" s="313">
        <v>282.32998700000002</v>
      </c>
      <c r="C647" s="313">
        <v>188.88999899999999</v>
      </c>
      <c r="D647" s="345">
        <f t="shared" ref="D647:E647" si="656">B647/B646-1</f>
        <v>3.6258540658054006E-3</v>
      </c>
      <c r="E647" s="345">
        <f t="shared" si="656"/>
        <v>-4.2335820276573344E-4</v>
      </c>
      <c r="F647" s="313"/>
      <c r="G647" s="313"/>
      <c r="H647" s="313"/>
      <c r="I647" s="313"/>
      <c r="J647" s="313"/>
      <c r="K647" s="313"/>
      <c r="L647" s="313"/>
      <c r="M647" s="313"/>
      <c r="N647" s="313"/>
      <c r="O647" s="313"/>
      <c r="P647" s="313"/>
      <c r="Q647" s="313"/>
      <c r="R647" s="313"/>
      <c r="S647" s="313"/>
      <c r="T647" s="313"/>
      <c r="U647" s="313"/>
      <c r="V647" s="313"/>
      <c r="W647" s="313"/>
      <c r="X647" s="313"/>
      <c r="Y647" s="313"/>
      <c r="Z647" s="313"/>
      <c r="AA647" s="313"/>
    </row>
    <row r="648" spans="1:27" ht="14.25" customHeight="1" x14ac:dyDescent="0.2">
      <c r="A648" s="346">
        <v>43543</v>
      </c>
      <c r="B648" s="313">
        <v>282.39999399999999</v>
      </c>
      <c r="C648" s="313">
        <v>189.91000399999999</v>
      </c>
      <c r="D648" s="345">
        <f t="shared" ref="D648:E648" si="657">B648/B647-1</f>
        <v>2.4796161663109828E-4</v>
      </c>
      <c r="E648" s="345">
        <f t="shared" si="657"/>
        <v>5.3999947345015897E-3</v>
      </c>
      <c r="F648" s="313"/>
      <c r="G648" s="313"/>
      <c r="H648" s="313"/>
      <c r="I648" s="313"/>
      <c r="J648" s="313"/>
      <c r="K648" s="313"/>
      <c r="L648" s="313"/>
      <c r="M648" s="313"/>
      <c r="N648" s="313"/>
      <c r="O648" s="313"/>
      <c r="P648" s="313"/>
      <c r="Q648" s="313"/>
      <c r="R648" s="313"/>
      <c r="S648" s="313"/>
      <c r="T648" s="313"/>
      <c r="U648" s="313"/>
      <c r="V648" s="313"/>
      <c r="W648" s="313"/>
      <c r="X648" s="313"/>
      <c r="Y648" s="313"/>
      <c r="Z648" s="313"/>
      <c r="AA648" s="313"/>
    </row>
    <row r="649" spans="1:27" ht="14.25" customHeight="1" x14ac:dyDescent="0.2">
      <c r="A649" s="346">
        <v>43544</v>
      </c>
      <c r="B649" s="313">
        <v>281.54998799999998</v>
      </c>
      <c r="C649" s="313">
        <v>191.53999300000001</v>
      </c>
      <c r="D649" s="345">
        <f t="shared" ref="D649:E649" si="658">B649/B648-1</f>
        <v>-3.0099363245736921E-3</v>
      </c>
      <c r="E649" s="345">
        <f t="shared" si="658"/>
        <v>8.5829549032079289E-3</v>
      </c>
      <c r="F649" s="313"/>
      <c r="G649" s="313"/>
      <c r="H649" s="313"/>
      <c r="I649" s="313"/>
      <c r="J649" s="313"/>
      <c r="K649" s="313"/>
      <c r="L649" s="313"/>
      <c r="M649" s="313"/>
      <c r="N649" s="313"/>
      <c r="O649" s="313"/>
      <c r="P649" s="313"/>
      <c r="Q649" s="313"/>
      <c r="R649" s="313"/>
      <c r="S649" s="313"/>
      <c r="T649" s="313"/>
      <c r="U649" s="313"/>
      <c r="V649" s="313"/>
      <c r="W649" s="313"/>
      <c r="X649" s="313"/>
      <c r="Y649" s="313"/>
      <c r="Z649" s="313"/>
      <c r="AA649" s="313"/>
    </row>
    <row r="650" spans="1:27" ht="14.25" customHeight="1" x14ac:dyDescent="0.2">
      <c r="A650" s="346">
        <v>43545</v>
      </c>
      <c r="B650" s="313">
        <v>284.73001099999999</v>
      </c>
      <c r="C650" s="313">
        <v>194.71000699999999</v>
      </c>
      <c r="D650" s="345">
        <f t="shared" ref="D650:E650" si="659">B650/B649-1</f>
        <v>1.1294701245023742E-2</v>
      </c>
      <c r="E650" s="345">
        <f t="shared" si="659"/>
        <v>1.6550141567562848E-2</v>
      </c>
      <c r="F650" s="313"/>
      <c r="G650" s="313"/>
      <c r="H650" s="313"/>
      <c r="I650" s="313"/>
      <c r="J650" s="313"/>
      <c r="K650" s="313"/>
      <c r="L650" s="313"/>
      <c r="M650" s="313"/>
      <c r="N650" s="313"/>
      <c r="O650" s="313"/>
      <c r="P650" s="313"/>
      <c r="Q650" s="313"/>
      <c r="R650" s="313"/>
      <c r="S650" s="313"/>
      <c r="T650" s="313"/>
      <c r="U650" s="313"/>
      <c r="V650" s="313"/>
      <c r="W650" s="313"/>
      <c r="X650" s="313"/>
      <c r="Y650" s="313"/>
      <c r="Z650" s="313"/>
      <c r="AA650" s="313"/>
    </row>
    <row r="651" spans="1:27" ht="14.25" customHeight="1" x14ac:dyDescent="0.2">
      <c r="A651" s="346">
        <v>43546</v>
      </c>
      <c r="B651" s="313">
        <v>279.25</v>
      </c>
      <c r="C651" s="313">
        <v>193.64999399999999</v>
      </c>
      <c r="D651" s="345">
        <f t="shared" ref="D651:E651" si="660">B651/B650-1</f>
        <v>-1.9246341405156575E-2</v>
      </c>
      <c r="E651" s="345">
        <f t="shared" si="660"/>
        <v>-5.444060201795331E-3</v>
      </c>
      <c r="F651" s="313"/>
      <c r="G651" s="313"/>
      <c r="H651" s="313"/>
      <c r="I651" s="313"/>
      <c r="J651" s="313"/>
      <c r="K651" s="313"/>
      <c r="L651" s="313"/>
      <c r="M651" s="313"/>
      <c r="N651" s="313"/>
      <c r="O651" s="313"/>
      <c r="P651" s="313"/>
      <c r="Q651" s="313"/>
      <c r="R651" s="313"/>
      <c r="S651" s="313"/>
      <c r="T651" s="313"/>
      <c r="U651" s="313"/>
      <c r="V651" s="313"/>
      <c r="W651" s="313"/>
      <c r="X651" s="313"/>
      <c r="Y651" s="313"/>
      <c r="Z651" s="313"/>
      <c r="AA651" s="313"/>
    </row>
    <row r="652" spans="1:27" ht="14.25" customHeight="1" x14ac:dyDescent="0.2">
      <c r="A652" s="346">
        <v>43549</v>
      </c>
      <c r="B652" s="313">
        <v>279.040009</v>
      </c>
      <c r="C652" s="313">
        <v>195.69000199999999</v>
      </c>
      <c r="D652" s="345">
        <f t="shared" ref="D652:E652" si="661">B652/B651-1</f>
        <v>-7.5198209489701906E-4</v>
      </c>
      <c r="E652" s="345">
        <f t="shared" si="661"/>
        <v>1.0534511041606409E-2</v>
      </c>
      <c r="F652" s="313"/>
      <c r="G652" s="313"/>
      <c r="H652" s="313"/>
      <c r="I652" s="313"/>
      <c r="J652" s="313"/>
      <c r="K652" s="313"/>
      <c r="L652" s="313"/>
      <c r="M652" s="313"/>
      <c r="N652" s="313"/>
      <c r="O652" s="313"/>
      <c r="P652" s="313"/>
      <c r="Q652" s="313"/>
      <c r="R652" s="313"/>
      <c r="S652" s="313"/>
      <c r="T652" s="313"/>
      <c r="U652" s="313"/>
      <c r="V652" s="313"/>
      <c r="W652" s="313"/>
      <c r="X652" s="313"/>
      <c r="Y652" s="313"/>
      <c r="Z652" s="313"/>
      <c r="AA652" s="313"/>
    </row>
    <row r="653" spans="1:27" ht="14.25" customHeight="1" x14ac:dyDescent="0.2">
      <c r="A653" s="346">
        <v>43550</v>
      </c>
      <c r="B653" s="313">
        <v>281.11999500000002</v>
      </c>
      <c r="C653" s="313">
        <v>195.050003</v>
      </c>
      <c r="D653" s="345">
        <f t="shared" ref="D653:E653" si="662">B653/B652-1</f>
        <v>7.4540780279290786E-3</v>
      </c>
      <c r="E653" s="345">
        <f t="shared" si="662"/>
        <v>-3.2704736749912255E-3</v>
      </c>
      <c r="F653" s="313"/>
      <c r="G653" s="313"/>
      <c r="H653" s="313"/>
      <c r="I653" s="313"/>
      <c r="J653" s="313"/>
      <c r="K653" s="313"/>
      <c r="L653" s="313"/>
      <c r="M653" s="313"/>
      <c r="N653" s="313"/>
      <c r="O653" s="313"/>
      <c r="P653" s="313"/>
      <c r="Q653" s="313"/>
      <c r="R653" s="313"/>
      <c r="S653" s="313"/>
      <c r="T653" s="313"/>
      <c r="U653" s="313"/>
      <c r="V653" s="313"/>
      <c r="W653" s="313"/>
      <c r="X653" s="313"/>
      <c r="Y653" s="313"/>
      <c r="Z653" s="313"/>
      <c r="AA653" s="313"/>
    </row>
    <row r="654" spans="1:27" ht="14.25" customHeight="1" x14ac:dyDescent="0.2">
      <c r="A654" s="346">
        <v>43551</v>
      </c>
      <c r="B654" s="313">
        <v>279.64999399999999</v>
      </c>
      <c r="C654" s="313">
        <v>194.08999600000001</v>
      </c>
      <c r="D654" s="345">
        <f t="shared" ref="D654:E654" si="663">B654/B653-1</f>
        <v>-5.2290873155430573E-3</v>
      </c>
      <c r="E654" s="345">
        <f t="shared" si="663"/>
        <v>-4.9218507317838611E-3</v>
      </c>
      <c r="F654" s="313"/>
      <c r="G654" s="313"/>
      <c r="H654" s="313"/>
      <c r="I654" s="313"/>
      <c r="J654" s="313"/>
      <c r="K654" s="313"/>
      <c r="L654" s="313"/>
      <c r="M654" s="313"/>
      <c r="N654" s="313"/>
      <c r="O654" s="313"/>
      <c r="P654" s="313"/>
      <c r="Q654" s="313"/>
      <c r="R654" s="313"/>
      <c r="S654" s="313"/>
      <c r="T654" s="313"/>
      <c r="U654" s="313"/>
      <c r="V654" s="313"/>
      <c r="W654" s="313"/>
      <c r="X654" s="313"/>
      <c r="Y654" s="313"/>
      <c r="Z654" s="313"/>
      <c r="AA654" s="313"/>
    </row>
    <row r="655" spans="1:27" ht="14.25" customHeight="1" x14ac:dyDescent="0.2">
      <c r="A655" s="346">
        <v>43552</v>
      </c>
      <c r="B655" s="313">
        <v>280.709991</v>
      </c>
      <c r="C655" s="313">
        <v>194.929993</v>
      </c>
      <c r="D655" s="345">
        <f t="shared" ref="D655:E655" si="664">B655/B654-1</f>
        <v>3.7904417047833761E-3</v>
      </c>
      <c r="E655" s="345">
        <f t="shared" si="664"/>
        <v>4.3278737560485947E-3</v>
      </c>
      <c r="F655" s="313"/>
      <c r="G655" s="313"/>
      <c r="H655" s="313"/>
      <c r="I655" s="313"/>
      <c r="J655" s="313"/>
      <c r="K655" s="313"/>
      <c r="L655" s="313"/>
      <c r="M655" s="313"/>
      <c r="N655" s="313"/>
      <c r="O655" s="313"/>
      <c r="P655" s="313"/>
      <c r="Q655" s="313"/>
      <c r="R655" s="313"/>
      <c r="S655" s="313"/>
      <c r="T655" s="313"/>
      <c r="U655" s="313"/>
      <c r="V655" s="313"/>
      <c r="W655" s="313"/>
      <c r="X655" s="313"/>
      <c r="Y655" s="313"/>
      <c r="Z655" s="313"/>
      <c r="AA655" s="313"/>
    </row>
    <row r="656" spans="1:27" ht="14.25" customHeight="1" x14ac:dyDescent="0.2">
      <c r="A656" s="346">
        <v>43553</v>
      </c>
      <c r="B656" s="313">
        <v>282.48001099999999</v>
      </c>
      <c r="C656" s="313">
        <v>197.05999800000001</v>
      </c>
      <c r="D656" s="345">
        <f t="shared" ref="D656:E656" si="665">B656/B655-1</f>
        <v>6.3055112277781156E-3</v>
      </c>
      <c r="E656" s="345">
        <f t="shared" si="665"/>
        <v>1.0927025478321362E-2</v>
      </c>
      <c r="F656" s="313"/>
      <c r="G656" s="313"/>
      <c r="H656" s="313"/>
      <c r="I656" s="313"/>
      <c r="J656" s="313"/>
      <c r="K656" s="313"/>
      <c r="L656" s="313"/>
      <c r="M656" s="313"/>
      <c r="N656" s="313"/>
      <c r="O656" s="313"/>
      <c r="P656" s="313"/>
      <c r="Q656" s="313"/>
      <c r="R656" s="313"/>
      <c r="S656" s="313"/>
      <c r="T656" s="313"/>
      <c r="U656" s="313"/>
      <c r="V656" s="313"/>
      <c r="W656" s="313"/>
      <c r="X656" s="313"/>
      <c r="Y656" s="313"/>
      <c r="Z656" s="313"/>
      <c r="AA656" s="313"/>
    </row>
    <row r="657" spans="1:27" ht="14.25" customHeight="1" x14ac:dyDescent="0.2">
      <c r="A657" s="346">
        <v>43556</v>
      </c>
      <c r="B657" s="313">
        <v>285.82998700000002</v>
      </c>
      <c r="C657" s="313">
        <v>192.509995</v>
      </c>
      <c r="D657" s="345">
        <f t="shared" ref="D657:E657" si="666">B657/B656-1</f>
        <v>1.185916124875841E-2</v>
      </c>
      <c r="E657" s="345">
        <f t="shared" si="666"/>
        <v>-2.3089429849684651E-2</v>
      </c>
      <c r="F657" s="313"/>
      <c r="G657" s="313"/>
      <c r="H657" s="313"/>
      <c r="I657" s="313"/>
      <c r="J657" s="313"/>
      <c r="K657" s="313"/>
      <c r="L657" s="313"/>
      <c r="M657" s="313"/>
      <c r="N657" s="313"/>
      <c r="O657" s="313"/>
      <c r="P657" s="313"/>
      <c r="Q657" s="313"/>
      <c r="R657" s="313"/>
      <c r="S657" s="313"/>
      <c r="T657" s="313"/>
      <c r="U657" s="313"/>
      <c r="V657" s="313"/>
      <c r="W657" s="313"/>
      <c r="X657" s="313"/>
      <c r="Y657" s="313"/>
      <c r="Z657" s="313"/>
      <c r="AA657" s="313"/>
    </row>
    <row r="658" spans="1:27" ht="14.25" customHeight="1" x14ac:dyDescent="0.2">
      <c r="A658" s="346">
        <v>43557</v>
      </c>
      <c r="B658" s="313">
        <v>285.97000100000002</v>
      </c>
      <c r="C658" s="313">
        <v>195.11999499999999</v>
      </c>
      <c r="D658" s="345">
        <f t="shared" ref="D658:E658" si="667">B658/B657-1</f>
        <v>4.8985063278195184E-4</v>
      </c>
      <c r="E658" s="345">
        <f t="shared" si="667"/>
        <v>1.355773761253265E-2</v>
      </c>
      <c r="F658" s="313"/>
      <c r="G658" s="313"/>
      <c r="H658" s="313"/>
      <c r="I658" s="313"/>
      <c r="J658" s="313"/>
      <c r="K658" s="313"/>
      <c r="L658" s="313"/>
      <c r="M658" s="313"/>
      <c r="N658" s="313"/>
      <c r="O658" s="313"/>
      <c r="P658" s="313"/>
      <c r="Q658" s="313"/>
      <c r="R658" s="313"/>
      <c r="S658" s="313"/>
      <c r="T658" s="313"/>
      <c r="U658" s="313"/>
      <c r="V658" s="313"/>
      <c r="W658" s="313"/>
      <c r="X658" s="313"/>
      <c r="Y658" s="313"/>
      <c r="Z658" s="313"/>
      <c r="AA658" s="313"/>
    </row>
    <row r="659" spans="1:27" ht="14.25" customHeight="1" x14ac:dyDescent="0.2">
      <c r="A659" s="346">
        <v>43558</v>
      </c>
      <c r="B659" s="313">
        <v>286.42001299999998</v>
      </c>
      <c r="C659" s="313">
        <v>194.28999300000001</v>
      </c>
      <c r="D659" s="345">
        <f t="shared" ref="D659:E659" si="668">B659/B658-1</f>
        <v>1.5736335924270151E-3</v>
      </c>
      <c r="E659" s="345">
        <f t="shared" si="668"/>
        <v>-4.2538028970325881E-3</v>
      </c>
      <c r="F659" s="313"/>
      <c r="G659" s="313"/>
      <c r="H659" s="313"/>
      <c r="I659" s="313"/>
      <c r="J659" s="313"/>
      <c r="K659" s="313"/>
      <c r="L659" s="313"/>
      <c r="M659" s="313"/>
      <c r="N659" s="313"/>
      <c r="O659" s="313"/>
      <c r="P659" s="313"/>
      <c r="Q659" s="313"/>
      <c r="R659" s="313"/>
      <c r="S659" s="313"/>
      <c r="T659" s="313"/>
      <c r="U659" s="313"/>
      <c r="V659" s="313"/>
      <c r="W659" s="313"/>
      <c r="X659" s="313"/>
      <c r="Y659" s="313"/>
      <c r="Z659" s="313"/>
      <c r="AA659" s="313"/>
    </row>
    <row r="660" spans="1:27" ht="14.25" customHeight="1" x14ac:dyDescent="0.2">
      <c r="A660" s="346">
        <v>43559</v>
      </c>
      <c r="B660" s="313">
        <v>287.17999300000002</v>
      </c>
      <c r="C660" s="313">
        <v>193.050003</v>
      </c>
      <c r="D660" s="345">
        <f t="shared" ref="D660:E660" si="669">B660/B659-1</f>
        <v>2.6533760404516826E-3</v>
      </c>
      <c r="E660" s="345">
        <f t="shared" si="669"/>
        <v>-6.382160917572377E-3</v>
      </c>
      <c r="F660" s="313"/>
      <c r="G660" s="313"/>
      <c r="H660" s="313"/>
      <c r="I660" s="313"/>
      <c r="J660" s="313"/>
      <c r="K660" s="313"/>
      <c r="L660" s="313"/>
      <c r="M660" s="313"/>
      <c r="N660" s="313"/>
      <c r="O660" s="313"/>
      <c r="P660" s="313"/>
      <c r="Q660" s="313"/>
      <c r="R660" s="313"/>
      <c r="S660" s="313"/>
      <c r="T660" s="313"/>
      <c r="U660" s="313"/>
      <c r="V660" s="313"/>
      <c r="W660" s="313"/>
      <c r="X660" s="313"/>
      <c r="Y660" s="313"/>
      <c r="Z660" s="313"/>
      <c r="AA660" s="313"/>
    </row>
    <row r="661" spans="1:27" ht="14.25" customHeight="1" x14ac:dyDescent="0.2">
      <c r="A661" s="346">
        <v>43560</v>
      </c>
      <c r="B661" s="313">
        <v>288.57000699999998</v>
      </c>
      <c r="C661" s="313">
        <v>195.759995</v>
      </c>
      <c r="D661" s="345">
        <f t="shared" ref="D661:E661" si="670">B661/B660-1</f>
        <v>4.8402187961609222E-3</v>
      </c>
      <c r="E661" s="345">
        <f t="shared" si="670"/>
        <v>1.4037772379625446E-2</v>
      </c>
      <c r="F661" s="313"/>
      <c r="G661" s="313"/>
      <c r="H661" s="313"/>
      <c r="I661" s="313"/>
      <c r="J661" s="313"/>
      <c r="K661" s="313"/>
      <c r="L661" s="313"/>
      <c r="M661" s="313"/>
      <c r="N661" s="313"/>
      <c r="O661" s="313"/>
      <c r="P661" s="313"/>
      <c r="Q661" s="313"/>
      <c r="R661" s="313"/>
      <c r="S661" s="313"/>
      <c r="T661" s="313"/>
      <c r="U661" s="313"/>
      <c r="V661" s="313"/>
      <c r="W661" s="313"/>
      <c r="X661" s="313"/>
      <c r="Y661" s="313"/>
      <c r="Z661" s="313"/>
      <c r="AA661" s="313"/>
    </row>
    <row r="662" spans="1:27" ht="14.25" customHeight="1" x14ac:dyDescent="0.2">
      <c r="A662" s="346">
        <v>43563</v>
      </c>
      <c r="B662" s="313">
        <v>288.790009</v>
      </c>
      <c r="C662" s="313">
        <v>196.220001</v>
      </c>
      <c r="D662" s="345">
        <f t="shared" ref="D662:E662" si="671">B662/B661-1</f>
        <v>7.6238692401608965E-4</v>
      </c>
      <c r="E662" s="345">
        <f t="shared" si="671"/>
        <v>2.3498468111422532E-3</v>
      </c>
      <c r="F662" s="313"/>
      <c r="G662" s="313"/>
      <c r="H662" s="313"/>
      <c r="I662" s="313"/>
      <c r="J662" s="313"/>
      <c r="K662" s="313"/>
      <c r="L662" s="313"/>
      <c r="M662" s="313"/>
      <c r="N662" s="313"/>
      <c r="O662" s="313"/>
      <c r="P662" s="313"/>
      <c r="Q662" s="313"/>
      <c r="R662" s="313"/>
      <c r="S662" s="313"/>
      <c r="T662" s="313"/>
      <c r="U662" s="313"/>
      <c r="V662" s="313"/>
      <c r="W662" s="313"/>
      <c r="X662" s="313"/>
      <c r="Y662" s="313"/>
      <c r="Z662" s="313"/>
      <c r="AA662" s="313"/>
    </row>
    <row r="663" spans="1:27" ht="14.25" customHeight="1" x14ac:dyDescent="0.2">
      <c r="A663" s="346">
        <v>43564</v>
      </c>
      <c r="B663" s="313">
        <v>287.30999800000001</v>
      </c>
      <c r="C663" s="313">
        <v>196.720001</v>
      </c>
      <c r="D663" s="345">
        <f t="shared" ref="D663:E663" si="672">B663/B662-1</f>
        <v>-5.1248691224632381E-3</v>
      </c>
      <c r="E663" s="345">
        <f t="shared" si="672"/>
        <v>2.5481602153289984E-3</v>
      </c>
      <c r="F663" s="313"/>
      <c r="G663" s="313"/>
      <c r="H663" s="313"/>
      <c r="I663" s="313"/>
      <c r="J663" s="313"/>
      <c r="K663" s="313"/>
      <c r="L663" s="313"/>
      <c r="M663" s="313"/>
      <c r="N663" s="313"/>
      <c r="O663" s="313"/>
      <c r="P663" s="313"/>
      <c r="Q663" s="313"/>
      <c r="R663" s="313"/>
      <c r="S663" s="313"/>
      <c r="T663" s="313"/>
      <c r="U663" s="313"/>
      <c r="V663" s="313"/>
      <c r="W663" s="313"/>
      <c r="X663" s="313"/>
      <c r="Y663" s="313"/>
      <c r="Z663" s="313"/>
      <c r="AA663" s="313"/>
    </row>
    <row r="664" spans="1:27" ht="14.25" customHeight="1" x14ac:dyDescent="0.2">
      <c r="A664" s="346">
        <v>43565</v>
      </c>
      <c r="B664" s="313">
        <v>288.290009</v>
      </c>
      <c r="C664" s="313">
        <v>196.61999499999999</v>
      </c>
      <c r="D664" s="345">
        <f t="shared" ref="D664:E664" si="673">B664/B663-1</f>
        <v>3.4109881550310472E-3</v>
      </c>
      <c r="E664" s="345">
        <f t="shared" si="673"/>
        <v>-5.0836721986402544E-4</v>
      </c>
      <c r="F664" s="313"/>
      <c r="G664" s="313"/>
      <c r="H664" s="313"/>
      <c r="I664" s="313"/>
      <c r="J664" s="313"/>
      <c r="K664" s="313"/>
      <c r="L664" s="313"/>
      <c r="M664" s="313"/>
      <c r="N664" s="313"/>
      <c r="O664" s="313"/>
      <c r="P664" s="313"/>
      <c r="Q664" s="313"/>
      <c r="R664" s="313"/>
      <c r="S664" s="313"/>
      <c r="T664" s="313"/>
      <c r="U664" s="313"/>
      <c r="V664" s="313"/>
      <c r="W664" s="313"/>
      <c r="X664" s="313"/>
      <c r="Y664" s="313"/>
      <c r="Z664" s="313"/>
      <c r="AA664" s="313"/>
    </row>
    <row r="665" spans="1:27" ht="14.25" customHeight="1" x14ac:dyDescent="0.2">
      <c r="A665" s="346">
        <v>43566</v>
      </c>
      <c r="B665" s="313">
        <v>288.209991</v>
      </c>
      <c r="C665" s="313">
        <v>196.64999399999999</v>
      </c>
      <c r="D665" s="345">
        <f t="shared" ref="D665:E665" si="674">B665/B664-1</f>
        <v>-2.7756078081775382E-4</v>
      </c>
      <c r="E665" s="345">
        <f t="shared" si="674"/>
        <v>1.5257349589492541E-4</v>
      </c>
      <c r="F665" s="313"/>
      <c r="G665" s="313"/>
      <c r="H665" s="313"/>
      <c r="I665" s="313"/>
      <c r="J665" s="313"/>
      <c r="K665" s="313"/>
      <c r="L665" s="313"/>
      <c r="M665" s="313"/>
      <c r="N665" s="313"/>
      <c r="O665" s="313"/>
      <c r="P665" s="313"/>
      <c r="Q665" s="313"/>
      <c r="R665" s="313"/>
      <c r="S665" s="313"/>
      <c r="T665" s="313"/>
      <c r="U665" s="313"/>
      <c r="V665" s="313"/>
      <c r="W665" s="313"/>
      <c r="X665" s="313"/>
      <c r="Y665" s="313"/>
      <c r="Z665" s="313"/>
      <c r="AA665" s="313"/>
    </row>
    <row r="666" spans="1:27" ht="14.25" customHeight="1" x14ac:dyDescent="0.2">
      <c r="A666" s="346">
        <v>43567</v>
      </c>
      <c r="B666" s="313">
        <v>290.16000400000001</v>
      </c>
      <c r="C666" s="313">
        <v>197.96000699999999</v>
      </c>
      <c r="D666" s="345">
        <f t="shared" ref="D666:E666" si="675">B666/B665-1</f>
        <v>6.7659451819628291E-3</v>
      </c>
      <c r="E666" s="345">
        <f t="shared" si="675"/>
        <v>6.6616478005079305E-3</v>
      </c>
      <c r="F666" s="313"/>
      <c r="G666" s="313"/>
      <c r="H666" s="313"/>
      <c r="I666" s="313"/>
      <c r="J666" s="313"/>
      <c r="K666" s="313"/>
      <c r="L666" s="313"/>
      <c r="M666" s="313"/>
      <c r="N666" s="313"/>
      <c r="O666" s="313"/>
      <c r="P666" s="313"/>
      <c r="Q666" s="313"/>
      <c r="R666" s="313"/>
      <c r="S666" s="313"/>
      <c r="T666" s="313"/>
      <c r="U666" s="313"/>
      <c r="V666" s="313"/>
      <c r="W666" s="313"/>
      <c r="X666" s="313"/>
      <c r="Y666" s="313"/>
      <c r="Z666" s="313"/>
      <c r="AA666" s="313"/>
    </row>
    <row r="667" spans="1:27" ht="14.25" customHeight="1" x14ac:dyDescent="0.2">
      <c r="A667" s="346">
        <v>43570</v>
      </c>
      <c r="B667" s="313">
        <v>289.97000100000002</v>
      </c>
      <c r="C667" s="313">
        <v>196.08999600000001</v>
      </c>
      <c r="D667" s="345">
        <f t="shared" ref="D667:E667" si="676">B667/B666-1</f>
        <v>-6.5482146877826608E-4</v>
      </c>
      <c r="E667" s="345">
        <f t="shared" si="676"/>
        <v>-9.4464080312948173E-3</v>
      </c>
      <c r="F667" s="313"/>
      <c r="G667" s="313"/>
      <c r="H667" s="313"/>
      <c r="I667" s="313"/>
      <c r="J667" s="313"/>
      <c r="K667" s="313"/>
      <c r="L667" s="313"/>
      <c r="M667" s="313"/>
      <c r="N667" s="313"/>
      <c r="O667" s="313"/>
      <c r="P667" s="313"/>
      <c r="Q667" s="313"/>
      <c r="R667" s="313"/>
      <c r="S667" s="313"/>
      <c r="T667" s="313"/>
      <c r="U667" s="313"/>
      <c r="V667" s="313"/>
      <c r="W667" s="313"/>
      <c r="X667" s="313"/>
      <c r="Y667" s="313"/>
      <c r="Z667" s="313"/>
      <c r="AA667" s="313"/>
    </row>
    <row r="668" spans="1:27" ht="14.25" customHeight="1" x14ac:dyDescent="0.2">
      <c r="A668" s="346">
        <v>43571</v>
      </c>
      <c r="B668" s="313">
        <v>290.16000400000001</v>
      </c>
      <c r="C668" s="313">
        <v>192.199997</v>
      </c>
      <c r="D668" s="345">
        <f t="shared" ref="D668:E668" si="677">B668/B667-1</f>
        <v>6.5525054089987655E-4</v>
      </c>
      <c r="E668" s="345">
        <f t="shared" si="677"/>
        <v>-1.9837824873024212E-2</v>
      </c>
      <c r="F668" s="313"/>
      <c r="G668" s="313"/>
      <c r="H668" s="313"/>
      <c r="I668" s="313"/>
      <c r="J668" s="313"/>
      <c r="K668" s="313"/>
      <c r="L668" s="313"/>
      <c r="M668" s="313"/>
      <c r="N668" s="313"/>
      <c r="O668" s="313"/>
      <c r="P668" s="313"/>
      <c r="Q668" s="313"/>
      <c r="R668" s="313"/>
      <c r="S668" s="313"/>
      <c r="T668" s="313"/>
      <c r="U668" s="313"/>
      <c r="V668" s="313"/>
      <c r="W668" s="313"/>
      <c r="X668" s="313"/>
      <c r="Y668" s="313"/>
      <c r="Z668" s="313"/>
      <c r="AA668" s="313"/>
    </row>
    <row r="669" spans="1:27" ht="14.25" customHeight="1" x14ac:dyDescent="0.2">
      <c r="A669" s="346">
        <v>43572</v>
      </c>
      <c r="B669" s="313">
        <v>289.45001200000002</v>
      </c>
      <c r="C669" s="313">
        <v>191.16999799999999</v>
      </c>
      <c r="D669" s="345">
        <f t="shared" ref="D669:E669" si="678">B669/B668-1</f>
        <v>-2.4468982292955577E-3</v>
      </c>
      <c r="E669" s="345">
        <f t="shared" si="678"/>
        <v>-5.3589959213162786E-3</v>
      </c>
      <c r="F669" s="313"/>
      <c r="G669" s="313"/>
      <c r="H669" s="313"/>
      <c r="I669" s="313"/>
      <c r="J669" s="313"/>
      <c r="K669" s="313"/>
      <c r="L669" s="313"/>
      <c r="M669" s="313"/>
      <c r="N669" s="313"/>
      <c r="O669" s="313"/>
      <c r="P669" s="313"/>
      <c r="Q669" s="313"/>
      <c r="R669" s="313"/>
      <c r="S669" s="313"/>
      <c r="T669" s="313"/>
      <c r="U669" s="313"/>
      <c r="V669" s="313"/>
      <c r="W669" s="313"/>
      <c r="X669" s="313"/>
      <c r="Y669" s="313"/>
      <c r="Z669" s="313"/>
      <c r="AA669" s="313"/>
    </row>
    <row r="670" spans="1:27" ht="14.25" customHeight="1" x14ac:dyDescent="0.2">
      <c r="A670" s="346">
        <v>43573</v>
      </c>
      <c r="B670" s="313">
        <v>290.01998900000001</v>
      </c>
      <c r="C670" s="313">
        <v>192.91000399999999</v>
      </c>
      <c r="D670" s="345">
        <f t="shared" ref="D670:E670" si="679">B670/B669-1</f>
        <v>1.9691724870267713E-3</v>
      </c>
      <c r="E670" s="345">
        <f t="shared" si="679"/>
        <v>9.1018780049367809E-3</v>
      </c>
      <c r="F670" s="313"/>
      <c r="G670" s="313"/>
      <c r="H670" s="313"/>
      <c r="I670" s="313"/>
      <c r="J670" s="313"/>
      <c r="K670" s="313"/>
      <c r="L670" s="313"/>
      <c r="M670" s="313"/>
      <c r="N670" s="313"/>
      <c r="O670" s="313"/>
      <c r="P670" s="313"/>
      <c r="Q670" s="313"/>
      <c r="R670" s="313"/>
      <c r="S670" s="313"/>
      <c r="T670" s="313"/>
      <c r="U670" s="313"/>
      <c r="V670" s="313"/>
      <c r="W670" s="313"/>
      <c r="X670" s="313"/>
      <c r="Y670" s="313"/>
      <c r="Z670" s="313"/>
      <c r="AA670" s="313"/>
    </row>
    <row r="671" spans="1:27" ht="14.25" customHeight="1" x14ac:dyDescent="0.2">
      <c r="A671" s="346">
        <v>43577</v>
      </c>
      <c r="B671" s="313">
        <v>290.26998900000001</v>
      </c>
      <c r="C671" s="313">
        <v>192.320007</v>
      </c>
      <c r="D671" s="345">
        <f t="shared" ref="D671:E671" si="680">B671/B670-1</f>
        <v>8.6200954927972973E-4</v>
      </c>
      <c r="E671" s="345">
        <f t="shared" si="680"/>
        <v>-3.0584054106389535E-3</v>
      </c>
      <c r="F671" s="313"/>
      <c r="G671" s="313"/>
      <c r="H671" s="313"/>
      <c r="I671" s="313"/>
      <c r="J671" s="313"/>
      <c r="K671" s="313"/>
      <c r="L671" s="313"/>
      <c r="M671" s="313"/>
      <c r="N671" s="313"/>
      <c r="O671" s="313"/>
      <c r="P671" s="313"/>
      <c r="Q671" s="313"/>
      <c r="R671" s="313"/>
      <c r="S671" s="313"/>
      <c r="T671" s="313"/>
      <c r="U671" s="313"/>
      <c r="V671" s="313"/>
      <c r="W671" s="313"/>
      <c r="X671" s="313"/>
      <c r="Y671" s="313"/>
      <c r="Z671" s="313"/>
      <c r="AA671" s="313"/>
    </row>
    <row r="672" spans="1:27" ht="14.25" customHeight="1" x14ac:dyDescent="0.2">
      <c r="A672" s="346">
        <v>43578</v>
      </c>
      <c r="B672" s="313">
        <v>292.88000499999998</v>
      </c>
      <c r="C672" s="313">
        <v>193.39999399999999</v>
      </c>
      <c r="D672" s="345">
        <f t="shared" ref="D672:E672" si="681">B672/B671-1</f>
        <v>8.9916839456660735E-3</v>
      </c>
      <c r="E672" s="345">
        <f t="shared" si="681"/>
        <v>5.6155727989339876E-3</v>
      </c>
      <c r="F672" s="313"/>
      <c r="G672" s="313"/>
      <c r="H672" s="313"/>
      <c r="I672" s="313"/>
      <c r="J672" s="313"/>
      <c r="K672" s="313"/>
      <c r="L672" s="313"/>
      <c r="M672" s="313"/>
      <c r="N672" s="313"/>
      <c r="O672" s="313"/>
      <c r="P672" s="313"/>
      <c r="Q672" s="313"/>
      <c r="R672" s="313"/>
      <c r="S672" s="313"/>
      <c r="T672" s="313"/>
      <c r="U672" s="313"/>
      <c r="V672" s="313"/>
      <c r="W672" s="313"/>
      <c r="X672" s="313"/>
      <c r="Y672" s="313"/>
      <c r="Z672" s="313"/>
      <c r="AA672" s="313"/>
    </row>
    <row r="673" spans="1:27" ht="14.25" customHeight="1" x14ac:dyDescent="0.2">
      <c r="A673" s="346">
        <v>43579</v>
      </c>
      <c r="B673" s="313">
        <v>292.23001099999999</v>
      </c>
      <c r="C673" s="313">
        <v>193.229996</v>
      </c>
      <c r="D673" s="345">
        <f t="shared" ref="D673:E673" si="682">B673/B672-1</f>
        <v>-2.2193184543273237E-3</v>
      </c>
      <c r="E673" s="345">
        <f t="shared" si="682"/>
        <v>-8.7899692489123993E-4</v>
      </c>
      <c r="F673" s="313"/>
      <c r="G673" s="313"/>
      <c r="H673" s="313"/>
      <c r="I673" s="313"/>
      <c r="J673" s="313"/>
      <c r="K673" s="313"/>
      <c r="L673" s="313"/>
      <c r="M673" s="313"/>
      <c r="N673" s="313"/>
      <c r="O673" s="313"/>
      <c r="P673" s="313"/>
      <c r="Q673" s="313"/>
      <c r="R673" s="313"/>
      <c r="S673" s="313"/>
      <c r="T673" s="313"/>
      <c r="U673" s="313"/>
      <c r="V673" s="313"/>
      <c r="W673" s="313"/>
      <c r="X673" s="313"/>
      <c r="Y673" s="313"/>
      <c r="Z673" s="313"/>
      <c r="AA673" s="313"/>
    </row>
    <row r="674" spans="1:27" ht="14.25" customHeight="1" x14ac:dyDescent="0.2">
      <c r="A674" s="346">
        <v>43580</v>
      </c>
      <c r="B674" s="313">
        <v>292.04998799999998</v>
      </c>
      <c r="C674" s="313">
        <v>192.28999300000001</v>
      </c>
      <c r="D674" s="345">
        <f t="shared" ref="D674:E674" si="683">B674/B673-1</f>
        <v>-6.1603186949887867E-4</v>
      </c>
      <c r="E674" s="345">
        <f t="shared" si="683"/>
        <v>-4.8646846734913263E-3</v>
      </c>
      <c r="F674" s="313"/>
      <c r="G674" s="313"/>
      <c r="H674" s="313"/>
      <c r="I674" s="313"/>
      <c r="J674" s="313"/>
      <c r="K674" s="313"/>
      <c r="L674" s="313"/>
      <c r="M674" s="313"/>
      <c r="N674" s="313"/>
      <c r="O674" s="313"/>
      <c r="P674" s="313"/>
      <c r="Q674" s="313"/>
      <c r="R674" s="313"/>
      <c r="S674" s="313"/>
      <c r="T674" s="313"/>
      <c r="U674" s="313"/>
      <c r="V674" s="313"/>
      <c r="W674" s="313"/>
      <c r="X674" s="313"/>
      <c r="Y674" s="313"/>
      <c r="Z674" s="313"/>
      <c r="AA674" s="313"/>
    </row>
    <row r="675" spans="1:27" ht="14.25" customHeight="1" x14ac:dyDescent="0.2">
      <c r="A675" s="346">
        <v>43581</v>
      </c>
      <c r="B675" s="313">
        <v>293.41000400000001</v>
      </c>
      <c r="C675" s="313">
        <v>193.21000699999999</v>
      </c>
      <c r="D675" s="345">
        <f t="shared" ref="D675:E675" si="684">B675/B674-1</f>
        <v>4.6567918366084982E-3</v>
      </c>
      <c r="E675" s="345">
        <f t="shared" si="684"/>
        <v>4.7845131493660098E-3</v>
      </c>
      <c r="F675" s="313"/>
      <c r="G675" s="313"/>
      <c r="H675" s="313"/>
      <c r="I675" s="313"/>
      <c r="J675" s="313"/>
      <c r="K675" s="313"/>
      <c r="L675" s="313"/>
      <c r="M675" s="313"/>
      <c r="N675" s="313"/>
      <c r="O675" s="313"/>
      <c r="P675" s="313"/>
      <c r="Q675" s="313"/>
      <c r="R675" s="313"/>
      <c r="S675" s="313"/>
      <c r="T675" s="313"/>
      <c r="U675" s="313"/>
      <c r="V675" s="313"/>
      <c r="W675" s="313"/>
      <c r="X675" s="313"/>
      <c r="Y675" s="313"/>
      <c r="Z675" s="313"/>
      <c r="AA675" s="313"/>
    </row>
    <row r="676" spans="1:27" ht="14.25" customHeight="1" x14ac:dyDescent="0.2">
      <c r="A676" s="346">
        <v>43584</v>
      </c>
      <c r="B676" s="313">
        <v>293.86999500000002</v>
      </c>
      <c r="C676" s="313">
        <v>192.44000199999999</v>
      </c>
      <c r="D676" s="345">
        <f t="shared" ref="D676:E676" si="685">B676/B675-1</f>
        <v>1.5677413644015203E-3</v>
      </c>
      <c r="E676" s="345">
        <f t="shared" si="685"/>
        <v>-3.9853267020480976E-3</v>
      </c>
      <c r="F676" s="313"/>
      <c r="G676" s="313"/>
      <c r="H676" s="313"/>
      <c r="I676" s="313"/>
      <c r="J676" s="313"/>
      <c r="K676" s="313"/>
      <c r="L676" s="313"/>
      <c r="M676" s="313"/>
      <c r="N676" s="313"/>
      <c r="O676" s="313"/>
      <c r="P676" s="313"/>
      <c r="Q676" s="313"/>
      <c r="R676" s="313"/>
      <c r="S676" s="313"/>
      <c r="T676" s="313"/>
      <c r="U676" s="313"/>
      <c r="V676" s="313"/>
      <c r="W676" s="313"/>
      <c r="X676" s="313"/>
      <c r="Y676" s="313"/>
      <c r="Z676" s="313"/>
      <c r="AA676" s="313"/>
    </row>
    <row r="677" spans="1:27" ht="14.25" customHeight="1" x14ac:dyDescent="0.2">
      <c r="A677" s="346">
        <v>43585</v>
      </c>
      <c r="B677" s="313">
        <v>294.01998900000001</v>
      </c>
      <c r="C677" s="313">
        <v>195.300003</v>
      </c>
      <c r="D677" s="345">
        <f t="shared" ref="D677:E677" si="686">B677/B676-1</f>
        <v>5.1040937336921388E-4</v>
      </c>
      <c r="E677" s="345">
        <f t="shared" si="686"/>
        <v>1.486178014070072E-2</v>
      </c>
      <c r="F677" s="313"/>
      <c r="G677" s="313"/>
      <c r="H677" s="313"/>
      <c r="I677" s="313"/>
      <c r="J677" s="313"/>
      <c r="K677" s="313"/>
      <c r="L677" s="313"/>
      <c r="M677" s="313"/>
      <c r="N677" s="313"/>
      <c r="O677" s="313"/>
      <c r="P677" s="313"/>
      <c r="Q677" s="313"/>
      <c r="R677" s="313"/>
      <c r="S677" s="313"/>
      <c r="T677" s="313"/>
      <c r="U677" s="313"/>
      <c r="V677" s="313"/>
      <c r="W677" s="313"/>
      <c r="X677" s="313"/>
      <c r="Y677" s="313"/>
      <c r="Z677" s="313"/>
      <c r="AA677" s="313"/>
    </row>
    <row r="678" spans="1:27" ht="14.25" customHeight="1" x14ac:dyDescent="0.2">
      <c r="A678" s="346">
        <v>43586</v>
      </c>
      <c r="B678" s="313">
        <v>291.80999800000001</v>
      </c>
      <c r="C678" s="313">
        <v>192.91000399999999</v>
      </c>
      <c r="D678" s="345">
        <f t="shared" ref="D678:E678" si="687">B678/B677-1</f>
        <v>-7.5164651475447819E-3</v>
      </c>
      <c r="E678" s="345">
        <f t="shared" si="687"/>
        <v>-1.2237577897016294E-2</v>
      </c>
      <c r="F678" s="313"/>
      <c r="G678" s="313"/>
      <c r="H678" s="313"/>
      <c r="I678" s="313"/>
      <c r="J678" s="313"/>
      <c r="K678" s="313"/>
      <c r="L678" s="313"/>
      <c r="M678" s="313"/>
      <c r="N678" s="313"/>
      <c r="O678" s="313"/>
      <c r="P678" s="313"/>
      <c r="Q678" s="313"/>
      <c r="R678" s="313"/>
      <c r="S678" s="313"/>
      <c r="T678" s="313"/>
      <c r="U678" s="313"/>
      <c r="V678" s="313"/>
      <c r="W678" s="313"/>
      <c r="X678" s="313"/>
      <c r="Y678" s="313"/>
      <c r="Z678" s="313"/>
      <c r="AA678" s="313"/>
    </row>
    <row r="679" spans="1:27" ht="14.25" customHeight="1" x14ac:dyDescent="0.2">
      <c r="A679" s="346">
        <v>43587</v>
      </c>
      <c r="B679" s="313">
        <v>291.17999300000002</v>
      </c>
      <c r="C679" s="313">
        <v>192.800003</v>
      </c>
      <c r="D679" s="345">
        <f t="shared" ref="D679:E679" si="688">B679/B678-1</f>
        <v>-2.1589561849075789E-3</v>
      </c>
      <c r="E679" s="345">
        <f t="shared" si="688"/>
        <v>-5.7021926141265222E-4</v>
      </c>
      <c r="F679" s="313"/>
      <c r="G679" s="313"/>
      <c r="H679" s="313"/>
      <c r="I679" s="313"/>
      <c r="J679" s="313"/>
      <c r="K679" s="313"/>
      <c r="L679" s="313"/>
      <c r="M679" s="313"/>
      <c r="N679" s="313"/>
      <c r="O679" s="313"/>
      <c r="P679" s="313"/>
      <c r="Q679" s="313"/>
      <c r="R679" s="313"/>
      <c r="S679" s="313"/>
      <c r="T679" s="313"/>
      <c r="U679" s="313"/>
      <c r="V679" s="313"/>
      <c r="W679" s="313"/>
      <c r="X679" s="313"/>
      <c r="Y679" s="313"/>
      <c r="Z679" s="313"/>
      <c r="AA679" s="313"/>
    </row>
    <row r="680" spans="1:27" ht="14.25" customHeight="1" x14ac:dyDescent="0.2">
      <c r="A680" s="346">
        <v>43588</v>
      </c>
      <c r="B680" s="313">
        <v>294.02999899999998</v>
      </c>
      <c r="C680" s="313">
        <v>192.949997</v>
      </c>
      <c r="D680" s="345">
        <f t="shared" ref="D680:E680" si="689">B680/B679-1</f>
        <v>9.7877809894719725E-3</v>
      </c>
      <c r="E680" s="345">
        <f t="shared" si="689"/>
        <v>7.7797716631766711E-4</v>
      </c>
      <c r="F680" s="313"/>
      <c r="G680" s="313"/>
      <c r="H680" s="313"/>
      <c r="I680" s="313"/>
      <c r="J680" s="313"/>
      <c r="K680" s="313"/>
      <c r="L680" s="313"/>
      <c r="M680" s="313"/>
      <c r="N680" s="313"/>
      <c r="O680" s="313"/>
      <c r="P680" s="313"/>
      <c r="Q680" s="313"/>
      <c r="R680" s="313"/>
      <c r="S680" s="313"/>
      <c r="T680" s="313"/>
      <c r="U680" s="313"/>
      <c r="V680" s="313"/>
      <c r="W680" s="313"/>
      <c r="X680" s="313"/>
      <c r="Y680" s="313"/>
      <c r="Z680" s="313"/>
      <c r="AA680" s="313"/>
    </row>
    <row r="681" spans="1:27" ht="14.25" customHeight="1" x14ac:dyDescent="0.2">
      <c r="A681" s="346">
        <v>43591</v>
      </c>
      <c r="B681" s="313">
        <v>292.82000699999998</v>
      </c>
      <c r="C681" s="313">
        <v>192.179993</v>
      </c>
      <c r="D681" s="345">
        <f t="shared" ref="D681:E681" si="690">B681/B680-1</f>
        <v>-4.1151991433363566E-3</v>
      </c>
      <c r="E681" s="345">
        <f t="shared" si="690"/>
        <v>-3.9906919511379924E-3</v>
      </c>
      <c r="F681" s="313"/>
      <c r="G681" s="313"/>
      <c r="H681" s="313"/>
      <c r="I681" s="313"/>
      <c r="J681" s="313"/>
      <c r="K681" s="313"/>
      <c r="L681" s="313"/>
      <c r="M681" s="313"/>
      <c r="N681" s="313"/>
      <c r="O681" s="313"/>
      <c r="P681" s="313"/>
      <c r="Q681" s="313"/>
      <c r="R681" s="313"/>
      <c r="S681" s="313"/>
      <c r="T681" s="313"/>
      <c r="U681" s="313"/>
      <c r="V681" s="313"/>
      <c r="W681" s="313"/>
      <c r="X681" s="313"/>
      <c r="Y681" s="313"/>
      <c r="Z681" s="313"/>
      <c r="AA681" s="313"/>
    </row>
    <row r="682" spans="1:27" ht="14.25" customHeight="1" x14ac:dyDescent="0.2">
      <c r="A682" s="346">
        <v>43592</v>
      </c>
      <c r="B682" s="313">
        <v>287.92999300000002</v>
      </c>
      <c r="C682" s="313">
        <v>189.85000600000001</v>
      </c>
      <c r="D682" s="345">
        <f t="shared" ref="D682:E682" si="691">B682/B681-1</f>
        <v>-1.6699726395402847E-2</v>
      </c>
      <c r="E682" s="345">
        <f t="shared" si="691"/>
        <v>-1.2123983166135277E-2</v>
      </c>
      <c r="F682" s="313"/>
      <c r="G682" s="313"/>
      <c r="H682" s="313"/>
      <c r="I682" s="313"/>
      <c r="J682" s="313"/>
      <c r="K682" s="313"/>
      <c r="L682" s="313"/>
      <c r="M682" s="313"/>
      <c r="N682" s="313"/>
      <c r="O682" s="313"/>
      <c r="P682" s="313"/>
      <c r="Q682" s="313"/>
      <c r="R682" s="313"/>
      <c r="S682" s="313"/>
      <c r="T682" s="313"/>
      <c r="U682" s="313"/>
      <c r="V682" s="313"/>
      <c r="W682" s="313"/>
      <c r="X682" s="313"/>
      <c r="Y682" s="313"/>
      <c r="Z682" s="313"/>
      <c r="AA682" s="313"/>
    </row>
    <row r="683" spans="1:27" ht="14.25" customHeight="1" x14ac:dyDescent="0.2">
      <c r="A683" s="346">
        <v>43593</v>
      </c>
      <c r="B683" s="313">
        <v>287.52999899999998</v>
      </c>
      <c r="C683" s="313">
        <v>191.63999899999999</v>
      </c>
      <c r="D683" s="345">
        <f t="shared" ref="D683:E683" si="692">B683/B682-1</f>
        <v>-1.3892057434948812E-3</v>
      </c>
      <c r="E683" s="345">
        <f t="shared" si="692"/>
        <v>9.4284590120055078E-3</v>
      </c>
      <c r="F683" s="313"/>
      <c r="G683" s="313"/>
      <c r="H683" s="313"/>
      <c r="I683" s="313"/>
      <c r="J683" s="313"/>
      <c r="K683" s="313"/>
      <c r="L683" s="313"/>
      <c r="M683" s="313"/>
      <c r="N683" s="313"/>
      <c r="O683" s="313"/>
      <c r="P683" s="313"/>
      <c r="Q683" s="313"/>
      <c r="R683" s="313"/>
      <c r="S683" s="313"/>
      <c r="T683" s="313"/>
      <c r="U683" s="313"/>
      <c r="V683" s="313"/>
      <c r="W683" s="313"/>
      <c r="X683" s="313"/>
      <c r="Y683" s="313"/>
      <c r="Z683" s="313"/>
      <c r="AA683" s="313"/>
    </row>
    <row r="684" spans="1:27" ht="14.25" customHeight="1" x14ac:dyDescent="0.2">
      <c r="A684" s="346">
        <v>43594</v>
      </c>
      <c r="B684" s="313">
        <v>286.66000400000001</v>
      </c>
      <c r="C684" s="313">
        <v>192.520004</v>
      </c>
      <c r="D684" s="345">
        <f t="shared" ref="D684:E684" si="693">B684/B683-1</f>
        <v>-3.0257538449056653E-3</v>
      </c>
      <c r="E684" s="345">
        <f t="shared" si="693"/>
        <v>4.5919693414318008E-3</v>
      </c>
      <c r="F684" s="313"/>
      <c r="G684" s="313"/>
      <c r="H684" s="313"/>
      <c r="I684" s="313"/>
      <c r="J684" s="313"/>
      <c r="K684" s="313"/>
      <c r="L684" s="313"/>
      <c r="M684" s="313"/>
      <c r="N684" s="313"/>
      <c r="O684" s="313"/>
      <c r="P684" s="313"/>
      <c r="Q684" s="313"/>
      <c r="R684" s="313"/>
      <c r="S684" s="313"/>
      <c r="T684" s="313"/>
      <c r="U684" s="313"/>
      <c r="V684" s="313"/>
      <c r="W684" s="313"/>
      <c r="X684" s="313"/>
      <c r="Y684" s="313"/>
      <c r="Z684" s="313"/>
      <c r="AA684" s="313"/>
    </row>
    <row r="685" spans="1:27" ht="14.25" customHeight="1" x14ac:dyDescent="0.2">
      <c r="A685" s="346">
        <v>43595</v>
      </c>
      <c r="B685" s="313">
        <v>288.10000600000001</v>
      </c>
      <c r="C685" s="313">
        <v>195.66000399999999</v>
      </c>
      <c r="D685" s="345">
        <f t="shared" ref="D685:E685" si="694">B685/B684-1</f>
        <v>5.0233795433840545E-3</v>
      </c>
      <c r="E685" s="345">
        <f t="shared" si="694"/>
        <v>1.6309993428007541E-2</v>
      </c>
      <c r="F685" s="313"/>
      <c r="G685" s="313"/>
      <c r="H685" s="313"/>
      <c r="I685" s="313"/>
      <c r="J685" s="313"/>
      <c r="K685" s="313"/>
      <c r="L685" s="313"/>
      <c r="M685" s="313"/>
      <c r="N685" s="313"/>
      <c r="O685" s="313"/>
      <c r="P685" s="313"/>
      <c r="Q685" s="313"/>
      <c r="R685" s="313"/>
      <c r="S685" s="313"/>
      <c r="T685" s="313"/>
      <c r="U685" s="313"/>
      <c r="V685" s="313"/>
      <c r="W685" s="313"/>
      <c r="X685" s="313"/>
      <c r="Y685" s="313"/>
      <c r="Z685" s="313"/>
      <c r="AA685" s="313"/>
    </row>
    <row r="686" spans="1:27" ht="14.25" customHeight="1" x14ac:dyDescent="0.2">
      <c r="A686" s="346">
        <v>43598</v>
      </c>
      <c r="B686" s="313">
        <v>280.85998499999999</v>
      </c>
      <c r="C686" s="313">
        <v>196.88000500000001</v>
      </c>
      <c r="D686" s="345">
        <f t="shared" ref="D686:E686" si="695">B686/B685-1</f>
        <v>-2.5130235505791743E-2</v>
      </c>
      <c r="E686" s="345">
        <f t="shared" si="695"/>
        <v>6.2353111267443584E-3</v>
      </c>
      <c r="F686" s="313"/>
      <c r="G686" s="313"/>
      <c r="H686" s="313"/>
      <c r="I686" s="313"/>
      <c r="J686" s="313"/>
      <c r="K686" s="313"/>
      <c r="L686" s="313"/>
      <c r="M686" s="313"/>
      <c r="N686" s="313"/>
      <c r="O686" s="313"/>
      <c r="P686" s="313"/>
      <c r="Q686" s="313"/>
      <c r="R686" s="313"/>
      <c r="S686" s="313"/>
      <c r="T686" s="313"/>
      <c r="U686" s="313"/>
      <c r="V686" s="313"/>
      <c r="W686" s="313"/>
      <c r="X686" s="313"/>
      <c r="Y686" s="313"/>
      <c r="Z686" s="313"/>
      <c r="AA686" s="313"/>
    </row>
    <row r="687" spans="1:27" ht="14.25" customHeight="1" x14ac:dyDescent="0.2">
      <c r="A687" s="346">
        <v>43599</v>
      </c>
      <c r="B687" s="313">
        <v>283.39999399999999</v>
      </c>
      <c r="C687" s="313">
        <v>198.070007</v>
      </c>
      <c r="D687" s="345">
        <f t="shared" ref="D687:E687" si="696">B687/B686-1</f>
        <v>9.0436841688217307E-3</v>
      </c>
      <c r="E687" s="345">
        <f t="shared" si="696"/>
        <v>6.044300943612857E-3</v>
      </c>
      <c r="F687" s="313"/>
      <c r="G687" s="313"/>
      <c r="H687" s="313"/>
      <c r="I687" s="313"/>
      <c r="J687" s="313"/>
      <c r="K687" s="313"/>
      <c r="L687" s="313"/>
      <c r="M687" s="313"/>
      <c r="N687" s="313"/>
      <c r="O687" s="313"/>
      <c r="P687" s="313"/>
      <c r="Q687" s="313"/>
      <c r="R687" s="313"/>
      <c r="S687" s="313"/>
      <c r="T687" s="313"/>
      <c r="U687" s="313"/>
      <c r="V687" s="313"/>
      <c r="W687" s="313"/>
      <c r="X687" s="313"/>
      <c r="Y687" s="313"/>
      <c r="Z687" s="313"/>
      <c r="AA687" s="313"/>
    </row>
    <row r="688" spans="1:27" ht="14.25" customHeight="1" x14ac:dyDescent="0.2">
      <c r="A688" s="346">
        <v>43600</v>
      </c>
      <c r="B688" s="313">
        <v>285.05999800000001</v>
      </c>
      <c r="C688" s="313">
        <v>200.470001</v>
      </c>
      <c r="D688" s="345">
        <f t="shared" ref="D688:E688" si="697">B688/B687-1</f>
        <v>5.8574595453237954E-3</v>
      </c>
      <c r="E688" s="345">
        <f t="shared" si="697"/>
        <v>1.2116897638116297E-2</v>
      </c>
      <c r="F688" s="313"/>
      <c r="G688" s="313"/>
      <c r="H688" s="313"/>
      <c r="I688" s="313"/>
      <c r="J688" s="313"/>
      <c r="K688" s="313"/>
      <c r="L688" s="313"/>
      <c r="M688" s="313"/>
      <c r="N688" s="313"/>
      <c r="O688" s="313"/>
      <c r="P688" s="313"/>
      <c r="Q688" s="313"/>
      <c r="R688" s="313"/>
      <c r="S688" s="313"/>
      <c r="T688" s="313"/>
      <c r="U688" s="313"/>
      <c r="V688" s="313"/>
      <c r="W688" s="313"/>
      <c r="X688" s="313"/>
      <c r="Y688" s="313"/>
      <c r="Z688" s="313"/>
      <c r="AA688" s="313"/>
    </row>
    <row r="689" spans="1:27" ht="14.25" customHeight="1" x14ac:dyDescent="0.2">
      <c r="A689" s="346">
        <v>43601</v>
      </c>
      <c r="B689" s="313">
        <v>287.70001200000002</v>
      </c>
      <c r="C689" s="313">
        <v>202.020004</v>
      </c>
      <c r="D689" s="345">
        <f t="shared" ref="D689:E689" si="698">B689/B688-1</f>
        <v>9.2612573441468449E-3</v>
      </c>
      <c r="E689" s="345">
        <f t="shared" si="698"/>
        <v>7.7318451252963438E-3</v>
      </c>
      <c r="F689" s="313"/>
      <c r="G689" s="313"/>
      <c r="H689" s="313"/>
      <c r="I689" s="313"/>
      <c r="J689" s="313"/>
      <c r="K689" s="313"/>
      <c r="L689" s="313"/>
      <c r="M689" s="313"/>
      <c r="N689" s="313"/>
      <c r="O689" s="313"/>
      <c r="P689" s="313"/>
      <c r="Q689" s="313"/>
      <c r="R689" s="313"/>
      <c r="S689" s="313"/>
      <c r="T689" s="313"/>
      <c r="U689" s="313"/>
      <c r="V689" s="313"/>
      <c r="W689" s="313"/>
      <c r="X689" s="313"/>
      <c r="Y689" s="313"/>
      <c r="Z689" s="313"/>
      <c r="AA689" s="313"/>
    </row>
    <row r="690" spans="1:27" ht="14.25" customHeight="1" x14ac:dyDescent="0.2">
      <c r="A690" s="346">
        <v>43602</v>
      </c>
      <c r="B690" s="313">
        <v>285.83999599999999</v>
      </c>
      <c r="C690" s="313">
        <v>202.429993</v>
      </c>
      <c r="D690" s="345">
        <f t="shared" ref="D690:E690" si="699">B690/B689-1</f>
        <v>-6.4651231227617068E-3</v>
      </c>
      <c r="E690" s="345">
        <f t="shared" si="699"/>
        <v>2.0294475392643729E-3</v>
      </c>
      <c r="F690" s="313"/>
      <c r="G690" s="313"/>
      <c r="H690" s="313"/>
      <c r="I690" s="313"/>
      <c r="J690" s="313"/>
      <c r="K690" s="313"/>
      <c r="L690" s="313"/>
      <c r="M690" s="313"/>
      <c r="N690" s="313"/>
      <c r="O690" s="313"/>
      <c r="P690" s="313"/>
      <c r="Q690" s="313"/>
      <c r="R690" s="313"/>
      <c r="S690" s="313"/>
      <c r="T690" s="313"/>
      <c r="U690" s="313"/>
      <c r="V690" s="313"/>
      <c r="W690" s="313"/>
      <c r="X690" s="313"/>
      <c r="Y690" s="313"/>
      <c r="Z690" s="313"/>
      <c r="AA690" s="313"/>
    </row>
    <row r="691" spans="1:27" ht="14.25" customHeight="1" x14ac:dyDescent="0.2">
      <c r="A691" s="346">
        <v>43605</v>
      </c>
      <c r="B691" s="313">
        <v>283.95001200000002</v>
      </c>
      <c r="C691" s="313">
        <v>198.25</v>
      </c>
      <c r="D691" s="345">
        <f t="shared" ref="D691:E691" si="700">B691/B690-1</f>
        <v>-6.6120347972575821E-3</v>
      </c>
      <c r="E691" s="345">
        <f t="shared" si="700"/>
        <v>-2.0649079407911608E-2</v>
      </c>
      <c r="F691" s="313"/>
      <c r="G691" s="313"/>
      <c r="H691" s="313"/>
      <c r="I691" s="313"/>
      <c r="J691" s="313"/>
      <c r="K691" s="313"/>
      <c r="L691" s="313"/>
      <c r="M691" s="313"/>
      <c r="N691" s="313"/>
      <c r="O691" s="313"/>
      <c r="P691" s="313"/>
      <c r="Q691" s="313"/>
      <c r="R691" s="313"/>
      <c r="S691" s="313"/>
      <c r="T691" s="313"/>
      <c r="U691" s="313"/>
      <c r="V691" s="313"/>
      <c r="W691" s="313"/>
      <c r="X691" s="313"/>
      <c r="Y691" s="313"/>
      <c r="Z691" s="313"/>
      <c r="AA691" s="313"/>
    </row>
    <row r="692" spans="1:27" ht="14.25" customHeight="1" x14ac:dyDescent="0.2">
      <c r="A692" s="346">
        <v>43606</v>
      </c>
      <c r="B692" s="313">
        <v>286.51001000000002</v>
      </c>
      <c r="C692" s="313">
        <v>198.16999799999999</v>
      </c>
      <c r="D692" s="345">
        <f t="shared" ref="D692:E692" si="701">B692/B691-1</f>
        <v>9.0156643486953847E-3</v>
      </c>
      <c r="E692" s="345">
        <f t="shared" si="701"/>
        <v>-4.0354098360662061E-4</v>
      </c>
      <c r="F692" s="313"/>
      <c r="G692" s="313"/>
      <c r="H692" s="313"/>
      <c r="I692" s="313"/>
      <c r="J692" s="313"/>
      <c r="K692" s="313"/>
      <c r="L692" s="313"/>
      <c r="M692" s="313"/>
      <c r="N692" s="313"/>
      <c r="O692" s="313"/>
      <c r="P692" s="313"/>
      <c r="Q692" s="313"/>
      <c r="R692" s="313"/>
      <c r="S692" s="313"/>
      <c r="T692" s="313"/>
      <c r="U692" s="313"/>
      <c r="V692" s="313"/>
      <c r="W692" s="313"/>
      <c r="X692" s="313"/>
      <c r="Y692" s="313"/>
      <c r="Z692" s="313"/>
      <c r="AA692" s="313"/>
    </row>
    <row r="693" spans="1:27" ht="14.25" customHeight="1" x14ac:dyDescent="0.2">
      <c r="A693" s="346">
        <v>43607</v>
      </c>
      <c r="B693" s="313">
        <v>285.63000499999998</v>
      </c>
      <c r="C693" s="313">
        <v>200.66999799999999</v>
      </c>
      <c r="D693" s="345">
        <f t="shared" ref="D693:E693" si="702">B693/B692-1</f>
        <v>-3.0714633670217983E-3</v>
      </c>
      <c r="E693" s="345">
        <f t="shared" si="702"/>
        <v>1.2615431322757553E-2</v>
      </c>
      <c r="F693" s="313"/>
      <c r="G693" s="313"/>
      <c r="H693" s="313"/>
      <c r="I693" s="313"/>
      <c r="J693" s="313"/>
      <c r="K693" s="313"/>
      <c r="L693" s="313"/>
      <c r="M693" s="313"/>
      <c r="N693" s="313"/>
      <c r="O693" s="313"/>
      <c r="P693" s="313"/>
      <c r="Q693" s="313"/>
      <c r="R693" s="313"/>
      <c r="S693" s="313"/>
      <c r="T693" s="313"/>
      <c r="U693" s="313"/>
      <c r="V693" s="313"/>
      <c r="W693" s="313"/>
      <c r="X693" s="313"/>
      <c r="Y693" s="313"/>
      <c r="Z693" s="313"/>
      <c r="AA693" s="313"/>
    </row>
    <row r="694" spans="1:27" ht="14.25" customHeight="1" x14ac:dyDescent="0.2">
      <c r="A694" s="346">
        <v>43608</v>
      </c>
      <c r="B694" s="313">
        <v>282.14001500000001</v>
      </c>
      <c r="C694" s="313">
        <v>202.91999799999999</v>
      </c>
      <c r="D694" s="345">
        <f t="shared" ref="D694:E694" si="703">B694/B693-1</f>
        <v>-1.2218569264107915E-2</v>
      </c>
      <c r="E694" s="345">
        <f t="shared" si="703"/>
        <v>1.121243844333919E-2</v>
      </c>
      <c r="F694" s="313"/>
      <c r="G694" s="313"/>
      <c r="H694" s="313"/>
      <c r="I694" s="313"/>
      <c r="J694" s="313"/>
      <c r="K694" s="313"/>
      <c r="L694" s="313"/>
      <c r="M694" s="313"/>
      <c r="N694" s="313"/>
      <c r="O694" s="313"/>
      <c r="P694" s="313"/>
      <c r="Q694" s="313"/>
      <c r="R694" s="313"/>
      <c r="S694" s="313"/>
      <c r="T694" s="313"/>
      <c r="U694" s="313"/>
      <c r="V694" s="313"/>
      <c r="W694" s="313"/>
      <c r="X694" s="313"/>
      <c r="Y694" s="313"/>
      <c r="Z694" s="313"/>
      <c r="AA694" s="313"/>
    </row>
    <row r="695" spans="1:27" ht="14.25" customHeight="1" x14ac:dyDescent="0.2">
      <c r="A695" s="346">
        <v>43609</v>
      </c>
      <c r="B695" s="313">
        <v>282.77999899999998</v>
      </c>
      <c r="C695" s="313">
        <v>203</v>
      </c>
      <c r="D695" s="345">
        <f t="shared" ref="D695:E695" si="704">B695/B694-1</f>
        <v>2.2683205712594745E-3</v>
      </c>
      <c r="E695" s="345">
        <f t="shared" si="704"/>
        <v>3.9425389704561553E-4</v>
      </c>
      <c r="F695" s="313"/>
      <c r="G695" s="313"/>
      <c r="H695" s="313"/>
      <c r="I695" s="313"/>
      <c r="J695" s="313"/>
      <c r="K695" s="313"/>
      <c r="L695" s="313"/>
      <c r="M695" s="313"/>
      <c r="N695" s="313"/>
      <c r="O695" s="313"/>
      <c r="P695" s="313"/>
      <c r="Q695" s="313"/>
      <c r="R695" s="313"/>
      <c r="S695" s="313"/>
      <c r="T695" s="313"/>
      <c r="U695" s="313"/>
      <c r="V695" s="313"/>
      <c r="W695" s="313"/>
      <c r="X695" s="313"/>
      <c r="Y695" s="313"/>
      <c r="Z695" s="313"/>
      <c r="AA695" s="313"/>
    </row>
    <row r="696" spans="1:27" ht="14.25" customHeight="1" x14ac:dyDescent="0.2">
      <c r="A696" s="346">
        <v>43613</v>
      </c>
      <c r="B696" s="313">
        <v>280.14999399999999</v>
      </c>
      <c r="C696" s="313">
        <v>202.550003</v>
      </c>
      <c r="D696" s="345">
        <f t="shared" ref="D696:E696" si="705">B696/B695-1</f>
        <v>-9.3005340169054485E-3</v>
      </c>
      <c r="E696" s="345">
        <f t="shared" si="705"/>
        <v>-2.2167339901477678E-3</v>
      </c>
      <c r="F696" s="313"/>
      <c r="G696" s="313"/>
      <c r="H696" s="313"/>
      <c r="I696" s="313"/>
      <c r="J696" s="313"/>
      <c r="K696" s="313"/>
      <c r="L696" s="313"/>
      <c r="M696" s="313"/>
      <c r="N696" s="313"/>
      <c r="O696" s="313"/>
      <c r="P696" s="313"/>
      <c r="Q696" s="313"/>
      <c r="R696" s="313"/>
      <c r="S696" s="313"/>
      <c r="T696" s="313"/>
      <c r="U696" s="313"/>
      <c r="V696" s="313"/>
      <c r="W696" s="313"/>
      <c r="X696" s="313"/>
      <c r="Y696" s="313"/>
      <c r="Z696" s="313"/>
      <c r="AA696" s="313"/>
    </row>
    <row r="697" spans="1:27" ht="14.25" customHeight="1" x14ac:dyDescent="0.2">
      <c r="A697" s="346">
        <v>43614</v>
      </c>
      <c r="B697" s="313">
        <v>278.26998900000001</v>
      </c>
      <c r="C697" s="313">
        <v>201.13000500000001</v>
      </c>
      <c r="D697" s="345">
        <f t="shared" ref="D697:E697" si="706">B697/B696-1</f>
        <v>-6.7107086927155057E-3</v>
      </c>
      <c r="E697" s="345">
        <f t="shared" si="706"/>
        <v>-7.0106046851058368E-3</v>
      </c>
      <c r="F697" s="313"/>
      <c r="G697" s="313"/>
      <c r="H697" s="313"/>
      <c r="I697" s="313"/>
      <c r="J697" s="313"/>
      <c r="K697" s="313"/>
      <c r="L697" s="313"/>
      <c r="M697" s="313"/>
      <c r="N697" s="313"/>
      <c r="O697" s="313"/>
      <c r="P697" s="313"/>
      <c r="Q697" s="313"/>
      <c r="R697" s="313"/>
      <c r="S697" s="313"/>
      <c r="T697" s="313"/>
      <c r="U697" s="313"/>
      <c r="V697" s="313"/>
      <c r="W697" s="313"/>
      <c r="X697" s="313"/>
      <c r="Y697" s="313"/>
      <c r="Z697" s="313"/>
      <c r="AA697" s="313"/>
    </row>
    <row r="698" spans="1:27" ht="14.25" customHeight="1" x14ac:dyDescent="0.2">
      <c r="A698" s="346">
        <v>43615</v>
      </c>
      <c r="B698" s="313">
        <v>279.02999899999998</v>
      </c>
      <c r="C698" s="313">
        <v>204.69000199999999</v>
      </c>
      <c r="D698" s="345">
        <f t="shared" ref="D698:E698" si="707">B698/B697-1</f>
        <v>2.7311964280847256E-3</v>
      </c>
      <c r="E698" s="345">
        <f t="shared" si="707"/>
        <v>1.7699979672351596E-2</v>
      </c>
      <c r="F698" s="313"/>
      <c r="G698" s="313"/>
      <c r="H698" s="313"/>
      <c r="I698" s="313"/>
      <c r="J698" s="313"/>
      <c r="K698" s="313"/>
      <c r="L698" s="313"/>
      <c r="M698" s="313"/>
      <c r="N698" s="313"/>
      <c r="O698" s="313"/>
      <c r="P698" s="313"/>
      <c r="Q698" s="313"/>
      <c r="R698" s="313"/>
      <c r="S698" s="313"/>
      <c r="T698" s="313"/>
      <c r="U698" s="313"/>
      <c r="V698" s="313"/>
      <c r="W698" s="313"/>
      <c r="X698" s="313"/>
      <c r="Y698" s="313"/>
      <c r="Z698" s="313"/>
      <c r="AA698" s="313"/>
    </row>
    <row r="699" spans="1:27" ht="14.25" customHeight="1" x14ac:dyDescent="0.2">
      <c r="A699" s="346">
        <v>43616</v>
      </c>
      <c r="B699" s="313">
        <v>275.26998900000001</v>
      </c>
      <c r="C699" s="313">
        <v>208.770004</v>
      </c>
      <c r="D699" s="345">
        <f t="shared" ref="D699:E699" si="708">B699/B698-1</f>
        <v>-1.347528944369869E-2</v>
      </c>
      <c r="E699" s="345">
        <f t="shared" si="708"/>
        <v>1.9932590552224516E-2</v>
      </c>
      <c r="F699" s="313"/>
      <c r="G699" s="313"/>
      <c r="H699" s="313"/>
      <c r="I699" s="313"/>
      <c r="J699" s="313"/>
      <c r="K699" s="313"/>
      <c r="L699" s="313"/>
      <c r="M699" s="313"/>
      <c r="N699" s="313"/>
      <c r="O699" s="313"/>
      <c r="P699" s="313"/>
      <c r="Q699" s="313"/>
      <c r="R699" s="313"/>
      <c r="S699" s="313"/>
      <c r="T699" s="313"/>
      <c r="U699" s="313"/>
      <c r="V699" s="313"/>
      <c r="W699" s="313"/>
      <c r="X699" s="313"/>
      <c r="Y699" s="313"/>
      <c r="Z699" s="313"/>
      <c r="AA699" s="313"/>
    </row>
    <row r="700" spans="1:27" ht="14.25" customHeight="1" x14ac:dyDescent="0.2">
      <c r="A700" s="346">
        <v>43619</v>
      </c>
      <c r="B700" s="313">
        <v>274.57000699999998</v>
      </c>
      <c r="C700" s="313">
        <v>209.28999300000001</v>
      </c>
      <c r="D700" s="345">
        <f t="shared" ref="D700:E700" si="709">B700/B699-1</f>
        <v>-2.5428925345001296E-3</v>
      </c>
      <c r="E700" s="345">
        <f t="shared" si="709"/>
        <v>2.4907265892470942E-3</v>
      </c>
      <c r="F700" s="313"/>
      <c r="G700" s="313"/>
      <c r="H700" s="313"/>
      <c r="I700" s="313"/>
      <c r="J700" s="313"/>
      <c r="K700" s="313"/>
      <c r="L700" s="313"/>
      <c r="M700" s="313"/>
      <c r="N700" s="313"/>
      <c r="O700" s="313"/>
      <c r="P700" s="313"/>
      <c r="Q700" s="313"/>
      <c r="R700" s="313"/>
      <c r="S700" s="313"/>
      <c r="T700" s="313"/>
      <c r="U700" s="313"/>
      <c r="V700" s="313"/>
      <c r="W700" s="313"/>
      <c r="X700" s="313"/>
      <c r="Y700" s="313"/>
      <c r="Z700" s="313"/>
      <c r="AA700" s="313"/>
    </row>
    <row r="701" spans="1:27" ht="14.25" customHeight="1" x14ac:dyDescent="0.2">
      <c r="A701" s="346">
        <v>43620</v>
      </c>
      <c r="B701" s="313">
        <v>280.52999899999998</v>
      </c>
      <c r="C701" s="313">
        <v>208.009995</v>
      </c>
      <c r="D701" s="345">
        <f t="shared" ref="D701:E701" si="710">B701/B700-1</f>
        <v>2.1706638919231969E-2</v>
      </c>
      <c r="E701" s="345">
        <f t="shared" si="710"/>
        <v>-6.1159063634733668E-3</v>
      </c>
      <c r="F701" s="313"/>
      <c r="G701" s="313"/>
      <c r="H701" s="313"/>
      <c r="I701" s="313"/>
      <c r="J701" s="313"/>
      <c r="K701" s="313"/>
      <c r="L701" s="313"/>
      <c r="M701" s="313"/>
      <c r="N701" s="313"/>
      <c r="O701" s="313"/>
      <c r="P701" s="313"/>
      <c r="Q701" s="313"/>
      <c r="R701" s="313"/>
      <c r="S701" s="313"/>
      <c r="T701" s="313"/>
      <c r="U701" s="313"/>
      <c r="V701" s="313"/>
      <c r="W701" s="313"/>
      <c r="X701" s="313"/>
      <c r="Y701" s="313"/>
      <c r="Z701" s="313"/>
      <c r="AA701" s="313"/>
    </row>
    <row r="702" spans="1:27" ht="14.25" customHeight="1" x14ac:dyDescent="0.2">
      <c r="A702" s="346">
        <v>43621</v>
      </c>
      <c r="B702" s="313">
        <v>282.959991</v>
      </c>
      <c r="C702" s="313">
        <v>212.770004</v>
      </c>
      <c r="D702" s="345">
        <f t="shared" ref="D702:E702" si="711">B702/B701-1</f>
        <v>8.6621466818599391E-3</v>
      </c>
      <c r="E702" s="345">
        <f t="shared" si="711"/>
        <v>2.2883559032824241E-2</v>
      </c>
      <c r="F702" s="313"/>
      <c r="G702" s="313"/>
      <c r="H702" s="313"/>
      <c r="I702" s="313"/>
      <c r="J702" s="313"/>
      <c r="K702" s="313"/>
      <c r="L702" s="313"/>
      <c r="M702" s="313"/>
      <c r="N702" s="313"/>
      <c r="O702" s="313"/>
      <c r="P702" s="313"/>
      <c r="Q702" s="313"/>
      <c r="R702" s="313"/>
      <c r="S702" s="313"/>
      <c r="T702" s="313"/>
      <c r="U702" s="313"/>
      <c r="V702" s="313"/>
      <c r="W702" s="313"/>
      <c r="X702" s="313"/>
      <c r="Y702" s="313"/>
      <c r="Z702" s="313"/>
      <c r="AA702" s="313"/>
    </row>
    <row r="703" spans="1:27" ht="14.25" customHeight="1" x14ac:dyDescent="0.2">
      <c r="A703" s="346">
        <v>43622</v>
      </c>
      <c r="B703" s="313">
        <v>284.79998799999998</v>
      </c>
      <c r="C703" s="313">
        <v>212.699997</v>
      </c>
      <c r="D703" s="345">
        <f t="shared" ref="D703:E703" si="712">B703/B702-1</f>
        <v>6.502675496621757E-3</v>
      </c>
      <c r="E703" s="345">
        <f t="shared" si="712"/>
        <v>-3.2902664230816114E-4</v>
      </c>
      <c r="F703" s="313"/>
      <c r="G703" s="313"/>
      <c r="H703" s="313"/>
      <c r="I703" s="313"/>
      <c r="J703" s="313"/>
      <c r="K703" s="313"/>
      <c r="L703" s="313"/>
      <c r="M703" s="313"/>
      <c r="N703" s="313"/>
      <c r="O703" s="313"/>
      <c r="P703" s="313"/>
      <c r="Q703" s="313"/>
      <c r="R703" s="313"/>
      <c r="S703" s="313"/>
      <c r="T703" s="313"/>
      <c r="U703" s="313"/>
      <c r="V703" s="313"/>
      <c r="W703" s="313"/>
      <c r="X703" s="313"/>
      <c r="Y703" s="313"/>
      <c r="Z703" s="313"/>
      <c r="AA703" s="313"/>
    </row>
    <row r="704" spans="1:27" ht="14.25" customHeight="1" x14ac:dyDescent="0.2">
      <c r="A704" s="346">
        <v>43623</v>
      </c>
      <c r="B704" s="313">
        <v>287.64999399999999</v>
      </c>
      <c r="C704" s="313">
        <v>212.46000699999999</v>
      </c>
      <c r="D704" s="345">
        <f t="shared" ref="D704:E704" si="713">B704/B703-1</f>
        <v>1.0007043960970963E-2</v>
      </c>
      <c r="E704" s="345">
        <f t="shared" si="713"/>
        <v>-1.1283027897739384E-3</v>
      </c>
      <c r="F704" s="313"/>
      <c r="G704" s="313"/>
      <c r="H704" s="313"/>
      <c r="I704" s="313"/>
      <c r="J704" s="313"/>
      <c r="K704" s="313"/>
      <c r="L704" s="313"/>
      <c r="M704" s="313"/>
      <c r="N704" s="313"/>
      <c r="O704" s="313"/>
      <c r="P704" s="313"/>
      <c r="Q704" s="313"/>
      <c r="R704" s="313"/>
      <c r="S704" s="313"/>
      <c r="T704" s="313"/>
      <c r="U704" s="313"/>
      <c r="V704" s="313"/>
      <c r="W704" s="313"/>
      <c r="X704" s="313"/>
      <c r="Y704" s="313"/>
      <c r="Z704" s="313"/>
      <c r="AA704" s="313"/>
    </row>
    <row r="705" spans="1:27" ht="14.25" customHeight="1" x14ac:dyDescent="0.2">
      <c r="A705" s="346">
        <v>43626</v>
      </c>
      <c r="B705" s="313">
        <v>288.97000100000002</v>
      </c>
      <c r="C705" s="313">
        <v>209.85000600000001</v>
      </c>
      <c r="D705" s="345">
        <f t="shared" ref="D705:E705" si="714">B705/B704-1</f>
        <v>4.5889345646918933E-3</v>
      </c>
      <c r="E705" s="345">
        <f t="shared" si="714"/>
        <v>-1.2284669650792113E-2</v>
      </c>
      <c r="F705" s="313"/>
      <c r="G705" s="313"/>
      <c r="H705" s="313"/>
      <c r="I705" s="313"/>
      <c r="J705" s="313"/>
      <c r="K705" s="313"/>
      <c r="L705" s="313"/>
      <c r="M705" s="313"/>
      <c r="N705" s="313"/>
      <c r="O705" s="313"/>
      <c r="P705" s="313"/>
      <c r="Q705" s="313"/>
      <c r="R705" s="313"/>
      <c r="S705" s="313"/>
      <c r="T705" s="313"/>
      <c r="U705" s="313"/>
      <c r="V705" s="313"/>
      <c r="W705" s="313"/>
      <c r="X705" s="313"/>
      <c r="Y705" s="313"/>
      <c r="Z705" s="313"/>
      <c r="AA705" s="313"/>
    </row>
    <row r="706" spans="1:27" ht="14.25" customHeight="1" x14ac:dyDescent="0.2">
      <c r="A706" s="346">
        <v>43627</v>
      </c>
      <c r="B706" s="313">
        <v>288.89999399999999</v>
      </c>
      <c r="C706" s="313">
        <v>208.970001</v>
      </c>
      <c r="D706" s="345">
        <f t="shared" ref="D706:E706" si="715">B706/B705-1</f>
        <v>-2.4226390198900383E-4</v>
      </c>
      <c r="E706" s="345">
        <f t="shared" si="715"/>
        <v>-4.1934952339244269E-3</v>
      </c>
      <c r="F706" s="313"/>
      <c r="G706" s="313"/>
      <c r="H706" s="313"/>
      <c r="I706" s="313"/>
      <c r="J706" s="313"/>
      <c r="K706" s="313"/>
      <c r="L706" s="313"/>
      <c r="M706" s="313"/>
      <c r="N706" s="313"/>
      <c r="O706" s="313"/>
      <c r="P706" s="313"/>
      <c r="Q706" s="313"/>
      <c r="R706" s="313"/>
      <c r="S706" s="313"/>
      <c r="T706" s="313"/>
      <c r="U706" s="313"/>
      <c r="V706" s="313"/>
      <c r="W706" s="313"/>
      <c r="X706" s="313"/>
      <c r="Y706" s="313"/>
      <c r="Z706" s="313"/>
      <c r="AA706" s="313"/>
    </row>
    <row r="707" spans="1:27" ht="14.25" customHeight="1" x14ac:dyDescent="0.2">
      <c r="A707" s="346">
        <v>43628</v>
      </c>
      <c r="B707" s="313">
        <v>288.39001500000001</v>
      </c>
      <c r="C707" s="313">
        <v>211.5</v>
      </c>
      <c r="D707" s="345">
        <f t="shared" ref="D707:E707" si="716">B707/B706-1</f>
        <v>-1.7652440657370816E-3</v>
      </c>
      <c r="E707" s="345">
        <f t="shared" si="716"/>
        <v>1.2106996161616479E-2</v>
      </c>
      <c r="F707" s="313"/>
      <c r="G707" s="313"/>
      <c r="H707" s="313"/>
      <c r="I707" s="313"/>
      <c r="J707" s="313"/>
      <c r="K707" s="313"/>
      <c r="L707" s="313"/>
      <c r="M707" s="313"/>
      <c r="N707" s="313"/>
      <c r="O707" s="313"/>
      <c r="P707" s="313"/>
      <c r="Q707" s="313"/>
      <c r="R707" s="313"/>
      <c r="S707" s="313"/>
      <c r="T707" s="313"/>
      <c r="U707" s="313"/>
      <c r="V707" s="313"/>
      <c r="W707" s="313"/>
      <c r="X707" s="313"/>
      <c r="Y707" s="313"/>
      <c r="Z707" s="313"/>
      <c r="AA707" s="313"/>
    </row>
    <row r="708" spans="1:27" ht="14.25" customHeight="1" x14ac:dyDescent="0.2">
      <c r="A708" s="346">
        <v>43629</v>
      </c>
      <c r="B708" s="313">
        <v>289.57998700000002</v>
      </c>
      <c r="C708" s="313">
        <v>209.009995</v>
      </c>
      <c r="D708" s="345">
        <f t="shared" ref="D708:E708" si="717">B708/B707-1</f>
        <v>4.1262593644235679E-3</v>
      </c>
      <c r="E708" s="345">
        <f t="shared" si="717"/>
        <v>-1.1773073286052038E-2</v>
      </c>
      <c r="F708" s="313"/>
      <c r="G708" s="313"/>
      <c r="H708" s="313"/>
      <c r="I708" s="313"/>
      <c r="J708" s="313"/>
      <c r="K708" s="313"/>
      <c r="L708" s="313"/>
      <c r="M708" s="313"/>
      <c r="N708" s="313"/>
      <c r="O708" s="313"/>
      <c r="P708" s="313"/>
      <c r="Q708" s="313"/>
      <c r="R708" s="313"/>
      <c r="S708" s="313"/>
      <c r="T708" s="313"/>
      <c r="U708" s="313"/>
      <c r="V708" s="313"/>
      <c r="W708" s="313"/>
      <c r="X708" s="313"/>
      <c r="Y708" s="313"/>
      <c r="Z708" s="313"/>
      <c r="AA708" s="313"/>
    </row>
    <row r="709" spans="1:27" ht="14.25" customHeight="1" x14ac:dyDescent="0.2">
      <c r="A709" s="346">
        <v>43630</v>
      </c>
      <c r="B709" s="313">
        <v>289.26001000000002</v>
      </c>
      <c r="C709" s="313">
        <v>211.229996</v>
      </c>
      <c r="D709" s="345">
        <f t="shared" ref="D709:E709" si="718">B709/B708-1</f>
        <v>-1.1049693154382423E-3</v>
      </c>
      <c r="E709" s="345">
        <f t="shared" si="718"/>
        <v>1.0621506402122005E-2</v>
      </c>
      <c r="F709" s="313"/>
      <c r="G709" s="313"/>
      <c r="H709" s="313"/>
      <c r="I709" s="313"/>
      <c r="J709" s="313"/>
      <c r="K709" s="313"/>
      <c r="L709" s="313"/>
      <c r="M709" s="313"/>
      <c r="N709" s="313"/>
      <c r="O709" s="313"/>
      <c r="P709" s="313"/>
      <c r="Q709" s="313"/>
      <c r="R709" s="313"/>
      <c r="S709" s="313"/>
      <c r="T709" s="313"/>
      <c r="U709" s="313"/>
      <c r="V709" s="313"/>
      <c r="W709" s="313"/>
      <c r="X709" s="313"/>
      <c r="Y709" s="313"/>
      <c r="Z709" s="313"/>
      <c r="AA709" s="313"/>
    </row>
    <row r="710" spans="1:27" ht="14.25" customHeight="1" x14ac:dyDescent="0.2">
      <c r="A710" s="346">
        <v>43633</v>
      </c>
      <c r="B710" s="313">
        <v>289.36999500000002</v>
      </c>
      <c r="C710" s="313">
        <v>214.08999600000001</v>
      </c>
      <c r="D710" s="345">
        <f t="shared" ref="D710:E710" si="719">B710/B709-1</f>
        <v>3.8022884670430024E-4</v>
      </c>
      <c r="E710" s="345">
        <f t="shared" si="719"/>
        <v>1.3539743664058079E-2</v>
      </c>
      <c r="F710" s="313"/>
      <c r="G710" s="313"/>
      <c r="H710" s="313"/>
      <c r="I710" s="313"/>
      <c r="J710" s="313"/>
      <c r="K710" s="313"/>
      <c r="L710" s="313"/>
      <c r="M710" s="313"/>
      <c r="N710" s="313"/>
      <c r="O710" s="313"/>
      <c r="P710" s="313"/>
      <c r="Q710" s="313"/>
      <c r="R710" s="313"/>
      <c r="S710" s="313"/>
      <c r="T710" s="313"/>
      <c r="U710" s="313"/>
      <c r="V710" s="313"/>
      <c r="W710" s="313"/>
      <c r="X710" s="313"/>
      <c r="Y710" s="313"/>
      <c r="Z710" s="313"/>
      <c r="AA710" s="313"/>
    </row>
    <row r="711" spans="1:27" ht="14.25" customHeight="1" x14ac:dyDescent="0.2">
      <c r="A711" s="346">
        <v>43634</v>
      </c>
      <c r="B711" s="313">
        <v>292.39999399999999</v>
      </c>
      <c r="C711" s="313">
        <v>214.38999899999999</v>
      </c>
      <c r="D711" s="345">
        <f t="shared" ref="D711:E711" si="720">B711/B710-1</f>
        <v>1.0471019982565943E-2</v>
      </c>
      <c r="E711" s="345">
        <f t="shared" si="720"/>
        <v>1.4012938745628922E-3</v>
      </c>
      <c r="F711" s="313"/>
      <c r="G711" s="313"/>
      <c r="H711" s="313"/>
      <c r="I711" s="313"/>
      <c r="J711" s="313"/>
      <c r="K711" s="313"/>
      <c r="L711" s="313"/>
      <c r="M711" s="313"/>
      <c r="N711" s="313"/>
      <c r="O711" s="313"/>
      <c r="P711" s="313"/>
      <c r="Q711" s="313"/>
      <c r="R711" s="313"/>
      <c r="S711" s="313"/>
      <c r="T711" s="313"/>
      <c r="U711" s="313"/>
      <c r="V711" s="313"/>
      <c r="W711" s="313"/>
      <c r="X711" s="313"/>
      <c r="Y711" s="313"/>
      <c r="Z711" s="313"/>
      <c r="AA711" s="313"/>
    </row>
    <row r="712" spans="1:27" ht="14.25" customHeight="1" x14ac:dyDescent="0.2">
      <c r="A712" s="346">
        <v>43635</v>
      </c>
      <c r="B712" s="313">
        <v>293.05999800000001</v>
      </c>
      <c r="C712" s="313">
        <v>216.16999799999999</v>
      </c>
      <c r="D712" s="345">
        <f t="shared" ref="D712:E712" si="721">B712/B711-1</f>
        <v>2.2571956687522654E-3</v>
      </c>
      <c r="E712" s="345">
        <f t="shared" si="721"/>
        <v>8.3026214296497702E-3</v>
      </c>
      <c r="F712" s="313"/>
      <c r="G712" s="313"/>
      <c r="H712" s="313"/>
      <c r="I712" s="313"/>
      <c r="J712" s="313"/>
      <c r="K712" s="313"/>
      <c r="L712" s="313"/>
      <c r="M712" s="313"/>
      <c r="N712" s="313"/>
      <c r="O712" s="313"/>
      <c r="P712" s="313"/>
      <c r="Q712" s="313"/>
      <c r="R712" s="313"/>
      <c r="S712" s="313"/>
      <c r="T712" s="313"/>
      <c r="U712" s="313"/>
      <c r="V712" s="313"/>
      <c r="W712" s="313"/>
      <c r="X712" s="313"/>
      <c r="Y712" s="313"/>
      <c r="Z712" s="313"/>
      <c r="AA712" s="313"/>
    </row>
    <row r="713" spans="1:27" ht="14.25" customHeight="1" x14ac:dyDescent="0.2">
      <c r="A713" s="346">
        <v>43636</v>
      </c>
      <c r="B713" s="313">
        <v>295.85998499999999</v>
      </c>
      <c r="C713" s="313">
        <v>217.520004</v>
      </c>
      <c r="D713" s="345">
        <f t="shared" ref="D713:E713" si="722">B713/B712-1</f>
        <v>9.554313175147211E-3</v>
      </c>
      <c r="E713" s="345">
        <f t="shared" si="722"/>
        <v>6.245112700607125E-3</v>
      </c>
      <c r="F713" s="313"/>
      <c r="G713" s="313"/>
      <c r="H713" s="313"/>
      <c r="I713" s="313"/>
      <c r="J713" s="313"/>
      <c r="K713" s="313"/>
      <c r="L713" s="313"/>
      <c r="M713" s="313"/>
      <c r="N713" s="313"/>
      <c r="O713" s="313"/>
      <c r="P713" s="313"/>
      <c r="Q713" s="313"/>
      <c r="R713" s="313"/>
      <c r="S713" s="313"/>
      <c r="T713" s="313"/>
      <c r="U713" s="313"/>
      <c r="V713" s="313"/>
      <c r="W713" s="313"/>
      <c r="X713" s="313"/>
      <c r="Y713" s="313"/>
      <c r="Z713" s="313"/>
      <c r="AA713" s="313"/>
    </row>
    <row r="714" spans="1:27" ht="14.25" customHeight="1" x14ac:dyDescent="0.2">
      <c r="A714" s="346">
        <v>43637</v>
      </c>
      <c r="B714" s="313">
        <v>294</v>
      </c>
      <c r="C714" s="313">
        <v>215.179993</v>
      </c>
      <c r="D714" s="345">
        <f t="shared" ref="D714:E714" si="723">B714/B713-1</f>
        <v>-6.2867068691293548E-3</v>
      </c>
      <c r="E714" s="345">
        <f t="shared" si="723"/>
        <v>-1.0757681854400847E-2</v>
      </c>
      <c r="F714" s="313"/>
      <c r="G714" s="313"/>
      <c r="H714" s="313"/>
      <c r="I714" s="313"/>
      <c r="J714" s="313"/>
      <c r="K714" s="313"/>
      <c r="L714" s="313"/>
      <c r="M714" s="313"/>
      <c r="N714" s="313"/>
      <c r="O714" s="313"/>
      <c r="P714" s="313"/>
      <c r="Q714" s="313"/>
      <c r="R714" s="313"/>
      <c r="S714" s="313"/>
      <c r="T714" s="313"/>
      <c r="U714" s="313"/>
      <c r="V714" s="313"/>
      <c r="W714" s="313"/>
      <c r="X714" s="313"/>
      <c r="Y714" s="313"/>
      <c r="Z714" s="313"/>
      <c r="AA714" s="313"/>
    </row>
    <row r="715" spans="1:27" ht="14.25" customHeight="1" x14ac:dyDescent="0.2">
      <c r="A715" s="346">
        <v>43640</v>
      </c>
      <c r="B715" s="313">
        <v>293.64001500000001</v>
      </c>
      <c r="C715" s="313">
        <v>214.550003</v>
      </c>
      <c r="D715" s="345">
        <f t="shared" ref="D715:E715" si="724">B715/B714-1</f>
        <v>-1.2244387755101505E-3</v>
      </c>
      <c r="E715" s="345">
        <f t="shared" si="724"/>
        <v>-2.9277350148440018E-3</v>
      </c>
      <c r="F715" s="313"/>
      <c r="G715" s="313"/>
      <c r="H715" s="313"/>
      <c r="I715" s="313"/>
      <c r="J715" s="313"/>
      <c r="K715" s="313"/>
      <c r="L715" s="313"/>
      <c r="M715" s="313"/>
      <c r="N715" s="313"/>
      <c r="O715" s="313"/>
      <c r="P715" s="313"/>
      <c r="Q715" s="313"/>
      <c r="R715" s="313"/>
      <c r="S715" s="313"/>
      <c r="T715" s="313"/>
      <c r="U715" s="313"/>
      <c r="V715" s="313"/>
      <c r="W715" s="313"/>
      <c r="X715" s="313"/>
      <c r="Y715" s="313"/>
      <c r="Z715" s="313"/>
      <c r="AA715" s="313"/>
    </row>
    <row r="716" spans="1:27" ht="14.25" customHeight="1" x14ac:dyDescent="0.2">
      <c r="A716" s="346">
        <v>43641</v>
      </c>
      <c r="B716" s="313">
        <v>290.76001000000002</v>
      </c>
      <c r="C716" s="313">
        <v>210.80999800000001</v>
      </c>
      <c r="D716" s="345">
        <f t="shared" ref="D716:E716" si="725">B716/B715-1</f>
        <v>-9.8079446018281002E-3</v>
      </c>
      <c r="E716" s="345">
        <f t="shared" si="725"/>
        <v>-1.7431857132157669E-2</v>
      </c>
      <c r="F716" s="313"/>
      <c r="G716" s="313"/>
      <c r="H716" s="313"/>
      <c r="I716" s="313"/>
      <c r="J716" s="313"/>
      <c r="K716" s="313"/>
      <c r="L716" s="313"/>
      <c r="M716" s="313"/>
      <c r="N716" s="313"/>
      <c r="O716" s="313"/>
      <c r="P716" s="313"/>
      <c r="Q716" s="313"/>
      <c r="R716" s="313"/>
      <c r="S716" s="313"/>
      <c r="T716" s="313"/>
      <c r="U716" s="313"/>
      <c r="V716" s="313"/>
      <c r="W716" s="313"/>
      <c r="X716" s="313"/>
      <c r="Y716" s="313"/>
      <c r="Z716" s="313"/>
      <c r="AA716" s="313"/>
    </row>
    <row r="717" spans="1:27" ht="14.25" customHeight="1" x14ac:dyDescent="0.2">
      <c r="A717" s="346">
        <v>43642</v>
      </c>
      <c r="B717" s="313">
        <v>290.47000100000002</v>
      </c>
      <c r="C717" s="313">
        <v>205.800003</v>
      </c>
      <c r="D717" s="345">
        <f t="shared" ref="D717:E717" si="726">B717/B716-1</f>
        <v>-9.9741707946698899E-4</v>
      </c>
      <c r="E717" s="345">
        <f t="shared" si="726"/>
        <v>-2.3765452528489717E-2</v>
      </c>
      <c r="F717" s="313"/>
      <c r="G717" s="313"/>
      <c r="H717" s="313"/>
      <c r="I717" s="313"/>
      <c r="J717" s="313"/>
      <c r="K717" s="313"/>
      <c r="L717" s="313"/>
      <c r="M717" s="313"/>
      <c r="N717" s="313"/>
      <c r="O717" s="313"/>
      <c r="P717" s="313"/>
      <c r="Q717" s="313"/>
      <c r="R717" s="313"/>
      <c r="S717" s="313"/>
      <c r="T717" s="313"/>
      <c r="U717" s="313"/>
      <c r="V717" s="313"/>
      <c r="W717" s="313"/>
      <c r="X717" s="313"/>
      <c r="Y717" s="313"/>
      <c r="Z717" s="313"/>
      <c r="AA717" s="313"/>
    </row>
    <row r="718" spans="1:27" ht="14.25" customHeight="1" x14ac:dyDescent="0.2">
      <c r="A718" s="346">
        <v>43643</v>
      </c>
      <c r="B718" s="313">
        <v>291.5</v>
      </c>
      <c r="C718" s="313">
        <v>205.85000600000001</v>
      </c>
      <c r="D718" s="345">
        <f t="shared" ref="D718:E718" si="727">B718/B717-1</f>
        <v>3.5459737544463188E-3</v>
      </c>
      <c r="E718" s="345">
        <f t="shared" si="727"/>
        <v>2.4296889830455193E-4</v>
      </c>
      <c r="F718" s="313"/>
      <c r="G718" s="313"/>
      <c r="H718" s="313"/>
      <c r="I718" s="313"/>
      <c r="J718" s="313"/>
      <c r="K718" s="313"/>
      <c r="L718" s="313"/>
      <c r="M718" s="313"/>
      <c r="N718" s="313"/>
      <c r="O718" s="313"/>
      <c r="P718" s="313"/>
      <c r="Q718" s="313"/>
      <c r="R718" s="313"/>
      <c r="S718" s="313"/>
      <c r="T718" s="313"/>
      <c r="U718" s="313"/>
      <c r="V718" s="313"/>
      <c r="W718" s="313"/>
      <c r="X718" s="313"/>
      <c r="Y718" s="313"/>
      <c r="Z718" s="313"/>
      <c r="AA718" s="313"/>
    </row>
    <row r="719" spans="1:27" ht="14.25" customHeight="1" x14ac:dyDescent="0.2">
      <c r="A719" s="346">
        <v>43644</v>
      </c>
      <c r="B719" s="313">
        <v>293</v>
      </c>
      <c r="C719" s="313">
        <v>204.449997</v>
      </c>
      <c r="D719" s="345">
        <f t="shared" ref="D719:E719" si="728">B719/B718-1</f>
        <v>5.145797598627766E-3</v>
      </c>
      <c r="E719" s="345">
        <f t="shared" si="728"/>
        <v>-6.8011122622945175E-3</v>
      </c>
      <c r="F719" s="313"/>
      <c r="G719" s="313"/>
      <c r="H719" s="313"/>
      <c r="I719" s="313"/>
      <c r="J719" s="313"/>
      <c r="K719" s="313"/>
      <c r="L719" s="313"/>
      <c r="M719" s="313"/>
      <c r="N719" s="313"/>
      <c r="O719" s="313"/>
      <c r="P719" s="313"/>
      <c r="Q719" s="313"/>
      <c r="R719" s="313"/>
      <c r="S719" s="313"/>
      <c r="T719" s="313"/>
      <c r="U719" s="313"/>
      <c r="V719" s="313"/>
      <c r="W719" s="313"/>
      <c r="X719" s="313"/>
      <c r="Y719" s="313"/>
      <c r="Z719" s="313"/>
      <c r="AA719" s="313"/>
    </row>
    <row r="720" spans="1:27" ht="14.25" customHeight="1" x14ac:dyDescent="0.2">
      <c r="A720" s="346">
        <v>43647</v>
      </c>
      <c r="B720" s="313">
        <v>295.66000400000001</v>
      </c>
      <c r="C720" s="313">
        <v>202.300003</v>
      </c>
      <c r="D720" s="345">
        <f t="shared" ref="D720:E720" si="729">B720/B719-1</f>
        <v>9.0785119453924423E-3</v>
      </c>
      <c r="E720" s="345">
        <f t="shared" si="729"/>
        <v>-1.051598939372933E-2</v>
      </c>
      <c r="F720" s="313"/>
      <c r="G720" s="313"/>
      <c r="H720" s="313"/>
      <c r="I720" s="313"/>
      <c r="J720" s="313"/>
      <c r="K720" s="313"/>
      <c r="L720" s="313"/>
      <c r="M720" s="313"/>
      <c r="N720" s="313"/>
      <c r="O720" s="313"/>
      <c r="P720" s="313"/>
      <c r="Q720" s="313"/>
      <c r="R720" s="313"/>
      <c r="S720" s="313"/>
      <c r="T720" s="313"/>
      <c r="U720" s="313"/>
      <c r="V720" s="313"/>
      <c r="W720" s="313"/>
      <c r="X720" s="313"/>
      <c r="Y720" s="313"/>
      <c r="Z720" s="313"/>
      <c r="AA720" s="313"/>
    </row>
    <row r="721" spans="1:27" ht="14.25" customHeight="1" x14ac:dyDescent="0.2">
      <c r="A721" s="346">
        <v>43648</v>
      </c>
      <c r="B721" s="313">
        <v>296.42999300000002</v>
      </c>
      <c r="C721" s="313">
        <v>205.63000500000001</v>
      </c>
      <c r="D721" s="345">
        <f t="shared" ref="D721:E721" si="730">B721/B720-1</f>
        <v>2.6043055860880404E-3</v>
      </c>
      <c r="E721" s="345">
        <f t="shared" si="730"/>
        <v>1.6460711570033926E-2</v>
      </c>
      <c r="F721" s="313"/>
      <c r="G721" s="313"/>
      <c r="H721" s="313"/>
      <c r="I721" s="313"/>
      <c r="J721" s="313"/>
      <c r="K721" s="313"/>
      <c r="L721" s="313"/>
      <c r="M721" s="313"/>
      <c r="N721" s="313"/>
      <c r="O721" s="313"/>
      <c r="P721" s="313"/>
      <c r="Q721" s="313"/>
      <c r="R721" s="313"/>
      <c r="S721" s="313"/>
      <c r="T721" s="313"/>
      <c r="U721" s="313"/>
      <c r="V721" s="313"/>
      <c r="W721" s="313"/>
      <c r="X721" s="313"/>
      <c r="Y721" s="313"/>
      <c r="Z721" s="313"/>
      <c r="AA721" s="313"/>
    </row>
    <row r="722" spans="1:27" ht="14.25" customHeight="1" x14ac:dyDescent="0.2">
      <c r="A722" s="346">
        <v>43649</v>
      </c>
      <c r="B722" s="313">
        <v>298.79998799999998</v>
      </c>
      <c r="C722" s="313">
        <v>210.16999799999999</v>
      </c>
      <c r="D722" s="345">
        <f t="shared" ref="D722:E722" si="731">B722/B721-1</f>
        <v>7.9951255134966814E-3</v>
      </c>
      <c r="E722" s="345">
        <f t="shared" si="731"/>
        <v>2.2078455914057882E-2</v>
      </c>
      <c r="F722" s="313"/>
      <c r="G722" s="313"/>
      <c r="H722" s="313"/>
      <c r="I722" s="313"/>
      <c r="J722" s="313"/>
      <c r="K722" s="313"/>
      <c r="L722" s="313"/>
      <c r="M722" s="313"/>
      <c r="N722" s="313"/>
      <c r="O722" s="313"/>
      <c r="P722" s="313"/>
      <c r="Q722" s="313"/>
      <c r="R722" s="313"/>
      <c r="S722" s="313"/>
      <c r="T722" s="313"/>
      <c r="U722" s="313"/>
      <c r="V722" s="313"/>
      <c r="W722" s="313"/>
      <c r="X722" s="313"/>
      <c r="Y722" s="313"/>
      <c r="Z722" s="313"/>
      <c r="AA722" s="313"/>
    </row>
    <row r="723" spans="1:27" ht="14.25" customHeight="1" x14ac:dyDescent="0.2">
      <c r="A723" s="346">
        <v>43651</v>
      </c>
      <c r="B723" s="313">
        <v>298.459991</v>
      </c>
      <c r="C723" s="313">
        <v>209.03999300000001</v>
      </c>
      <c r="D723" s="345">
        <f t="shared" ref="D723:E723" si="732">B723/B722-1</f>
        <v>-1.1378748783616999E-3</v>
      </c>
      <c r="E723" s="345">
        <f t="shared" si="732"/>
        <v>-5.3766237367522951E-3</v>
      </c>
      <c r="F723" s="313"/>
      <c r="G723" s="313"/>
      <c r="H723" s="313"/>
      <c r="I723" s="313"/>
      <c r="J723" s="313"/>
      <c r="K723" s="313"/>
      <c r="L723" s="313"/>
      <c r="M723" s="313"/>
      <c r="N723" s="313"/>
      <c r="O723" s="313"/>
      <c r="P723" s="313"/>
      <c r="Q723" s="313"/>
      <c r="R723" s="313"/>
      <c r="S723" s="313"/>
      <c r="T723" s="313"/>
      <c r="U723" s="313"/>
      <c r="V723" s="313"/>
      <c r="W723" s="313"/>
      <c r="X723" s="313"/>
      <c r="Y723" s="313"/>
      <c r="Z723" s="313"/>
      <c r="AA723" s="313"/>
    </row>
    <row r="724" spans="1:27" ht="14.25" customHeight="1" x14ac:dyDescent="0.2">
      <c r="A724" s="346">
        <v>43654</v>
      </c>
      <c r="B724" s="313">
        <v>296.82000699999998</v>
      </c>
      <c r="C724" s="313">
        <v>208.949997</v>
      </c>
      <c r="D724" s="345">
        <f t="shared" ref="D724:E724" si="733">B724/B723-1</f>
        <v>-5.4948202420873615E-3</v>
      </c>
      <c r="E724" s="345">
        <f t="shared" si="733"/>
        <v>-4.3052048896696782E-4</v>
      </c>
      <c r="F724" s="313"/>
      <c r="G724" s="313"/>
      <c r="H724" s="313"/>
      <c r="I724" s="313"/>
      <c r="J724" s="313"/>
      <c r="K724" s="313"/>
      <c r="L724" s="313"/>
      <c r="M724" s="313"/>
      <c r="N724" s="313"/>
      <c r="O724" s="313"/>
      <c r="P724" s="313"/>
      <c r="Q724" s="313"/>
      <c r="R724" s="313"/>
      <c r="S724" s="313"/>
      <c r="T724" s="313"/>
      <c r="U724" s="313"/>
      <c r="V724" s="313"/>
      <c r="W724" s="313"/>
      <c r="X724" s="313"/>
      <c r="Y724" s="313"/>
      <c r="Z724" s="313"/>
      <c r="AA724" s="313"/>
    </row>
    <row r="725" spans="1:27" ht="14.25" customHeight="1" x14ac:dyDescent="0.2">
      <c r="A725" s="346">
        <v>43655</v>
      </c>
      <c r="B725" s="313">
        <v>297.19000199999999</v>
      </c>
      <c r="C725" s="313">
        <v>211.30999800000001</v>
      </c>
      <c r="D725" s="345">
        <f t="shared" ref="D725:E725" si="734">B725/B724-1</f>
        <v>1.2465298540338399E-3</v>
      </c>
      <c r="E725" s="345">
        <f t="shared" si="734"/>
        <v>1.1294573026483512E-2</v>
      </c>
      <c r="F725" s="313"/>
      <c r="G725" s="313"/>
      <c r="H725" s="313"/>
      <c r="I725" s="313"/>
      <c r="J725" s="313"/>
      <c r="K725" s="313"/>
      <c r="L725" s="313"/>
      <c r="M725" s="313"/>
      <c r="N725" s="313"/>
      <c r="O725" s="313"/>
      <c r="P725" s="313"/>
      <c r="Q725" s="313"/>
      <c r="R725" s="313"/>
      <c r="S725" s="313"/>
      <c r="T725" s="313"/>
      <c r="U725" s="313"/>
      <c r="V725" s="313"/>
      <c r="W725" s="313"/>
      <c r="X725" s="313"/>
      <c r="Y725" s="313"/>
      <c r="Z725" s="313"/>
      <c r="AA725" s="313"/>
    </row>
    <row r="726" spans="1:27" ht="14.25" customHeight="1" x14ac:dyDescent="0.2">
      <c r="A726" s="346">
        <v>43656</v>
      </c>
      <c r="B726" s="313">
        <v>298.60998499999999</v>
      </c>
      <c r="C726" s="313">
        <v>211.529999</v>
      </c>
      <c r="D726" s="345">
        <f t="shared" ref="D726:E726" si="735">B726/B725-1</f>
        <v>4.7780308571754304E-3</v>
      </c>
      <c r="E726" s="345">
        <f t="shared" si="735"/>
        <v>1.0411291566052583E-3</v>
      </c>
      <c r="F726" s="313"/>
      <c r="G726" s="313"/>
      <c r="H726" s="313"/>
      <c r="I726" s="313"/>
      <c r="J726" s="313"/>
      <c r="K726" s="313"/>
      <c r="L726" s="313"/>
      <c r="M726" s="313"/>
      <c r="N726" s="313"/>
      <c r="O726" s="313"/>
      <c r="P726" s="313"/>
      <c r="Q726" s="313"/>
      <c r="R726" s="313"/>
      <c r="S726" s="313"/>
      <c r="T726" s="313"/>
      <c r="U726" s="313"/>
      <c r="V726" s="313"/>
      <c r="W726" s="313"/>
      <c r="X726" s="313"/>
      <c r="Y726" s="313"/>
      <c r="Z726" s="313"/>
      <c r="AA726" s="313"/>
    </row>
    <row r="727" spans="1:27" ht="14.25" customHeight="1" x14ac:dyDescent="0.2">
      <c r="A727" s="346">
        <v>43657</v>
      </c>
      <c r="B727" s="313">
        <v>299.30999800000001</v>
      </c>
      <c r="C727" s="313">
        <v>209.259995</v>
      </c>
      <c r="D727" s="345">
        <f t="shared" ref="D727:E727" si="736">B727/B726-1</f>
        <v>2.3442384219001244E-3</v>
      </c>
      <c r="E727" s="345">
        <f t="shared" si="736"/>
        <v>-1.0731357305022282E-2</v>
      </c>
      <c r="F727" s="313"/>
      <c r="G727" s="313"/>
      <c r="H727" s="313"/>
      <c r="I727" s="313"/>
      <c r="J727" s="313"/>
      <c r="K727" s="313"/>
      <c r="L727" s="313"/>
      <c r="M727" s="313"/>
      <c r="N727" s="313"/>
      <c r="O727" s="313"/>
      <c r="P727" s="313"/>
      <c r="Q727" s="313"/>
      <c r="R727" s="313"/>
      <c r="S727" s="313"/>
      <c r="T727" s="313"/>
      <c r="U727" s="313"/>
      <c r="V727" s="313"/>
      <c r="W727" s="313"/>
      <c r="X727" s="313"/>
      <c r="Y727" s="313"/>
      <c r="Z727" s="313"/>
      <c r="AA727" s="313"/>
    </row>
    <row r="728" spans="1:27" ht="14.25" customHeight="1" x14ac:dyDescent="0.2">
      <c r="A728" s="346">
        <v>43658</v>
      </c>
      <c r="B728" s="313">
        <v>300.64999399999999</v>
      </c>
      <c r="C728" s="313">
        <v>208.979996</v>
      </c>
      <c r="D728" s="345">
        <f t="shared" ref="D728:E728" si="737">B728/B727-1</f>
        <v>4.4769503489823226E-3</v>
      </c>
      <c r="E728" s="345">
        <f t="shared" si="737"/>
        <v>-1.3380436141174901E-3</v>
      </c>
      <c r="F728" s="313"/>
      <c r="G728" s="313"/>
      <c r="H728" s="313"/>
      <c r="I728" s="313"/>
      <c r="J728" s="313"/>
      <c r="K728" s="313"/>
      <c r="L728" s="313"/>
      <c r="M728" s="313"/>
      <c r="N728" s="313"/>
      <c r="O728" s="313"/>
      <c r="P728" s="313"/>
      <c r="Q728" s="313"/>
      <c r="R728" s="313"/>
      <c r="S728" s="313"/>
      <c r="T728" s="313"/>
      <c r="U728" s="313"/>
      <c r="V728" s="313"/>
      <c r="W728" s="313"/>
      <c r="X728" s="313"/>
      <c r="Y728" s="313"/>
      <c r="Z728" s="313"/>
      <c r="AA728" s="313"/>
    </row>
    <row r="729" spans="1:27" ht="14.25" customHeight="1" x14ac:dyDescent="0.2">
      <c r="A729" s="346">
        <v>43661</v>
      </c>
      <c r="B729" s="313">
        <v>300.75</v>
      </c>
      <c r="C729" s="313">
        <v>210.699997</v>
      </c>
      <c r="D729" s="345">
        <f t="shared" ref="D729:E729" si="738">B729/B728-1</f>
        <v>3.3263263594141002E-4</v>
      </c>
      <c r="E729" s="345">
        <f t="shared" si="738"/>
        <v>8.2304576175797894E-3</v>
      </c>
      <c r="F729" s="313"/>
      <c r="G729" s="313"/>
      <c r="H729" s="313"/>
      <c r="I729" s="313"/>
      <c r="J729" s="313"/>
      <c r="K729" s="313"/>
      <c r="L729" s="313"/>
      <c r="M729" s="313"/>
      <c r="N729" s="313"/>
      <c r="O729" s="313"/>
      <c r="P729" s="313"/>
      <c r="Q729" s="313"/>
      <c r="R729" s="313"/>
      <c r="S729" s="313"/>
      <c r="T729" s="313"/>
      <c r="U729" s="313"/>
      <c r="V729" s="313"/>
      <c r="W729" s="313"/>
      <c r="X729" s="313"/>
      <c r="Y729" s="313"/>
      <c r="Z729" s="313"/>
      <c r="AA729" s="313"/>
    </row>
    <row r="730" spans="1:27" ht="14.25" customHeight="1" x14ac:dyDescent="0.2">
      <c r="A730" s="346">
        <v>43662</v>
      </c>
      <c r="B730" s="313">
        <v>299.77999899999998</v>
      </c>
      <c r="C730" s="313">
        <v>209.30999800000001</v>
      </c>
      <c r="D730" s="345">
        <f t="shared" ref="D730:E730" si="739">B730/B729-1</f>
        <v>-3.2252734829593122E-3</v>
      </c>
      <c r="E730" s="345">
        <f t="shared" si="739"/>
        <v>-6.5970527754681818E-3</v>
      </c>
      <c r="F730" s="313"/>
      <c r="G730" s="313"/>
      <c r="H730" s="313"/>
      <c r="I730" s="313"/>
      <c r="J730" s="313"/>
      <c r="K730" s="313"/>
      <c r="L730" s="313"/>
      <c r="M730" s="313"/>
      <c r="N730" s="313"/>
      <c r="O730" s="313"/>
      <c r="P730" s="313"/>
      <c r="Q730" s="313"/>
      <c r="R730" s="313"/>
      <c r="S730" s="313"/>
      <c r="T730" s="313"/>
      <c r="U730" s="313"/>
      <c r="V730" s="313"/>
      <c r="W730" s="313"/>
      <c r="X730" s="313"/>
      <c r="Y730" s="313"/>
      <c r="Z730" s="313"/>
      <c r="AA730" s="313"/>
    </row>
    <row r="731" spans="1:27" ht="14.25" customHeight="1" x14ac:dyDescent="0.2">
      <c r="A731" s="346">
        <v>43663</v>
      </c>
      <c r="B731" s="313">
        <v>297.73998999999998</v>
      </c>
      <c r="C731" s="313">
        <v>208.740005</v>
      </c>
      <c r="D731" s="345">
        <f t="shared" ref="D731:E731" si="740">B731/B730-1</f>
        <v>-6.805020370955428E-3</v>
      </c>
      <c r="E731" s="345">
        <f t="shared" si="740"/>
        <v>-2.7232000642416487E-3</v>
      </c>
      <c r="F731" s="313"/>
      <c r="G731" s="313"/>
      <c r="H731" s="313"/>
      <c r="I731" s="313"/>
      <c r="J731" s="313"/>
      <c r="K731" s="313"/>
      <c r="L731" s="313"/>
      <c r="M731" s="313"/>
      <c r="N731" s="313"/>
      <c r="O731" s="313"/>
      <c r="P731" s="313"/>
      <c r="Q731" s="313"/>
      <c r="R731" s="313"/>
      <c r="S731" s="313"/>
      <c r="T731" s="313"/>
      <c r="U731" s="313"/>
      <c r="V731" s="313"/>
      <c r="W731" s="313"/>
      <c r="X731" s="313"/>
      <c r="Y731" s="313"/>
      <c r="Z731" s="313"/>
      <c r="AA731" s="313"/>
    </row>
    <row r="732" spans="1:27" ht="14.25" customHeight="1" x14ac:dyDescent="0.2">
      <c r="A732" s="346">
        <v>43664</v>
      </c>
      <c r="B732" s="313">
        <v>298.82998700000002</v>
      </c>
      <c r="C732" s="313">
        <v>208.66000399999999</v>
      </c>
      <c r="D732" s="345">
        <f t="shared" ref="D732:E732" si="741">B732/B731-1</f>
        <v>3.6609022523310664E-3</v>
      </c>
      <c r="E732" s="345">
        <f t="shared" si="741"/>
        <v>-3.8325667377470118E-4</v>
      </c>
      <c r="F732" s="313"/>
      <c r="G732" s="313"/>
      <c r="H732" s="313"/>
      <c r="I732" s="313"/>
      <c r="J732" s="313"/>
      <c r="K732" s="313"/>
      <c r="L732" s="313"/>
      <c r="M732" s="313"/>
      <c r="N732" s="313"/>
      <c r="O732" s="313"/>
      <c r="P732" s="313"/>
      <c r="Q732" s="313"/>
      <c r="R732" s="313"/>
      <c r="S732" s="313"/>
      <c r="T732" s="313"/>
      <c r="U732" s="313"/>
      <c r="V732" s="313"/>
      <c r="W732" s="313"/>
      <c r="X732" s="313"/>
      <c r="Y732" s="313"/>
      <c r="Z732" s="313"/>
      <c r="AA732" s="313"/>
    </row>
    <row r="733" spans="1:27" ht="14.25" customHeight="1" x14ac:dyDescent="0.2">
      <c r="A733" s="346">
        <v>43665</v>
      </c>
      <c r="B733" s="313">
        <v>297.17001299999998</v>
      </c>
      <c r="C733" s="313">
        <v>205.55999800000001</v>
      </c>
      <c r="D733" s="345">
        <f t="shared" ref="D733:E733" si="742">B733/B732-1</f>
        <v>-5.5549110605156438E-3</v>
      </c>
      <c r="E733" s="345">
        <f t="shared" si="742"/>
        <v>-1.4856733157160185E-2</v>
      </c>
      <c r="F733" s="313"/>
      <c r="G733" s="313"/>
      <c r="H733" s="313"/>
      <c r="I733" s="313"/>
      <c r="J733" s="313"/>
      <c r="K733" s="313"/>
      <c r="L733" s="313"/>
      <c r="M733" s="313"/>
      <c r="N733" s="313"/>
      <c r="O733" s="313"/>
      <c r="P733" s="313"/>
      <c r="Q733" s="313"/>
      <c r="R733" s="313"/>
      <c r="S733" s="313"/>
      <c r="T733" s="313"/>
      <c r="U733" s="313"/>
      <c r="V733" s="313"/>
      <c r="W733" s="313"/>
      <c r="X733" s="313"/>
      <c r="Y733" s="313"/>
      <c r="Z733" s="313"/>
      <c r="AA733" s="313"/>
    </row>
    <row r="734" spans="1:27" ht="14.25" customHeight="1" x14ac:dyDescent="0.2">
      <c r="A734" s="346">
        <v>43668</v>
      </c>
      <c r="B734" s="313">
        <v>297.89999399999999</v>
      </c>
      <c r="C734" s="313">
        <v>206.699997</v>
      </c>
      <c r="D734" s="345">
        <f t="shared" ref="D734:E734" si="743">B734/B733-1</f>
        <v>2.4564423328945484E-3</v>
      </c>
      <c r="E734" s="345">
        <f t="shared" si="743"/>
        <v>5.5458212253922667E-3</v>
      </c>
      <c r="F734" s="313"/>
      <c r="G734" s="313"/>
      <c r="H734" s="313"/>
      <c r="I734" s="313"/>
      <c r="J734" s="313"/>
      <c r="K734" s="313"/>
      <c r="L734" s="313"/>
      <c r="M734" s="313"/>
      <c r="N734" s="313"/>
      <c r="O734" s="313"/>
      <c r="P734" s="313"/>
      <c r="Q734" s="313"/>
      <c r="R734" s="313"/>
      <c r="S734" s="313"/>
      <c r="T734" s="313"/>
      <c r="U734" s="313"/>
      <c r="V734" s="313"/>
      <c r="W734" s="313"/>
      <c r="X734" s="313"/>
      <c r="Y734" s="313"/>
      <c r="Z734" s="313"/>
      <c r="AA734" s="313"/>
    </row>
    <row r="735" spans="1:27" ht="14.25" customHeight="1" x14ac:dyDescent="0.2">
      <c r="A735" s="346">
        <v>43669</v>
      </c>
      <c r="B735" s="313">
        <v>300.02999899999998</v>
      </c>
      <c r="C735" s="313">
        <v>206.800003</v>
      </c>
      <c r="D735" s="345">
        <f t="shared" ref="D735:E735" si="744">B735/B734-1</f>
        <v>7.1500672806323884E-3</v>
      </c>
      <c r="E735" s="345">
        <f t="shared" si="744"/>
        <v>4.8382197122154302E-4</v>
      </c>
      <c r="F735" s="313"/>
      <c r="G735" s="313"/>
      <c r="H735" s="313"/>
      <c r="I735" s="313"/>
      <c r="J735" s="313"/>
      <c r="K735" s="313"/>
      <c r="L735" s="313"/>
      <c r="M735" s="313"/>
      <c r="N735" s="313"/>
      <c r="O735" s="313"/>
      <c r="P735" s="313"/>
      <c r="Q735" s="313"/>
      <c r="R735" s="313"/>
      <c r="S735" s="313"/>
      <c r="T735" s="313"/>
      <c r="U735" s="313"/>
      <c r="V735" s="313"/>
      <c r="W735" s="313"/>
      <c r="X735" s="313"/>
      <c r="Y735" s="313"/>
      <c r="Z735" s="313"/>
      <c r="AA735" s="313"/>
    </row>
    <row r="736" spans="1:27" ht="14.25" customHeight="1" x14ac:dyDescent="0.2">
      <c r="A736" s="346">
        <v>43670</v>
      </c>
      <c r="B736" s="313">
        <v>301.44000199999999</v>
      </c>
      <c r="C736" s="313">
        <v>204.78999300000001</v>
      </c>
      <c r="D736" s="345">
        <f t="shared" ref="D736:E736" si="745">B736/B735-1</f>
        <v>4.6995400616589578E-3</v>
      </c>
      <c r="E736" s="345">
        <f t="shared" si="745"/>
        <v>-9.7195839982652243E-3</v>
      </c>
      <c r="F736" s="313"/>
      <c r="G736" s="313"/>
      <c r="H736" s="313"/>
      <c r="I736" s="313"/>
      <c r="J736" s="313"/>
      <c r="K736" s="313"/>
      <c r="L736" s="313"/>
      <c r="M736" s="313"/>
      <c r="N736" s="313"/>
      <c r="O736" s="313"/>
      <c r="P736" s="313"/>
      <c r="Q736" s="313"/>
      <c r="R736" s="313"/>
      <c r="S736" s="313"/>
      <c r="T736" s="313"/>
      <c r="U736" s="313"/>
      <c r="V736" s="313"/>
      <c r="W736" s="313"/>
      <c r="X736" s="313"/>
      <c r="Y736" s="313"/>
      <c r="Z736" s="313"/>
      <c r="AA736" s="313"/>
    </row>
    <row r="737" spans="1:27" ht="14.25" customHeight="1" x14ac:dyDescent="0.2">
      <c r="A737" s="346">
        <v>43671</v>
      </c>
      <c r="B737" s="313">
        <v>300</v>
      </c>
      <c r="C737" s="313">
        <v>205.41999799999999</v>
      </c>
      <c r="D737" s="345">
        <f t="shared" ref="D737:E737" si="746">B737/B736-1</f>
        <v>-4.7770766668187026E-3</v>
      </c>
      <c r="E737" s="345">
        <f t="shared" si="746"/>
        <v>3.0763466064476219E-3</v>
      </c>
      <c r="F737" s="313"/>
      <c r="G737" s="313"/>
      <c r="H737" s="313"/>
      <c r="I737" s="313"/>
      <c r="J737" s="313"/>
      <c r="K737" s="313"/>
      <c r="L737" s="313"/>
      <c r="M737" s="313"/>
      <c r="N737" s="313"/>
      <c r="O737" s="313"/>
      <c r="P737" s="313"/>
      <c r="Q737" s="313"/>
      <c r="R737" s="313"/>
      <c r="S737" s="313"/>
      <c r="T737" s="313"/>
      <c r="U737" s="313"/>
      <c r="V737" s="313"/>
      <c r="W737" s="313"/>
      <c r="X737" s="313"/>
      <c r="Y737" s="313"/>
      <c r="Z737" s="313"/>
      <c r="AA737" s="313"/>
    </row>
    <row r="738" spans="1:27" ht="14.25" customHeight="1" x14ac:dyDescent="0.2">
      <c r="A738" s="346">
        <v>43672</v>
      </c>
      <c r="B738" s="313">
        <v>302.01001000000002</v>
      </c>
      <c r="C738" s="313">
        <v>204.58999600000001</v>
      </c>
      <c r="D738" s="345">
        <f t="shared" ref="D738:E738" si="747">B738/B737-1</f>
        <v>6.700033333333355E-3</v>
      </c>
      <c r="E738" s="345">
        <f t="shared" si="747"/>
        <v>-4.0405121608461103E-3</v>
      </c>
      <c r="F738" s="313"/>
      <c r="G738" s="313"/>
      <c r="H738" s="313"/>
      <c r="I738" s="313"/>
      <c r="J738" s="313"/>
      <c r="K738" s="313"/>
      <c r="L738" s="313"/>
      <c r="M738" s="313"/>
      <c r="N738" s="313"/>
      <c r="O738" s="313"/>
      <c r="P738" s="313"/>
      <c r="Q738" s="313"/>
      <c r="R738" s="313"/>
      <c r="S738" s="313"/>
      <c r="T738" s="313"/>
      <c r="U738" s="313"/>
      <c r="V738" s="313"/>
      <c r="W738" s="313"/>
      <c r="X738" s="313"/>
      <c r="Y738" s="313"/>
      <c r="Z738" s="313"/>
      <c r="AA738" s="313"/>
    </row>
    <row r="739" spans="1:27" ht="14.25" customHeight="1" x14ac:dyDescent="0.2">
      <c r="A739" s="346">
        <v>43675</v>
      </c>
      <c r="B739" s="313">
        <v>301.459991</v>
      </c>
      <c r="C739" s="313">
        <v>205.570007</v>
      </c>
      <c r="D739" s="345">
        <f t="shared" ref="D739:E739" si="748">B739/B738-1</f>
        <v>-1.8211946021260417E-3</v>
      </c>
      <c r="E739" s="345">
        <f t="shared" si="748"/>
        <v>4.7901218004813284E-3</v>
      </c>
      <c r="F739" s="313"/>
      <c r="G739" s="313"/>
      <c r="H739" s="313"/>
      <c r="I739" s="313"/>
      <c r="J739" s="313"/>
      <c r="K739" s="313"/>
      <c r="L739" s="313"/>
      <c r="M739" s="313"/>
      <c r="N739" s="313"/>
      <c r="O739" s="313"/>
      <c r="P739" s="313"/>
      <c r="Q739" s="313"/>
      <c r="R739" s="313"/>
      <c r="S739" s="313"/>
      <c r="T739" s="313"/>
      <c r="U739" s="313"/>
      <c r="V739" s="313"/>
      <c r="W739" s="313"/>
      <c r="X739" s="313"/>
      <c r="Y739" s="313"/>
      <c r="Z739" s="313"/>
      <c r="AA739" s="313"/>
    </row>
    <row r="740" spans="1:27" ht="14.25" customHeight="1" x14ac:dyDescent="0.2">
      <c r="A740" s="346">
        <v>43676</v>
      </c>
      <c r="B740" s="313">
        <v>300.72000100000002</v>
      </c>
      <c r="C740" s="313">
        <v>208.64999399999999</v>
      </c>
      <c r="D740" s="345">
        <f t="shared" ref="D740:E740" si="749">B740/B739-1</f>
        <v>-2.4546872622973614E-3</v>
      </c>
      <c r="E740" s="345">
        <f t="shared" si="749"/>
        <v>1.498266719424679E-2</v>
      </c>
      <c r="F740" s="313"/>
      <c r="G740" s="313"/>
      <c r="H740" s="313"/>
      <c r="I740" s="313"/>
      <c r="J740" s="313"/>
      <c r="K740" s="313"/>
      <c r="L740" s="313"/>
      <c r="M740" s="313"/>
      <c r="N740" s="313"/>
      <c r="O740" s="313"/>
      <c r="P740" s="313"/>
      <c r="Q740" s="313"/>
      <c r="R740" s="313"/>
      <c r="S740" s="313"/>
      <c r="T740" s="313"/>
      <c r="U740" s="313"/>
      <c r="V740" s="313"/>
      <c r="W740" s="313"/>
      <c r="X740" s="313"/>
      <c r="Y740" s="313"/>
      <c r="Z740" s="313"/>
      <c r="AA740" s="313"/>
    </row>
    <row r="741" spans="1:27" ht="14.25" customHeight="1" x14ac:dyDescent="0.2">
      <c r="A741" s="346">
        <v>43677</v>
      </c>
      <c r="B741" s="313">
        <v>297.42999300000002</v>
      </c>
      <c r="C741" s="313">
        <v>211.61999499999999</v>
      </c>
      <c r="D741" s="345">
        <f t="shared" ref="D741:E741" si="750">B741/B740-1</f>
        <v>-1.0940436249865515E-2</v>
      </c>
      <c r="E741" s="345">
        <f t="shared" si="750"/>
        <v>1.4234368969116673E-2</v>
      </c>
      <c r="F741" s="313"/>
      <c r="G741" s="313"/>
      <c r="H741" s="313"/>
      <c r="I741" s="313"/>
      <c r="J741" s="313"/>
      <c r="K741" s="313"/>
      <c r="L741" s="313"/>
      <c r="M741" s="313"/>
      <c r="N741" s="313"/>
      <c r="O741" s="313"/>
      <c r="P741" s="313"/>
      <c r="Q741" s="313"/>
      <c r="R741" s="313"/>
      <c r="S741" s="313"/>
      <c r="T741" s="313"/>
      <c r="U741" s="313"/>
      <c r="V741" s="313"/>
      <c r="W741" s="313"/>
      <c r="X741" s="313"/>
      <c r="Y741" s="313"/>
      <c r="Z741" s="313"/>
      <c r="AA741" s="313"/>
    </row>
    <row r="742" spans="1:27" ht="14.25" customHeight="1" x14ac:dyDescent="0.2">
      <c r="A742" s="346">
        <v>43678</v>
      </c>
      <c r="B742" s="313">
        <v>294.83999599999999</v>
      </c>
      <c r="C742" s="313">
        <v>211.41000399999999</v>
      </c>
      <c r="D742" s="345">
        <f t="shared" ref="D742:E742" si="751">B742/B741-1</f>
        <v>-8.7079213964814661E-3</v>
      </c>
      <c r="E742" s="345">
        <f t="shared" si="751"/>
        <v>-9.9230226330926374E-4</v>
      </c>
      <c r="F742" s="313"/>
      <c r="G742" s="313"/>
      <c r="H742" s="313"/>
      <c r="I742" s="313"/>
      <c r="J742" s="313"/>
      <c r="K742" s="313"/>
      <c r="L742" s="313"/>
      <c r="M742" s="313"/>
      <c r="N742" s="313"/>
      <c r="O742" s="313"/>
      <c r="P742" s="313"/>
      <c r="Q742" s="313"/>
      <c r="R742" s="313"/>
      <c r="S742" s="313"/>
      <c r="T742" s="313"/>
      <c r="U742" s="313"/>
      <c r="V742" s="313"/>
      <c r="W742" s="313"/>
      <c r="X742" s="313"/>
      <c r="Y742" s="313"/>
      <c r="Z742" s="313"/>
      <c r="AA742" s="313"/>
    </row>
    <row r="743" spans="1:27" ht="14.25" customHeight="1" x14ac:dyDescent="0.2">
      <c r="A743" s="346">
        <v>43679</v>
      </c>
      <c r="B743" s="313">
        <v>292.61999500000002</v>
      </c>
      <c r="C743" s="313">
        <v>215.470001</v>
      </c>
      <c r="D743" s="345">
        <f t="shared" ref="D743:E743" si="752">B743/B742-1</f>
        <v>-7.5295110233279949E-3</v>
      </c>
      <c r="E743" s="345">
        <f t="shared" si="752"/>
        <v>1.9204375020966502E-2</v>
      </c>
      <c r="F743" s="313"/>
      <c r="G743" s="313"/>
      <c r="H743" s="313"/>
      <c r="I743" s="313"/>
      <c r="J743" s="313"/>
      <c r="K743" s="313"/>
      <c r="L743" s="313"/>
      <c r="M743" s="313"/>
      <c r="N743" s="313"/>
      <c r="O743" s="313"/>
      <c r="P743" s="313"/>
      <c r="Q743" s="313"/>
      <c r="R743" s="313"/>
      <c r="S743" s="313"/>
      <c r="T743" s="313"/>
      <c r="U743" s="313"/>
      <c r="V743" s="313"/>
      <c r="W743" s="313"/>
      <c r="X743" s="313"/>
      <c r="Y743" s="313"/>
      <c r="Z743" s="313"/>
      <c r="AA743" s="313"/>
    </row>
    <row r="744" spans="1:27" ht="14.25" customHeight="1" x14ac:dyDescent="0.2">
      <c r="A744" s="346">
        <v>43682</v>
      </c>
      <c r="B744" s="313">
        <v>283.82000699999998</v>
      </c>
      <c r="C744" s="313">
        <v>213.89999399999999</v>
      </c>
      <c r="D744" s="345">
        <f t="shared" ref="D744:E744" si="753">B744/B743-1</f>
        <v>-3.0073091895172932E-2</v>
      </c>
      <c r="E744" s="345">
        <f t="shared" si="753"/>
        <v>-7.2864296315662269E-3</v>
      </c>
      <c r="F744" s="313"/>
      <c r="G744" s="313"/>
      <c r="H744" s="313"/>
      <c r="I744" s="313"/>
      <c r="J744" s="313"/>
      <c r="K744" s="313"/>
      <c r="L744" s="313"/>
      <c r="M744" s="313"/>
      <c r="N744" s="313"/>
      <c r="O744" s="313"/>
      <c r="P744" s="313"/>
      <c r="Q744" s="313"/>
      <c r="R744" s="313"/>
      <c r="S744" s="313"/>
      <c r="T744" s="313"/>
      <c r="U744" s="313"/>
      <c r="V744" s="313"/>
      <c r="W744" s="313"/>
      <c r="X744" s="313"/>
      <c r="Y744" s="313"/>
      <c r="Z744" s="313"/>
      <c r="AA744" s="313"/>
    </row>
    <row r="745" spans="1:27" ht="14.25" customHeight="1" x14ac:dyDescent="0.2">
      <c r="A745" s="346">
        <v>43683</v>
      </c>
      <c r="B745" s="313">
        <v>287.79998799999998</v>
      </c>
      <c r="C745" s="313">
        <v>216.949997</v>
      </c>
      <c r="D745" s="345">
        <f t="shared" ref="D745:E745" si="754">B745/B744-1</f>
        <v>1.4022905016699561E-2</v>
      </c>
      <c r="E745" s="345">
        <f t="shared" si="754"/>
        <v>1.4259013957709676E-2</v>
      </c>
      <c r="F745" s="313"/>
      <c r="G745" s="313"/>
      <c r="H745" s="313"/>
      <c r="I745" s="313"/>
      <c r="J745" s="313"/>
      <c r="K745" s="313"/>
      <c r="L745" s="313"/>
      <c r="M745" s="313"/>
      <c r="N745" s="313"/>
      <c r="O745" s="313"/>
      <c r="P745" s="313"/>
      <c r="Q745" s="313"/>
      <c r="R745" s="313"/>
      <c r="S745" s="313"/>
      <c r="T745" s="313"/>
      <c r="U745" s="313"/>
      <c r="V745" s="313"/>
      <c r="W745" s="313"/>
      <c r="X745" s="313"/>
      <c r="Y745" s="313"/>
      <c r="Z745" s="313"/>
      <c r="AA745" s="313"/>
    </row>
    <row r="746" spans="1:27" ht="14.25" customHeight="1" x14ac:dyDescent="0.2">
      <c r="A746" s="346">
        <v>43684</v>
      </c>
      <c r="B746" s="313">
        <v>287.97000100000002</v>
      </c>
      <c r="C746" s="313">
        <v>217.429993</v>
      </c>
      <c r="D746" s="345">
        <f t="shared" ref="D746:E746" si="755">B746/B745-1</f>
        <v>5.9073317265068148E-4</v>
      </c>
      <c r="E746" s="345">
        <f t="shared" si="755"/>
        <v>2.2124729506218799E-3</v>
      </c>
      <c r="F746" s="313"/>
      <c r="G746" s="313"/>
      <c r="H746" s="313"/>
      <c r="I746" s="313"/>
      <c r="J746" s="313"/>
      <c r="K746" s="313"/>
      <c r="L746" s="313"/>
      <c r="M746" s="313"/>
      <c r="N746" s="313"/>
      <c r="O746" s="313"/>
      <c r="P746" s="313"/>
      <c r="Q746" s="313"/>
      <c r="R746" s="313"/>
      <c r="S746" s="313"/>
      <c r="T746" s="313"/>
      <c r="U746" s="313"/>
      <c r="V746" s="313"/>
      <c r="W746" s="313"/>
      <c r="X746" s="313"/>
      <c r="Y746" s="313"/>
      <c r="Z746" s="313"/>
      <c r="AA746" s="313"/>
    </row>
    <row r="747" spans="1:27" ht="14.25" customHeight="1" x14ac:dyDescent="0.2">
      <c r="A747" s="346">
        <v>43685</v>
      </c>
      <c r="B747" s="313">
        <v>293.61999500000002</v>
      </c>
      <c r="C747" s="313">
        <v>221.020004</v>
      </c>
      <c r="D747" s="345">
        <f t="shared" ref="D747:E747" si="756">B747/B746-1</f>
        <v>1.9620078412264874E-2</v>
      </c>
      <c r="E747" s="345">
        <f t="shared" si="756"/>
        <v>1.6511112153694496E-2</v>
      </c>
      <c r="F747" s="313"/>
      <c r="G747" s="313"/>
      <c r="H747" s="313"/>
      <c r="I747" s="313"/>
      <c r="J747" s="313"/>
      <c r="K747" s="313"/>
      <c r="L747" s="313"/>
      <c r="M747" s="313"/>
      <c r="N747" s="313"/>
      <c r="O747" s="313"/>
      <c r="P747" s="313"/>
      <c r="Q747" s="313"/>
      <c r="R747" s="313"/>
      <c r="S747" s="313"/>
      <c r="T747" s="313"/>
      <c r="U747" s="313"/>
      <c r="V747" s="313"/>
      <c r="W747" s="313"/>
      <c r="X747" s="313"/>
      <c r="Y747" s="313"/>
      <c r="Z747" s="313"/>
      <c r="AA747" s="313"/>
    </row>
    <row r="748" spans="1:27" ht="14.25" customHeight="1" x14ac:dyDescent="0.2">
      <c r="A748" s="346">
        <v>43686</v>
      </c>
      <c r="B748" s="313">
        <v>291.61999500000002</v>
      </c>
      <c r="C748" s="313">
        <v>222.229996</v>
      </c>
      <c r="D748" s="345">
        <f t="shared" ref="D748:E748" si="757">B748/B747-1</f>
        <v>-6.811525216462222E-3</v>
      </c>
      <c r="E748" s="345">
        <f t="shared" si="757"/>
        <v>5.4745813867598248E-3</v>
      </c>
      <c r="F748" s="313"/>
      <c r="G748" s="313"/>
      <c r="H748" s="313"/>
      <c r="I748" s="313"/>
      <c r="J748" s="313"/>
      <c r="K748" s="313"/>
      <c r="L748" s="313"/>
      <c r="M748" s="313"/>
      <c r="N748" s="313"/>
      <c r="O748" s="313"/>
      <c r="P748" s="313"/>
      <c r="Q748" s="313"/>
      <c r="R748" s="313"/>
      <c r="S748" s="313"/>
      <c r="T748" s="313"/>
      <c r="U748" s="313"/>
      <c r="V748" s="313"/>
      <c r="W748" s="313"/>
      <c r="X748" s="313"/>
      <c r="Y748" s="313"/>
      <c r="Z748" s="313"/>
      <c r="AA748" s="313"/>
    </row>
    <row r="749" spans="1:27" ht="14.25" customHeight="1" x14ac:dyDescent="0.2">
      <c r="A749" s="346">
        <v>43689</v>
      </c>
      <c r="B749" s="313">
        <v>288.07000699999998</v>
      </c>
      <c r="C749" s="313">
        <v>222.220001</v>
      </c>
      <c r="D749" s="345">
        <f t="shared" ref="D749:E749" si="758">B749/B748-1</f>
        <v>-1.2173335370916694E-2</v>
      </c>
      <c r="E749" s="345">
        <f t="shared" si="758"/>
        <v>-4.497592665220207E-5</v>
      </c>
      <c r="F749" s="313"/>
      <c r="G749" s="313"/>
      <c r="H749" s="313"/>
      <c r="I749" s="313"/>
      <c r="J749" s="313"/>
      <c r="K749" s="313"/>
      <c r="L749" s="313"/>
      <c r="M749" s="313"/>
      <c r="N749" s="313"/>
      <c r="O749" s="313"/>
      <c r="P749" s="313"/>
      <c r="Q749" s="313"/>
      <c r="R749" s="313"/>
      <c r="S749" s="313"/>
      <c r="T749" s="313"/>
      <c r="U749" s="313"/>
      <c r="V749" s="313"/>
      <c r="W749" s="313"/>
      <c r="X749" s="313"/>
      <c r="Y749" s="313"/>
      <c r="Z749" s="313"/>
      <c r="AA749" s="313"/>
    </row>
    <row r="750" spans="1:27" ht="14.25" customHeight="1" x14ac:dyDescent="0.2">
      <c r="A750" s="346">
        <v>43690</v>
      </c>
      <c r="B750" s="313">
        <v>292.54998799999998</v>
      </c>
      <c r="C750" s="313">
        <v>221.10000600000001</v>
      </c>
      <c r="D750" s="345">
        <f t="shared" ref="D750:E750" si="759">B750/B749-1</f>
        <v>1.5551709276002468E-2</v>
      </c>
      <c r="E750" s="345">
        <f t="shared" si="759"/>
        <v>-5.0400278775986074E-3</v>
      </c>
      <c r="F750" s="313"/>
      <c r="G750" s="313"/>
      <c r="H750" s="313"/>
      <c r="I750" s="313"/>
      <c r="J750" s="313"/>
      <c r="K750" s="313"/>
      <c r="L750" s="313"/>
      <c r="M750" s="313"/>
      <c r="N750" s="313"/>
      <c r="O750" s="313"/>
      <c r="P750" s="313"/>
      <c r="Q750" s="313"/>
      <c r="R750" s="313"/>
      <c r="S750" s="313"/>
      <c r="T750" s="313"/>
      <c r="U750" s="313"/>
      <c r="V750" s="313"/>
      <c r="W750" s="313"/>
      <c r="X750" s="313"/>
      <c r="Y750" s="313"/>
      <c r="Z750" s="313"/>
      <c r="AA750" s="313"/>
    </row>
    <row r="751" spans="1:27" ht="14.25" customHeight="1" x14ac:dyDescent="0.2">
      <c r="A751" s="346">
        <v>43691</v>
      </c>
      <c r="B751" s="313">
        <v>283.89999399999999</v>
      </c>
      <c r="C751" s="313">
        <v>218.88000500000001</v>
      </c>
      <c r="D751" s="345">
        <f t="shared" ref="D751:E751" si="760">B751/B750-1</f>
        <v>-2.9567575986364392E-2</v>
      </c>
      <c r="E751" s="345">
        <f t="shared" si="760"/>
        <v>-1.0040709813458837E-2</v>
      </c>
      <c r="F751" s="313"/>
      <c r="G751" s="313"/>
      <c r="H751" s="313"/>
      <c r="I751" s="313"/>
      <c r="J751" s="313"/>
      <c r="K751" s="313"/>
      <c r="L751" s="313"/>
      <c r="M751" s="313"/>
      <c r="N751" s="313"/>
      <c r="O751" s="313"/>
      <c r="P751" s="313"/>
      <c r="Q751" s="313"/>
      <c r="R751" s="313"/>
      <c r="S751" s="313"/>
      <c r="T751" s="313"/>
      <c r="U751" s="313"/>
      <c r="V751" s="313"/>
      <c r="W751" s="313"/>
      <c r="X751" s="313"/>
      <c r="Y751" s="313"/>
      <c r="Z751" s="313"/>
      <c r="AA751" s="313"/>
    </row>
    <row r="752" spans="1:27" ht="14.25" customHeight="1" x14ac:dyDescent="0.2">
      <c r="A752" s="346">
        <v>43692</v>
      </c>
      <c r="B752" s="313">
        <v>284.64999399999999</v>
      </c>
      <c r="C752" s="313">
        <v>224.199997</v>
      </c>
      <c r="D752" s="345">
        <f t="shared" ref="D752:E752" si="761">B752/B751-1</f>
        <v>2.6417753288152657E-3</v>
      </c>
      <c r="E752" s="345">
        <f t="shared" si="761"/>
        <v>2.430551845062312E-2</v>
      </c>
      <c r="F752" s="313"/>
      <c r="G752" s="313"/>
      <c r="H752" s="313"/>
      <c r="I752" s="313"/>
      <c r="J752" s="313"/>
      <c r="K752" s="313"/>
      <c r="L752" s="313"/>
      <c r="M752" s="313"/>
      <c r="N752" s="313"/>
      <c r="O752" s="313"/>
      <c r="P752" s="313"/>
      <c r="Q752" s="313"/>
      <c r="R752" s="313"/>
      <c r="S752" s="313"/>
      <c r="T752" s="313"/>
      <c r="U752" s="313"/>
      <c r="V752" s="313"/>
      <c r="W752" s="313"/>
      <c r="X752" s="313"/>
      <c r="Y752" s="313"/>
      <c r="Z752" s="313"/>
      <c r="AA752" s="313"/>
    </row>
    <row r="753" spans="1:27" ht="14.25" customHeight="1" x14ac:dyDescent="0.2">
      <c r="A753" s="346">
        <v>43693</v>
      </c>
      <c r="B753" s="313">
        <v>288.85000600000001</v>
      </c>
      <c r="C753" s="313">
        <v>222.929993</v>
      </c>
      <c r="D753" s="345">
        <f t="shared" ref="D753:E753" si="762">B753/B752-1</f>
        <v>1.4755004702371455E-2</v>
      </c>
      <c r="E753" s="345">
        <f t="shared" si="762"/>
        <v>-5.6646031088037896E-3</v>
      </c>
      <c r="F753" s="313"/>
      <c r="G753" s="313"/>
      <c r="H753" s="313"/>
      <c r="I753" s="313"/>
      <c r="J753" s="313"/>
      <c r="K753" s="313"/>
      <c r="L753" s="313"/>
      <c r="M753" s="313"/>
      <c r="N753" s="313"/>
      <c r="O753" s="313"/>
      <c r="P753" s="313"/>
      <c r="Q753" s="313"/>
      <c r="R753" s="313"/>
      <c r="S753" s="313"/>
      <c r="T753" s="313"/>
      <c r="U753" s="313"/>
      <c r="V753" s="313"/>
      <c r="W753" s="313"/>
      <c r="X753" s="313"/>
      <c r="Y753" s="313"/>
      <c r="Z753" s="313"/>
      <c r="AA753" s="313"/>
    </row>
    <row r="754" spans="1:27" ht="14.25" customHeight="1" x14ac:dyDescent="0.2">
      <c r="A754" s="346">
        <v>43696</v>
      </c>
      <c r="B754" s="313">
        <v>292.32998700000002</v>
      </c>
      <c r="C754" s="313">
        <v>225.19000199999999</v>
      </c>
      <c r="D754" s="345">
        <f t="shared" ref="D754:E754" si="763">B754/B753-1</f>
        <v>1.2047709633767445E-2</v>
      </c>
      <c r="E754" s="345">
        <f t="shared" si="763"/>
        <v>1.013775207896761E-2</v>
      </c>
      <c r="F754" s="313"/>
      <c r="G754" s="313"/>
      <c r="H754" s="313"/>
      <c r="I754" s="313"/>
      <c r="J754" s="313"/>
      <c r="K754" s="313"/>
      <c r="L754" s="313"/>
      <c r="M754" s="313"/>
      <c r="N754" s="313"/>
      <c r="O754" s="313"/>
      <c r="P754" s="313"/>
      <c r="Q754" s="313"/>
      <c r="R754" s="313"/>
      <c r="S754" s="313"/>
      <c r="T754" s="313"/>
      <c r="U754" s="313"/>
      <c r="V754" s="313"/>
      <c r="W754" s="313"/>
      <c r="X754" s="313"/>
      <c r="Y754" s="313"/>
      <c r="Z754" s="313"/>
      <c r="AA754" s="313"/>
    </row>
    <row r="755" spans="1:27" ht="14.25" customHeight="1" x14ac:dyDescent="0.2">
      <c r="A755" s="346">
        <v>43697</v>
      </c>
      <c r="B755" s="313">
        <v>290.08999599999999</v>
      </c>
      <c r="C755" s="313">
        <v>225.55999800000001</v>
      </c>
      <c r="D755" s="345">
        <f t="shared" ref="D755:E755" si="764">B755/B754-1</f>
        <v>-7.6625426730513313E-3</v>
      </c>
      <c r="E755" s="345">
        <f t="shared" si="764"/>
        <v>1.643039196740137E-3</v>
      </c>
      <c r="F755" s="313"/>
      <c r="G755" s="313"/>
      <c r="H755" s="313"/>
      <c r="I755" s="313"/>
      <c r="J755" s="313"/>
      <c r="K755" s="313"/>
      <c r="L755" s="313"/>
      <c r="M755" s="313"/>
      <c r="N755" s="313"/>
      <c r="O755" s="313"/>
      <c r="P755" s="313"/>
      <c r="Q755" s="313"/>
      <c r="R755" s="313"/>
      <c r="S755" s="313"/>
      <c r="T755" s="313"/>
      <c r="U755" s="313"/>
      <c r="V755" s="313"/>
      <c r="W755" s="313"/>
      <c r="X755" s="313"/>
      <c r="Y755" s="313"/>
      <c r="Z755" s="313"/>
      <c r="AA755" s="313"/>
    </row>
    <row r="756" spans="1:27" ht="14.25" customHeight="1" x14ac:dyDescent="0.2">
      <c r="A756" s="346">
        <v>43698</v>
      </c>
      <c r="B756" s="313">
        <v>292.45001200000002</v>
      </c>
      <c r="C756" s="313">
        <v>227.38000500000001</v>
      </c>
      <c r="D756" s="345">
        <f t="shared" ref="D756:E756" si="765">B756/B755-1</f>
        <v>8.135461520706988E-3</v>
      </c>
      <c r="E756" s="345">
        <f t="shared" si="765"/>
        <v>8.0688376313959864E-3</v>
      </c>
      <c r="F756" s="313"/>
      <c r="G756" s="313"/>
      <c r="H756" s="313"/>
      <c r="I756" s="313"/>
      <c r="J756" s="313"/>
      <c r="K756" s="313"/>
      <c r="L756" s="313"/>
      <c r="M756" s="313"/>
      <c r="N756" s="313"/>
      <c r="O756" s="313"/>
      <c r="P756" s="313"/>
      <c r="Q756" s="313"/>
      <c r="R756" s="313"/>
      <c r="S756" s="313"/>
      <c r="T756" s="313"/>
      <c r="U756" s="313"/>
      <c r="V756" s="313"/>
      <c r="W756" s="313"/>
      <c r="X756" s="313"/>
      <c r="Y756" s="313"/>
      <c r="Z756" s="313"/>
      <c r="AA756" s="313"/>
    </row>
    <row r="757" spans="1:27" ht="14.25" customHeight="1" x14ac:dyDescent="0.2">
      <c r="A757" s="346">
        <v>43699</v>
      </c>
      <c r="B757" s="313">
        <v>292.35998499999999</v>
      </c>
      <c r="C757" s="313">
        <v>228.509995</v>
      </c>
      <c r="D757" s="345">
        <f t="shared" ref="D757:E757" si="766">B757/B756-1</f>
        <v>-3.0783722450322681E-4</v>
      </c>
      <c r="E757" s="345">
        <f t="shared" si="766"/>
        <v>4.9696102346377113E-3</v>
      </c>
      <c r="F757" s="313"/>
      <c r="G757" s="313"/>
      <c r="H757" s="313"/>
      <c r="I757" s="313"/>
      <c r="J757" s="313"/>
      <c r="K757" s="313"/>
      <c r="L757" s="313"/>
      <c r="M757" s="313"/>
      <c r="N757" s="313"/>
      <c r="O757" s="313"/>
      <c r="P757" s="313"/>
      <c r="Q757" s="313"/>
      <c r="R757" s="313"/>
      <c r="S757" s="313"/>
      <c r="T757" s="313"/>
      <c r="U757" s="313"/>
      <c r="V757" s="313"/>
      <c r="W757" s="313"/>
      <c r="X757" s="313"/>
      <c r="Y757" s="313"/>
      <c r="Z757" s="313"/>
      <c r="AA757" s="313"/>
    </row>
    <row r="758" spans="1:27" ht="14.25" customHeight="1" x14ac:dyDescent="0.2">
      <c r="A758" s="346">
        <v>43700</v>
      </c>
      <c r="B758" s="313">
        <v>284.85000600000001</v>
      </c>
      <c r="C758" s="313">
        <v>226.570007</v>
      </c>
      <c r="D758" s="345">
        <f t="shared" ref="D758:E758" si="767">B758/B757-1</f>
        <v>-2.5687438039785015E-2</v>
      </c>
      <c r="E758" s="345">
        <f t="shared" si="767"/>
        <v>-8.4897293004623231E-3</v>
      </c>
      <c r="F758" s="313"/>
      <c r="G758" s="313"/>
      <c r="H758" s="313"/>
      <c r="I758" s="313"/>
      <c r="J758" s="313"/>
      <c r="K758" s="313"/>
      <c r="L758" s="313"/>
      <c r="M758" s="313"/>
      <c r="N758" s="313"/>
      <c r="O758" s="313"/>
      <c r="P758" s="313"/>
      <c r="Q758" s="313"/>
      <c r="R758" s="313"/>
      <c r="S758" s="313"/>
      <c r="T758" s="313"/>
      <c r="U758" s="313"/>
      <c r="V758" s="313"/>
      <c r="W758" s="313"/>
      <c r="X758" s="313"/>
      <c r="Y758" s="313"/>
      <c r="Z758" s="313"/>
      <c r="AA758" s="313"/>
    </row>
    <row r="759" spans="1:27" ht="14.25" customHeight="1" x14ac:dyDescent="0.2">
      <c r="A759" s="346">
        <v>43703</v>
      </c>
      <c r="B759" s="313">
        <v>288</v>
      </c>
      <c r="C759" s="313">
        <v>230.070007</v>
      </c>
      <c r="D759" s="345">
        <f t="shared" ref="D759:E759" si="768">B759/B758-1</f>
        <v>1.1058430520096252E-2</v>
      </c>
      <c r="E759" s="345">
        <f t="shared" si="768"/>
        <v>1.5447764010529497E-2</v>
      </c>
      <c r="F759" s="313"/>
      <c r="G759" s="313"/>
      <c r="H759" s="313"/>
      <c r="I759" s="313"/>
      <c r="J759" s="313"/>
      <c r="K759" s="313"/>
      <c r="L759" s="313"/>
      <c r="M759" s="313"/>
      <c r="N759" s="313"/>
      <c r="O759" s="313"/>
      <c r="P759" s="313"/>
      <c r="Q759" s="313"/>
      <c r="R759" s="313"/>
      <c r="S759" s="313"/>
      <c r="T759" s="313"/>
      <c r="U759" s="313"/>
      <c r="V759" s="313"/>
      <c r="W759" s="313"/>
      <c r="X759" s="313"/>
      <c r="Y759" s="313"/>
      <c r="Z759" s="313"/>
      <c r="AA759" s="313"/>
    </row>
    <row r="760" spans="1:27" ht="14.25" customHeight="1" x14ac:dyDescent="0.2">
      <c r="A760" s="346">
        <v>43704</v>
      </c>
      <c r="B760" s="313">
        <v>286.86999500000002</v>
      </c>
      <c r="C760" s="313">
        <v>229.78999300000001</v>
      </c>
      <c r="D760" s="345">
        <f t="shared" ref="D760:E760" si="769">B760/B759-1</f>
        <v>-3.9236284722221626E-3</v>
      </c>
      <c r="E760" s="345">
        <f t="shared" si="769"/>
        <v>-1.2170817206955675E-3</v>
      </c>
      <c r="F760" s="313"/>
      <c r="G760" s="313"/>
      <c r="H760" s="313"/>
      <c r="I760" s="313"/>
      <c r="J760" s="313"/>
      <c r="K760" s="313"/>
      <c r="L760" s="313"/>
      <c r="M760" s="313"/>
      <c r="N760" s="313"/>
      <c r="O760" s="313"/>
      <c r="P760" s="313"/>
      <c r="Q760" s="313"/>
      <c r="R760" s="313"/>
      <c r="S760" s="313"/>
      <c r="T760" s="313"/>
      <c r="U760" s="313"/>
      <c r="V760" s="313"/>
      <c r="W760" s="313"/>
      <c r="X760" s="313"/>
      <c r="Y760" s="313"/>
      <c r="Z760" s="313"/>
      <c r="AA760" s="313"/>
    </row>
    <row r="761" spans="1:27" ht="14.25" customHeight="1" x14ac:dyDescent="0.2">
      <c r="A761" s="346">
        <v>43705</v>
      </c>
      <c r="B761" s="313">
        <v>288.89001500000001</v>
      </c>
      <c r="C761" s="313">
        <v>230.13999899999999</v>
      </c>
      <c r="D761" s="345">
        <f t="shared" ref="D761:E761" si="770">B761/B760-1</f>
        <v>7.0415869042002033E-3</v>
      </c>
      <c r="E761" s="345">
        <f t="shared" si="770"/>
        <v>1.5231559713742016E-3</v>
      </c>
      <c r="F761" s="313"/>
      <c r="G761" s="313"/>
      <c r="H761" s="313"/>
      <c r="I761" s="313"/>
      <c r="J761" s="313"/>
      <c r="K761" s="313"/>
      <c r="L761" s="313"/>
      <c r="M761" s="313"/>
      <c r="N761" s="313"/>
      <c r="O761" s="313"/>
      <c r="P761" s="313"/>
      <c r="Q761" s="313"/>
      <c r="R761" s="313"/>
      <c r="S761" s="313"/>
      <c r="T761" s="313"/>
      <c r="U761" s="313"/>
      <c r="V761" s="313"/>
      <c r="W761" s="313"/>
      <c r="X761" s="313"/>
      <c r="Y761" s="313"/>
      <c r="Z761" s="313"/>
      <c r="AA761" s="313"/>
    </row>
    <row r="762" spans="1:27" ht="14.25" customHeight="1" x14ac:dyDescent="0.2">
      <c r="A762" s="346">
        <v>43706</v>
      </c>
      <c r="B762" s="313">
        <v>292.57998700000002</v>
      </c>
      <c r="C762" s="313">
        <v>230.41000399999999</v>
      </c>
      <c r="D762" s="345">
        <f t="shared" ref="D762:E762" si="771">B762/B761-1</f>
        <v>1.2772930210135591E-2</v>
      </c>
      <c r="E762" s="345">
        <f t="shared" si="771"/>
        <v>1.1732206533989764E-3</v>
      </c>
      <c r="F762" s="313"/>
      <c r="G762" s="313"/>
      <c r="H762" s="313"/>
      <c r="I762" s="313"/>
      <c r="J762" s="313"/>
      <c r="K762" s="313"/>
      <c r="L762" s="313"/>
      <c r="M762" s="313"/>
      <c r="N762" s="313"/>
      <c r="O762" s="313"/>
      <c r="P762" s="313"/>
      <c r="Q762" s="313"/>
      <c r="R762" s="313"/>
      <c r="S762" s="313"/>
      <c r="T762" s="313"/>
      <c r="U762" s="313"/>
      <c r="V762" s="313"/>
      <c r="W762" s="313"/>
      <c r="X762" s="313"/>
      <c r="Y762" s="313"/>
      <c r="Z762" s="313"/>
      <c r="AA762" s="313"/>
    </row>
    <row r="763" spans="1:27" ht="14.25" customHeight="1" x14ac:dyDescent="0.2">
      <c r="A763" s="346">
        <v>43707</v>
      </c>
      <c r="B763" s="313">
        <v>292.45001200000002</v>
      </c>
      <c r="C763" s="313">
        <v>230.19000199999999</v>
      </c>
      <c r="D763" s="345">
        <f t="shared" ref="D763:E763" si="772">B763/B762-1</f>
        <v>-4.442374932500659E-4</v>
      </c>
      <c r="E763" s="345">
        <f t="shared" si="772"/>
        <v>-9.5482833288784708E-4</v>
      </c>
      <c r="F763" s="313"/>
      <c r="G763" s="313"/>
      <c r="H763" s="313"/>
      <c r="I763" s="313"/>
      <c r="J763" s="313"/>
      <c r="K763" s="313"/>
      <c r="L763" s="313"/>
      <c r="M763" s="313"/>
      <c r="N763" s="313"/>
      <c r="O763" s="313"/>
      <c r="P763" s="313"/>
      <c r="Q763" s="313"/>
      <c r="R763" s="313"/>
      <c r="S763" s="313"/>
      <c r="T763" s="313"/>
      <c r="U763" s="313"/>
      <c r="V763" s="313"/>
      <c r="W763" s="313"/>
      <c r="X763" s="313"/>
      <c r="Y763" s="313"/>
      <c r="Z763" s="313"/>
      <c r="AA763" s="313"/>
    </row>
    <row r="764" spans="1:27" ht="14.25" customHeight="1" x14ac:dyDescent="0.2">
      <c r="A764" s="346">
        <v>43711</v>
      </c>
      <c r="B764" s="313">
        <v>290.73998999999998</v>
      </c>
      <c r="C764" s="313">
        <v>237.83999600000001</v>
      </c>
      <c r="D764" s="345">
        <f t="shared" ref="D764:E764" si="773">B764/B763-1</f>
        <v>-5.8472283461559194E-3</v>
      </c>
      <c r="E764" s="345">
        <f t="shared" si="773"/>
        <v>3.3233389519671697E-2</v>
      </c>
      <c r="F764" s="313"/>
      <c r="G764" s="313"/>
      <c r="H764" s="313"/>
      <c r="I764" s="313"/>
      <c r="J764" s="313"/>
      <c r="K764" s="313"/>
      <c r="L764" s="313"/>
      <c r="M764" s="313"/>
      <c r="N764" s="313"/>
      <c r="O764" s="313"/>
      <c r="P764" s="313"/>
      <c r="Q764" s="313"/>
      <c r="R764" s="313"/>
      <c r="S764" s="313"/>
      <c r="T764" s="313"/>
      <c r="U764" s="313"/>
      <c r="V764" s="313"/>
      <c r="W764" s="313"/>
      <c r="X764" s="313"/>
      <c r="Y764" s="313"/>
      <c r="Z764" s="313"/>
      <c r="AA764" s="313"/>
    </row>
    <row r="765" spans="1:27" ht="14.25" customHeight="1" x14ac:dyDescent="0.2">
      <c r="A765" s="346">
        <v>43712</v>
      </c>
      <c r="B765" s="313">
        <v>294.040009</v>
      </c>
      <c r="C765" s="313">
        <v>241.070007</v>
      </c>
      <c r="D765" s="345">
        <f t="shared" ref="D765:E765" si="774">B765/B764-1</f>
        <v>1.1350413130302606E-2</v>
      </c>
      <c r="E765" s="345">
        <f t="shared" si="774"/>
        <v>1.3580604836539001E-2</v>
      </c>
      <c r="F765" s="313"/>
      <c r="G765" s="313"/>
      <c r="H765" s="313"/>
      <c r="I765" s="313"/>
      <c r="J765" s="313"/>
      <c r="K765" s="313"/>
      <c r="L765" s="313"/>
      <c r="M765" s="313"/>
      <c r="N765" s="313"/>
      <c r="O765" s="313"/>
      <c r="P765" s="313"/>
      <c r="Q765" s="313"/>
      <c r="R765" s="313"/>
      <c r="S765" s="313"/>
      <c r="T765" s="313"/>
      <c r="U765" s="313"/>
      <c r="V765" s="313"/>
      <c r="W765" s="313"/>
      <c r="X765" s="313"/>
      <c r="Y765" s="313"/>
      <c r="Z765" s="313"/>
      <c r="AA765" s="313"/>
    </row>
    <row r="766" spans="1:27" ht="14.25" customHeight="1" x14ac:dyDescent="0.2">
      <c r="A766" s="346">
        <v>43713</v>
      </c>
      <c r="B766" s="313">
        <v>297.82000699999998</v>
      </c>
      <c r="C766" s="313">
        <v>235.75</v>
      </c>
      <c r="D766" s="345">
        <f t="shared" ref="D766:E766" si="775">B766/B765-1</f>
        <v>1.285538662869512E-2</v>
      </c>
      <c r="E766" s="345">
        <f t="shared" si="775"/>
        <v>-2.2068307319541458E-2</v>
      </c>
      <c r="F766" s="313"/>
      <c r="G766" s="313"/>
      <c r="H766" s="313"/>
      <c r="I766" s="313"/>
      <c r="J766" s="313"/>
      <c r="K766" s="313"/>
      <c r="L766" s="313"/>
      <c r="M766" s="313"/>
      <c r="N766" s="313"/>
      <c r="O766" s="313"/>
      <c r="P766" s="313"/>
      <c r="Q766" s="313"/>
      <c r="R766" s="313"/>
      <c r="S766" s="313"/>
      <c r="T766" s="313"/>
      <c r="U766" s="313"/>
      <c r="V766" s="313"/>
      <c r="W766" s="313"/>
      <c r="X766" s="313"/>
      <c r="Y766" s="313"/>
      <c r="Z766" s="313"/>
      <c r="AA766" s="313"/>
    </row>
    <row r="767" spans="1:27" ht="14.25" customHeight="1" x14ac:dyDescent="0.2">
      <c r="A767" s="346">
        <v>43714</v>
      </c>
      <c r="B767" s="313">
        <v>298.04998799999998</v>
      </c>
      <c r="C767" s="313">
        <v>232.58999600000001</v>
      </c>
      <c r="D767" s="345">
        <f t="shared" ref="D767:E767" si="776">B767/B766-1</f>
        <v>7.7221474244337784E-4</v>
      </c>
      <c r="E767" s="345">
        <f t="shared" si="776"/>
        <v>-1.3404046659596935E-2</v>
      </c>
      <c r="F767" s="313"/>
      <c r="G767" s="313"/>
      <c r="H767" s="313"/>
      <c r="I767" s="313"/>
      <c r="J767" s="313"/>
      <c r="K767" s="313"/>
      <c r="L767" s="313"/>
      <c r="M767" s="313"/>
      <c r="N767" s="313"/>
      <c r="O767" s="313"/>
      <c r="P767" s="313"/>
      <c r="Q767" s="313"/>
      <c r="R767" s="313"/>
      <c r="S767" s="313"/>
      <c r="T767" s="313"/>
      <c r="U767" s="313"/>
      <c r="V767" s="313"/>
      <c r="W767" s="313"/>
      <c r="X767" s="313"/>
      <c r="Y767" s="313"/>
      <c r="Z767" s="313"/>
      <c r="AA767" s="313"/>
    </row>
    <row r="768" spans="1:27" ht="14.25" customHeight="1" x14ac:dyDescent="0.2">
      <c r="A768" s="346">
        <v>43717</v>
      </c>
      <c r="B768" s="313">
        <v>298.20001200000002</v>
      </c>
      <c r="C768" s="313">
        <v>224</v>
      </c>
      <c r="D768" s="345">
        <f t="shared" ref="D768:E768" si="777">B768/B767-1</f>
        <v>5.0335180687888226E-4</v>
      </c>
      <c r="E768" s="345">
        <f t="shared" si="777"/>
        <v>-3.6931923761673757E-2</v>
      </c>
      <c r="F768" s="313"/>
      <c r="G768" s="313"/>
      <c r="H768" s="313"/>
      <c r="I768" s="313"/>
      <c r="J768" s="313"/>
      <c r="K768" s="313"/>
      <c r="L768" s="313"/>
      <c r="M768" s="313"/>
      <c r="N768" s="313"/>
      <c r="O768" s="313"/>
      <c r="P768" s="313"/>
      <c r="Q768" s="313"/>
      <c r="R768" s="313"/>
      <c r="S768" s="313"/>
      <c r="T768" s="313"/>
      <c r="U768" s="313"/>
      <c r="V768" s="313"/>
      <c r="W768" s="313"/>
      <c r="X768" s="313"/>
      <c r="Y768" s="313"/>
      <c r="Z768" s="313"/>
      <c r="AA768" s="313"/>
    </row>
    <row r="769" spans="1:27" ht="14.25" customHeight="1" x14ac:dyDescent="0.2">
      <c r="A769" s="346">
        <v>43718</v>
      </c>
      <c r="B769" s="313">
        <v>298.13000499999998</v>
      </c>
      <c r="C769" s="313">
        <v>216.21000699999999</v>
      </c>
      <c r="D769" s="345">
        <f t="shared" ref="D769:E769" si="778">B769/B768-1</f>
        <v>-2.3476524876875349E-4</v>
      </c>
      <c r="E769" s="345">
        <f t="shared" si="778"/>
        <v>-3.4776754464285742E-2</v>
      </c>
      <c r="F769" s="313"/>
      <c r="G769" s="313"/>
      <c r="H769" s="313"/>
      <c r="I769" s="313"/>
      <c r="J769" s="313"/>
      <c r="K769" s="313"/>
      <c r="L769" s="313"/>
      <c r="M769" s="313"/>
      <c r="N769" s="313"/>
      <c r="O769" s="313"/>
      <c r="P769" s="313"/>
      <c r="Q769" s="313"/>
      <c r="R769" s="313"/>
      <c r="S769" s="313"/>
      <c r="T769" s="313"/>
      <c r="U769" s="313"/>
      <c r="V769" s="313"/>
      <c r="W769" s="313"/>
      <c r="X769" s="313"/>
      <c r="Y769" s="313"/>
      <c r="Z769" s="313"/>
      <c r="AA769" s="313"/>
    </row>
    <row r="770" spans="1:27" ht="14.25" customHeight="1" x14ac:dyDescent="0.2">
      <c r="A770" s="346">
        <v>43719</v>
      </c>
      <c r="B770" s="313">
        <v>300.25</v>
      </c>
      <c r="C770" s="313">
        <v>212.699997</v>
      </c>
      <c r="D770" s="345">
        <f t="shared" ref="D770:E770" si="779">B770/B769-1</f>
        <v>7.1109749587265902E-3</v>
      </c>
      <c r="E770" s="345">
        <f t="shared" si="779"/>
        <v>-1.6234262459461468E-2</v>
      </c>
      <c r="F770" s="313"/>
      <c r="G770" s="313"/>
      <c r="H770" s="313"/>
      <c r="I770" s="313"/>
      <c r="J770" s="313"/>
      <c r="K770" s="313"/>
      <c r="L770" s="313"/>
      <c r="M770" s="313"/>
      <c r="N770" s="313"/>
      <c r="O770" s="313"/>
      <c r="P770" s="313"/>
      <c r="Q770" s="313"/>
      <c r="R770" s="313"/>
      <c r="S770" s="313"/>
      <c r="T770" s="313"/>
      <c r="U770" s="313"/>
      <c r="V770" s="313"/>
      <c r="W770" s="313"/>
      <c r="X770" s="313"/>
      <c r="Y770" s="313"/>
      <c r="Z770" s="313"/>
      <c r="AA770" s="313"/>
    </row>
    <row r="771" spans="1:27" ht="14.25" customHeight="1" x14ac:dyDescent="0.2">
      <c r="A771" s="346">
        <v>43720</v>
      </c>
      <c r="B771" s="313">
        <v>301.290009</v>
      </c>
      <c r="C771" s="313">
        <v>218.85000600000001</v>
      </c>
      <c r="D771" s="345">
        <f t="shared" ref="D771:E771" si="780">B771/B770-1</f>
        <v>3.463810158201408E-3</v>
      </c>
      <c r="E771" s="345">
        <f t="shared" si="780"/>
        <v>2.8914006049562957E-2</v>
      </c>
      <c r="F771" s="313"/>
      <c r="G771" s="313"/>
      <c r="H771" s="313"/>
      <c r="I771" s="313"/>
      <c r="J771" s="313"/>
      <c r="K771" s="313"/>
      <c r="L771" s="313"/>
      <c r="M771" s="313"/>
      <c r="N771" s="313"/>
      <c r="O771" s="313"/>
      <c r="P771" s="313"/>
      <c r="Q771" s="313"/>
      <c r="R771" s="313"/>
      <c r="S771" s="313"/>
      <c r="T771" s="313"/>
      <c r="U771" s="313"/>
      <c r="V771" s="313"/>
      <c r="W771" s="313"/>
      <c r="X771" s="313"/>
      <c r="Y771" s="313"/>
      <c r="Z771" s="313"/>
      <c r="AA771" s="313"/>
    </row>
    <row r="772" spans="1:27" ht="14.25" customHeight="1" x14ac:dyDescent="0.2">
      <c r="A772" s="346">
        <v>43721</v>
      </c>
      <c r="B772" s="313">
        <v>301.08999599999999</v>
      </c>
      <c r="C772" s="313">
        <v>215.36999499999999</v>
      </c>
      <c r="D772" s="345">
        <f t="shared" ref="D772:E772" si="781">B772/B771-1</f>
        <v>-6.63855401856428E-4</v>
      </c>
      <c r="E772" s="345">
        <f t="shared" si="781"/>
        <v>-1.5901352088608212E-2</v>
      </c>
      <c r="F772" s="313"/>
      <c r="G772" s="313"/>
      <c r="H772" s="313"/>
      <c r="I772" s="313"/>
      <c r="J772" s="313"/>
      <c r="K772" s="313"/>
      <c r="L772" s="313"/>
      <c r="M772" s="313"/>
      <c r="N772" s="313"/>
      <c r="O772" s="313"/>
      <c r="P772" s="313"/>
      <c r="Q772" s="313"/>
      <c r="R772" s="313"/>
      <c r="S772" s="313"/>
      <c r="T772" s="313"/>
      <c r="U772" s="313"/>
      <c r="V772" s="313"/>
      <c r="W772" s="313"/>
      <c r="X772" s="313"/>
      <c r="Y772" s="313"/>
      <c r="Z772" s="313"/>
      <c r="AA772" s="313"/>
    </row>
    <row r="773" spans="1:27" ht="14.25" customHeight="1" x14ac:dyDescent="0.2">
      <c r="A773" s="346">
        <v>43724</v>
      </c>
      <c r="B773" s="313">
        <v>300.16000400000001</v>
      </c>
      <c r="C773" s="313">
        <v>216.770004</v>
      </c>
      <c r="D773" s="345">
        <f t="shared" ref="D773:E773" si="782">B773/B772-1</f>
        <v>-3.0887509128665336E-3</v>
      </c>
      <c r="E773" s="345">
        <f t="shared" si="782"/>
        <v>6.5004830408248448E-3</v>
      </c>
      <c r="F773" s="313"/>
      <c r="G773" s="313"/>
      <c r="H773" s="313"/>
      <c r="I773" s="313"/>
      <c r="J773" s="313"/>
      <c r="K773" s="313"/>
      <c r="L773" s="313"/>
      <c r="M773" s="313"/>
      <c r="N773" s="313"/>
      <c r="O773" s="313"/>
      <c r="P773" s="313"/>
      <c r="Q773" s="313"/>
      <c r="R773" s="313"/>
      <c r="S773" s="313"/>
      <c r="T773" s="313"/>
      <c r="U773" s="313"/>
      <c r="V773" s="313"/>
      <c r="W773" s="313"/>
      <c r="X773" s="313"/>
      <c r="Y773" s="313"/>
      <c r="Z773" s="313"/>
      <c r="AA773" s="313"/>
    </row>
    <row r="774" spans="1:27" ht="14.25" customHeight="1" x14ac:dyDescent="0.2">
      <c r="A774" s="346">
        <v>43725</v>
      </c>
      <c r="B774" s="313">
        <v>300.92001299999998</v>
      </c>
      <c r="C774" s="313">
        <v>221.300003</v>
      </c>
      <c r="D774" s="345">
        <f t="shared" ref="D774:E774" si="783">B774/B773-1</f>
        <v>2.5320128926968888E-3</v>
      </c>
      <c r="E774" s="345">
        <f t="shared" si="783"/>
        <v>2.0897720701246181E-2</v>
      </c>
      <c r="F774" s="313"/>
      <c r="G774" s="313"/>
      <c r="H774" s="313"/>
      <c r="I774" s="313"/>
      <c r="J774" s="313"/>
      <c r="K774" s="313"/>
      <c r="L774" s="313"/>
      <c r="M774" s="313"/>
      <c r="N774" s="313"/>
      <c r="O774" s="313"/>
      <c r="P774" s="313"/>
      <c r="Q774" s="313"/>
      <c r="R774" s="313"/>
      <c r="S774" s="313"/>
      <c r="T774" s="313"/>
      <c r="U774" s="313"/>
      <c r="V774" s="313"/>
      <c r="W774" s="313"/>
      <c r="X774" s="313"/>
      <c r="Y774" s="313"/>
      <c r="Z774" s="313"/>
      <c r="AA774" s="313"/>
    </row>
    <row r="775" spans="1:27" ht="14.25" customHeight="1" x14ac:dyDescent="0.2">
      <c r="A775" s="346">
        <v>43726</v>
      </c>
      <c r="B775" s="313">
        <v>301.10000600000001</v>
      </c>
      <c r="C775" s="313">
        <v>221.61000100000001</v>
      </c>
      <c r="D775" s="345">
        <f t="shared" ref="D775:E775" si="784">B775/B774-1</f>
        <v>5.9814233757871094E-4</v>
      </c>
      <c r="E775" s="345">
        <f t="shared" si="784"/>
        <v>1.4008043190130159E-3</v>
      </c>
      <c r="F775" s="313"/>
      <c r="G775" s="313"/>
      <c r="H775" s="313"/>
      <c r="I775" s="313"/>
      <c r="J775" s="313"/>
      <c r="K775" s="313"/>
      <c r="L775" s="313"/>
      <c r="M775" s="313"/>
      <c r="N775" s="313"/>
      <c r="O775" s="313"/>
      <c r="P775" s="313"/>
      <c r="Q775" s="313"/>
      <c r="R775" s="313"/>
      <c r="S775" s="313"/>
      <c r="T775" s="313"/>
      <c r="U775" s="313"/>
      <c r="V775" s="313"/>
      <c r="W775" s="313"/>
      <c r="X775" s="313"/>
      <c r="Y775" s="313"/>
      <c r="Z775" s="313"/>
      <c r="AA775" s="313"/>
    </row>
    <row r="776" spans="1:27" ht="14.25" customHeight="1" x14ac:dyDescent="0.2">
      <c r="A776" s="346">
        <v>43727</v>
      </c>
      <c r="B776" s="313">
        <v>301.07998700000002</v>
      </c>
      <c r="C776" s="313">
        <v>227.070007</v>
      </c>
      <c r="D776" s="345">
        <f t="shared" ref="D776:E776" si="785">B776/B775-1</f>
        <v>-6.6486215878680532E-5</v>
      </c>
      <c r="E776" s="345">
        <f t="shared" si="785"/>
        <v>2.4637904315518711E-2</v>
      </c>
      <c r="F776" s="313"/>
      <c r="G776" s="313"/>
      <c r="H776" s="313"/>
      <c r="I776" s="313"/>
      <c r="J776" s="313"/>
      <c r="K776" s="313"/>
      <c r="L776" s="313"/>
      <c r="M776" s="313"/>
      <c r="N776" s="313"/>
      <c r="O776" s="313"/>
      <c r="P776" s="313"/>
      <c r="Q776" s="313"/>
      <c r="R776" s="313"/>
      <c r="S776" s="313"/>
      <c r="T776" s="313"/>
      <c r="U776" s="313"/>
      <c r="V776" s="313"/>
      <c r="W776" s="313"/>
      <c r="X776" s="313"/>
      <c r="Y776" s="313"/>
      <c r="Z776" s="313"/>
      <c r="AA776" s="313"/>
    </row>
    <row r="777" spans="1:27" ht="14.25" customHeight="1" x14ac:dyDescent="0.2">
      <c r="A777" s="346">
        <v>43728</v>
      </c>
      <c r="B777" s="313">
        <v>298.27999899999998</v>
      </c>
      <c r="C777" s="313">
        <v>225.55999800000001</v>
      </c>
      <c r="D777" s="345">
        <f t="shared" ref="D777:E777" si="786">B777/B776-1</f>
        <v>-9.2998144044693642E-3</v>
      </c>
      <c r="E777" s="345">
        <f t="shared" si="786"/>
        <v>-6.6499711694640862E-3</v>
      </c>
      <c r="F777" s="313"/>
      <c r="G777" s="313"/>
      <c r="H777" s="313"/>
      <c r="I777" s="313"/>
      <c r="J777" s="313"/>
      <c r="K777" s="313"/>
      <c r="L777" s="313"/>
      <c r="M777" s="313"/>
      <c r="N777" s="313"/>
      <c r="O777" s="313"/>
      <c r="P777" s="313"/>
      <c r="Q777" s="313"/>
      <c r="R777" s="313"/>
      <c r="S777" s="313"/>
      <c r="T777" s="313"/>
      <c r="U777" s="313"/>
      <c r="V777" s="313"/>
      <c r="W777" s="313"/>
      <c r="X777" s="313"/>
      <c r="Y777" s="313"/>
      <c r="Z777" s="313"/>
      <c r="AA777" s="313"/>
    </row>
    <row r="778" spans="1:27" ht="14.25" customHeight="1" x14ac:dyDescent="0.2">
      <c r="A778" s="346">
        <v>43731</v>
      </c>
      <c r="B778" s="313">
        <v>298.209991</v>
      </c>
      <c r="C778" s="313">
        <v>225.38000500000001</v>
      </c>
      <c r="D778" s="345">
        <f t="shared" ref="D778:E778" si="787">B778/B777-1</f>
        <v>-2.3470564648875314E-4</v>
      </c>
      <c r="E778" s="345">
        <f t="shared" si="787"/>
        <v>-7.9798280544407518E-4</v>
      </c>
      <c r="F778" s="313"/>
      <c r="G778" s="313"/>
      <c r="H778" s="313"/>
      <c r="I778" s="313"/>
      <c r="J778" s="313"/>
      <c r="K778" s="313"/>
      <c r="L778" s="313"/>
      <c r="M778" s="313"/>
      <c r="N778" s="313"/>
      <c r="O778" s="313"/>
      <c r="P778" s="313"/>
      <c r="Q778" s="313"/>
      <c r="R778" s="313"/>
      <c r="S778" s="313"/>
      <c r="T778" s="313"/>
      <c r="U778" s="313"/>
      <c r="V778" s="313"/>
      <c r="W778" s="313"/>
      <c r="X778" s="313"/>
      <c r="Y778" s="313"/>
      <c r="Z778" s="313"/>
      <c r="AA778" s="313"/>
    </row>
    <row r="779" spans="1:27" ht="14.25" customHeight="1" x14ac:dyDescent="0.2">
      <c r="A779" s="346">
        <v>43732</v>
      </c>
      <c r="B779" s="313">
        <v>295.86999500000002</v>
      </c>
      <c r="C779" s="313">
        <v>225.16000399999999</v>
      </c>
      <c r="D779" s="345">
        <f t="shared" ref="D779:E779" si="788">B779/B778-1</f>
        <v>-7.8468061789385146E-3</v>
      </c>
      <c r="E779" s="345">
        <f t="shared" si="788"/>
        <v>-9.7613361930670717E-4</v>
      </c>
      <c r="F779" s="313"/>
      <c r="G779" s="313"/>
      <c r="H779" s="313"/>
      <c r="I779" s="313"/>
      <c r="J779" s="313"/>
      <c r="K779" s="313"/>
      <c r="L779" s="313"/>
      <c r="M779" s="313"/>
      <c r="N779" s="313"/>
      <c r="O779" s="313"/>
      <c r="P779" s="313"/>
      <c r="Q779" s="313"/>
      <c r="R779" s="313"/>
      <c r="S779" s="313"/>
      <c r="T779" s="313"/>
      <c r="U779" s="313"/>
      <c r="V779" s="313"/>
      <c r="W779" s="313"/>
      <c r="X779" s="313"/>
      <c r="Y779" s="313"/>
      <c r="Z779" s="313"/>
      <c r="AA779" s="313"/>
    </row>
    <row r="780" spans="1:27" ht="14.25" customHeight="1" x14ac:dyDescent="0.2">
      <c r="A780" s="346">
        <v>43733</v>
      </c>
      <c r="B780" s="313">
        <v>297.61999500000002</v>
      </c>
      <c r="C780" s="313">
        <v>222.03999300000001</v>
      </c>
      <c r="D780" s="345">
        <f t="shared" ref="D780:E780" si="789">B780/B779-1</f>
        <v>5.9147599607050072E-3</v>
      </c>
      <c r="E780" s="345">
        <f t="shared" si="789"/>
        <v>-1.3856861541004295E-2</v>
      </c>
      <c r="F780" s="313"/>
      <c r="G780" s="313"/>
      <c r="H780" s="313"/>
      <c r="I780" s="313"/>
      <c r="J780" s="313"/>
      <c r="K780" s="313"/>
      <c r="L780" s="313"/>
      <c r="M780" s="313"/>
      <c r="N780" s="313"/>
      <c r="O780" s="313"/>
      <c r="P780" s="313"/>
      <c r="Q780" s="313"/>
      <c r="R780" s="313"/>
      <c r="S780" s="313"/>
      <c r="T780" s="313"/>
      <c r="U780" s="313"/>
      <c r="V780" s="313"/>
      <c r="W780" s="313"/>
      <c r="X780" s="313"/>
      <c r="Y780" s="313"/>
      <c r="Z780" s="313"/>
      <c r="AA780" s="313"/>
    </row>
    <row r="781" spans="1:27" ht="14.25" customHeight="1" x14ac:dyDescent="0.2">
      <c r="A781" s="346">
        <v>43734</v>
      </c>
      <c r="B781" s="313">
        <v>297</v>
      </c>
      <c r="C781" s="313">
        <v>223</v>
      </c>
      <c r="D781" s="345">
        <f t="shared" ref="D781:E781" si="790">B781/B780-1</f>
        <v>-2.08317656883239E-3</v>
      </c>
      <c r="E781" s="345">
        <f t="shared" si="790"/>
        <v>4.3235769693075188E-3</v>
      </c>
      <c r="F781" s="313"/>
      <c r="G781" s="313"/>
      <c r="H781" s="313"/>
      <c r="I781" s="313"/>
      <c r="J781" s="313"/>
      <c r="K781" s="313"/>
      <c r="L781" s="313"/>
      <c r="M781" s="313"/>
      <c r="N781" s="313"/>
      <c r="O781" s="313"/>
      <c r="P781" s="313"/>
      <c r="Q781" s="313"/>
      <c r="R781" s="313"/>
      <c r="S781" s="313"/>
      <c r="T781" s="313"/>
      <c r="U781" s="313"/>
      <c r="V781" s="313"/>
      <c r="W781" s="313"/>
      <c r="X781" s="313"/>
      <c r="Y781" s="313"/>
      <c r="Z781" s="313"/>
      <c r="AA781" s="313"/>
    </row>
    <row r="782" spans="1:27" ht="14.25" customHeight="1" x14ac:dyDescent="0.2">
      <c r="A782" s="346">
        <v>43735</v>
      </c>
      <c r="B782" s="313">
        <v>295.39999399999999</v>
      </c>
      <c r="C782" s="313">
        <v>218.979996</v>
      </c>
      <c r="D782" s="345">
        <f t="shared" ref="D782:E782" si="791">B782/B781-1</f>
        <v>-5.3872255892256637E-3</v>
      </c>
      <c r="E782" s="345">
        <f t="shared" si="791"/>
        <v>-1.8026923766816139E-2</v>
      </c>
      <c r="F782" s="313"/>
      <c r="G782" s="313"/>
      <c r="H782" s="313"/>
      <c r="I782" s="313"/>
      <c r="J782" s="313"/>
      <c r="K782" s="313"/>
      <c r="L782" s="313"/>
      <c r="M782" s="313"/>
      <c r="N782" s="313"/>
      <c r="O782" s="313"/>
      <c r="P782" s="313"/>
      <c r="Q782" s="313"/>
      <c r="R782" s="313"/>
      <c r="S782" s="313"/>
      <c r="T782" s="313"/>
      <c r="U782" s="313"/>
      <c r="V782" s="313"/>
      <c r="W782" s="313"/>
      <c r="X782" s="313"/>
      <c r="Y782" s="313"/>
      <c r="Z782" s="313"/>
      <c r="AA782" s="313"/>
    </row>
    <row r="783" spans="1:27" ht="14.25" customHeight="1" x14ac:dyDescent="0.2">
      <c r="A783" s="346">
        <v>43738</v>
      </c>
      <c r="B783" s="313">
        <v>296.76998900000001</v>
      </c>
      <c r="C783" s="313">
        <v>221.13000500000001</v>
      </c>
      <c r="D783" s="345">
        <f t="shared" ref="D783:E783" si="792">B783/B782-1</f>
        <v>4.6377624503268766E-3</v>
      </c>
      <c r="E783" s="345">
        <f t="shared" si="792"/>
        <v>9.818289520838297E-3</v>
      </c>
      <c r="F783" s="313"/>
      <c r="G783" s="313"/>
      <c r="H783" s="313"/>
      <c r="I783" s="313"/>
      <c r="J783" s="313"/>
      <c r="K783" s="313"/>
      <c r="L783" s="313"/>
      <c r="M783" s="313"/>
      <c r="N783" s="313"/>
      <c r="O783" s="313"/>
      <c r="P783" s="313"/>
      <c r="Q783" s="313"/>
      <c r="R783" s="313"/>
      <c r="S783" s="313"/>
      <c r="T783" s="313"/>
      <c r="U783" s="313"/>
      <c r="V783" s="313"/>
      <c r="W783" s="313"/>
      <c r="X783" s="313"/>
      <c r="Y783" s="313"/>
      <c r="Z783" s="313"/>
      <c r="AA783" s="313"/>
    </row>
    <row r="784" spans="1:27" ht="14.25" customHeight="1" x14ac:dyDescent="0.2">
      <c r="A784" s="346">
        <v>43739</v>
      </c>
      <c r="B784" s="313">
        <v>293.23998999999998</v>
      </c>
      <c r="C784" s="313">
        <v>220.88999899999999</v>
      </c>
      <c r="D784" s="345">
        <f t="shared" ref="D784:E784" si="793">B784/B783-1</f>
        <v>-1.1894730366418638E-2</v>
      </c>
      <c r="E784" s="345">
        <f t="shared" si="793"/>
        <v>-1.0853615274870609E-3</v>
      </c>
      <c r="F784" s="313"/>
      <c r="G784" s="313"/>
      <c r="H784" s="313"/>
      <c r="I784" s="313"/>
      <c r="J784" s="313"/>
      <c r="K784" s="313"/>
      <c r="L784" s="313"/>
      <c r="M784" s="313"/>
      <c r="N784" s="313"/>
      <c r="O784" s="313"/>
      <c r="P784" s="313"/>
      <c r="Q784" s="313"/>
      <c r="R784" s="313"/>
      <c r="S784" s="313"/>
      <c r="T784" s="313"/>
      <c r="U784" s="313"/>
      <c r="V784" s="313"/>
      <c r="W784" s="313"/>
      <c r="X784" s="313"/>
      <c r="Y784" s="313"/>
      <c r="Z784" s="313"/>
      <c r="AA784" s="313"/>
    </row>
    <row r="785" spans="1:27" ht="14.25" customHeight="1" x14ac:dyDescent="0.2">
      <c r="A785" s="346">
        <v>43740</v>
      </c>
      <c r="B785" s="313">
        <v>288.05999800000001</v>
      </c>
      <c r="C785" s="313">
        <v>219.990005</v>
      </c>
      <c r="D785" s="345">
        <f t="shared" ref="D785:E785" si="794">B785/B784-1</f>
        <v>-1.7664684820102416E-2</v>
      </c>
      <c r="E785" s="345">
        <f t="shared" si="794"/>
        <v>-4.0743990405830433E-3</v>
      </c>
      <c r="F785" s="313"/>
      <c r="G785" s="313"/>
      <c r="H785" s="313"/>
      <c r="I785" s="313"/>
      <c r="J785" s="313"/>
      <c r="K785" s="313"/>
      <c r="L785" s="313"/>
      <c r="M785" s="313"/>
      <c r="N785" s="313"/>
      <c r="O785" s="313"/>
      <c r="P785" s="313"/>
      <c r="Q785" s="313"/>
      <c r="R785" s="313"/>
      <c r="S785" s="313"/>
      <c r="T785" s="313"/>
      <c r="U785" s="313"/>
      <c r="V785" s="313"/>
      <c r="W785" s="313"/>
      <c r="X785" s="313"/>
      <c r="Y785" s="313"/>
      <c r="Z785" s="313"/>
      <c r="AA785" s="313"/>
    </row>
    <row r="786" spans="1:27" ht="14.25" customHeight="1" x14ac:dyDescent="0.2">
      <c r="A786" s="346">
        <v>43741</v>
      </c>
      <c r="B786" s="313">
        <v>290.42001299999998</v>
      </c>
      <c r="C786" s="313">
        <v>223.89999399999999</v>
      </c>
      <c r="D786" s="345">
        <f t="shared" ref="D786:E786" si="795">B786/B785-1</f>
        <v>8.1927897534734839E-3</v>
      </c>
      <c r="E786" s="345">
        <f t="shared" si="795"/>
        <v>1.777348475445506E-2</v>
      </c>
      <c r="F786" s="313"/>
      <c r="G786" s="313"/>
      <c r="H786" s="313"/>
      <c r="I786" s="313"/>
      <c r="J786" s="313"/>
      <c r="K786" s="313"/>
      <c r="L786" s="313"/>
      <c r="M786" s="313"/>
      <c r="N786" s="313"/>
      <c r="O786" s="313"/>
      <c r="P786" s="313"/>
      <c r="Q786" s="313"/>
      <c r="R786" s="313"/>
      <c r="S786" s="313"/>
      <c r="T786" s="313"/>
      <c r="U786" s="313"/>
      <c r="V786" s="313"/>
      <c r="W786" s="313"/>
      <c r="X786" s="313"/>
      <c r="Y786" s="313"/>
      <c r="Z786" s="313"/>
      <c r="AA786" s="313"/>
    </row>
    <row r="787" spans="1:27" ht="14.25" customHeight="1" x14ac:dyDescent="0.2">
      <c r="A787" s="346">
        <v>43742</v>
      </c>
      <c r="B787" s="313">
        <v>294.35000600000001</v>
      </c>
      <c r="C787" s="313">
        <v>225.929993</v>
      </c>
      <c r="D787" s="345">
        <f t="shared" ref="D787:E787" si="796">B787/B786-1</f>
        <v>1.3532101177889722E-2</v>
      </c>
      <c r="E787" s="345">
        <f t="shared" si="796"/>
        <v>9.0665433425602959E-3</v>
      </c>
      <c r="F787" s="313"/>
      <c r="G787" s="313"/>
      <c r="H787" s="313"/>
      <c r="I787" s="313"/>
      <c r="J787" s="313"/>
      <c r="K787" s="313"/>
      <c r="L787" s="313"/>
      <c r="M787" s="313"/>
      <c r="N787" s="313"/>
      <c r="O787" s="313"/>
      <c r="P787" s="313"/>
      <c r="Q787" s="313"/>
      <c r="R787" s="313"/>
      <c r="S787" s="313"/>
      <c r="T787" s="313"/>
      <c r="U787" s="313"/>
      <c r="V787" s="313"/>
      <c r="W787" s="313"/>
      <c r="X787" s="313"/>
      <c r="Y787" s="313"/>
      <c r="Z787" s="313"/>
      <c r="AA787" s="313"/>
    </row>
    <row r="788" spans="1:27" ht="14.25" customHeight="1" x14ac:dyDescent="0.2">
      <c r="A788" s="346">
        <v>43745</v>
      </c>
      <c r="B788" s="313">
        <v>293.07998700000002</v>
      </c>
      <c r="C788" s="313">
        <v>225.279999</v>
      </c>
      <c r="D788" s="345">
        <f t="shared" ref="D788:E788" si="797">B788/B787-1</f>
        <v>-4.314655933793321E-3</v>
      </c>
      <c r="E788" s="345">
        <f t="shared" si="797"/>
        <v>-2.876970832287773E-3</v>
      </c>
      <c r="F788" s="313"/>
      <c r="G788" s="313"/>
      <c r="H788" s="313"/>
      <c r="I788" s="313"/>
      <c r="J788" s="313"/>
      <c r="K788" s="313"/>
      <c r="L788" s="313"/>
      <c r="M788" s="313"/>
      <c r="N788" s="313"/>
      <c r="O788" s="313"/>
      <c r="P788" s="313"/>
      <c r="Q788" s="313"/>
      <c r="R788" s="313"/>
      <c r="S788" s="313"/>
      <c r="T788" s="313"/>
      <c r="U788" s="313"/>
      <c r="V788" s="313"/>
      <c r="W788" s="313"/>
      <c r="X788" s="313"/>
      <c r="Y788" s="313"/>
      <c r="Z788" s="313"/>
      <c r="AA788" s="313"/>
    </row>
    <row r="789" spans="1:27" ht="14.25" customHeight="1" x14ac:dyDescent="0.2">
      <c r="A789" s="346">
        <v>43746</v>
      </c>
      <c r="B789" s="313">
        <v>288.52999899999998</v>
      </c>
      <c r="C789" s="313">
        <v>226.10000600000001</v>
      </c>
      <c r="D789" s="345">
        <f t="shared" ref="D789:E789" si="798">B789/B788-1</f>
        <v>-1.5524731137646852E-2</v>
      </c>
      <c r="E789" s="345">
        <f t="shared" si="798"/>
        <v>3.6399458613278757E-3</v>
      </c>
      <c r="F789" s="313"/>
      <c r="G789" s="313"/>
      <c r="H789" s="313"/>
      <c r="I789" s="313"/>
      <c r="J789" s="313"/>
      <c r="K789" s="313"/>
      <c r="L789" s="313"/>
      <c r="M789" s="313"/>
      <c r="N789" s="313"/>
      <c r="O789" s="313"/>
      <c r="P789" s="313"/>
      <c r="Q789" s="313"/>
      <c r="R789" s="313"/>
      <c r="S789" s="313"/>
      <c r="T789" s="313"/>
      <c r="U789" s="313"/>
      <c r="V789" s="313"/>
      <c r="W789" s="313"/>
      <c r="X789" s="313"/>
      <c r="Y789" s="313"/>
      <c r="Z789" s="313"/>
      <c r="AA789" s="313"/>
    </row>
    <row r="790" spans="1:27" ht="14.25" customHeight="1" x14ac:dyDescent="0.2">
      <c r="A790" s="346">
        <v>43747</v>
      </c>
      <c r="B790" s="313">
        <v>291.26998900000001</v>
      </c>
      <c r="C790" s="313">
        <v>226.570007</v>
      </c>
      <c r="D790" s="345">
        <f t="shared" ref="D790:E790" si="799">B790/B789-1</f>
        <v>9.4963782258219442E-3</v>
      </c>
      <c r="E790" s="345">
        <f t="shared" si="799"/>
        <v>2.0787305949916401E-3</v>
      </c>
      <c r="F790" s="313"/>
      <c r="G790" s="313"/>
      <c r="H790" s="313"/>
      <c r="I790" s="313"/>
      <c r="J790" s="313"/>
      <c r="K790" s="313"/>
      <c r="L790" s="313"/>
      <c r="M790" s="313"/>
      <c r="N790" s="313"/>
      <c r="O790" s="313"/>
      <c r="P790" s="313"/>
      <c r="Q790" s="313"/>
      <c r="R790" s="313"/>
      <c r="S790" s="313"/>
      <c r="T790" s="313"/>
      <c r="U790" s="313"/>
      <c r="V790" s="313"/>
      <c r="W790" s="313"/>
      <c r="X790" s="313"/>
      <c r="Y790" s="313"/>
      <c r="Z790" s="313"/>
      <c r="AA790" s="313"/>
    </row>
    <row r="791" spans="1:27" ht="14.25" customHeight="1" x14ac:dyDescent="0.2">
      <c r="A791" s="346">
        <v>43748</v>
      </c>
      <c r="B791" s="313">
        <v>293.23998999999998</v>
      </c>
      <c r="C791" s="313">
        <v>226.279999</v>
      </c>
      <c r="D791" s="345">
        <f t="shared" ref="D791:E791" si="800">B791/B790-1</f>
        <v>6.7634877412652283E-3</v>
      </c>
      <c r="E791" s="345">
        <f t="shared" si="800"/>
        <v>-1.2799928986187981E-3</v>
      </c>
      <c r="F791" s="313"/>
      <c r="G791" s="313"/>
      <c r="H791" s="313"/>
      <c r="I791" s="313"/>
      <c r="J791" s="313"/>
      <c r="K791" s="313"/>
      <c r="L791" s="313"/>
      <c r="M791" s="313"/>
      <c r="N791" s="313"/>
      <c r="O791" s="313"/>
      <c r="P791" s="313"/>
      <c r="Q791" s="313"/>
      <c r="R791" s="313"/>
      <c r="S791" s="313"/>
      <c r="T791" s="313"/>
      <c r="U791" s="313"/>
      <c r="V791" s="313"/>
      <c r="W791" s="313"/>
      <c r="X791" s="313"/>
      <c r="Y791" s="313"/>
      <c r="Z791" s="313"/>
      <c r="AA791" s="313"/>
    </row>
    <row r="792" spans="1:27" ht="14.25" customHeight="1" x14ac:dyDescent="0.2">
      <c r="A792" s="346">
        <v>43749</v>
      </c>
      <c r="B792" s="313">
        <v>296.27999899999998</v>
      </c>
      <c r="C792" s="313">
        <v>224.449997</v>
      </c>
      <c r="D792" s="345">
        <f t="shared" ref="D792:E792" si="801">B792/B791-1</f>
        <v>1.0366965978958032E-2</v>
      </c>
      <c r="E792" s="345">
        <f t="shared" si="801"/>
        <v>-8.0873343118584851E-3</v>
      </c>
      <c r="F792" s="313"/>
      <c r="G792" s="313"/>
      <c r="H792" s="313"/>
      <c r="I792" s="313"/>
      <c r="J792" s="313"/>
      <c r="K792" s="313"/>
      <c r="L792" s="313"/>
      <c r="M792" s="313"/>
      <c r="N792" s="313"/>
      <c r="O792" s="313"/>
      <c r="P792" s="313"/>
      <c r="Q792" s="313"/>
      <c r="R792" s="313"/>
      <c r="S792" s="313"/>
      <c r="T792" s="313"/>
      <c r="U792" s="313"/>
      <c r="V792" s="313"/>
      <c r="W792" s="313"/>
      <c r="X792" s="313"/>
      <c r="Y792" s="313"/>
      <c r="Z792" s="313"/>
      <c r="AA792" s="313"/>
    </row>
    <row r="793" spans="1:27" ht="14.25" customHeight="1" x14ac:dyDescent="0.2">
      <c r="A793" s="346">
        <v>43752</v>
      </c>
      <c r="B793" s="313">
        <v>295.95001200000002</v>
      </c>
      <c r="C793" s="313">
        <v>225.63999899999999</v>
      </c>
      <c r="D793" s="345">
        <f t="shared" ref="D793:E793" si="802">B793/B792-1</f>
        <v>-1.1137673859650254E-3</v>
      </c>
      <c r="E793" s="345">
        <f t="shared" si="802"/>
        <v>5.3018579456696191E-3</v>
      </c>
      <c r="F793" s="313"/>
      <c r="G793" s="313"/>
      <c r="H793" s="313"/>
      <c r="I793" s="313"/>
      <c r="J793" s="313"/>
      <c r="K793" s="313"/>
      <c r="L793" s="313"/>
      <c r="M793" s="313"/>
      <c r="N793" s="313"/>
      <c r="O793" s="313"/>
      <c r="P793" s="313"/>
      <c r="Q793" s="313"/>
      <c r="R793" s="313"/>
      <c r="S793" s="313"/>
      <c r="T793" s="313"/>
      <c r="U793" s="313"/>
      <c r="V793" s="313"/>
      <c r="W793" s="313"/>
      <c r="X793" s="313"/>
      <c r="Y793" s="313"/>
      <c r="Z793" s="313"/>
      <c r="AA793" s="313"/>
    </row>
    <row r="794" spans="1:27" ht="14.25" customHeight="1" x14ac:dyDescent="0.2">
      <c r="A794" s="346">
        <v>43753</v>
      </c>
      <c r="B794" s="313">
        <v>298.88000499999998</v>
      </c>
      <c r="C794" s="313">
        <v>224.21000699999999</v>
      </c>
      <c r="D794" s="345">
        <f t="shared" ref="D794:E794" si="803">B794/B793-1</f>
        <v>9.900296946093512E-3</v>
      </c>
      <c r="E794" s="345">
        <f t="shared" si="803"/>
        <v>-6.3374933803292954E-3</v>
      </c>
      <c r="F794" s="313"/>
      <c r="G794" s="313"/>
      <c r="H794" s="313"/>
      <c r="I794" s="313"/>
      <c r="J794" s="313"/>
      <c r="K794" s="313"/>
      <c r="L794" s="313"/>
      <c r="M794" s="313"/>
      <c r="N794" s="313"/>
      <c r="O794" s="313"/>
      <c r="P794" s="313"/>
      <c r="Q794" s="313"/>
      <c r="R794" s="313"/>
      <c r="S794" s="313"/>
      <c r="T794" s="313"/>
      <c r="U794" s="313"/>
      <c r="V794" s="313"/>
      <c r="W794" s="313"/>
      <c r="X794" s="313"/>
      <c r="Y794" s="313"/>
      <c r="Z794" s="313"/>
      <c r="AA794" s="313"/>
    </row>
    <row r="795" spans="1:27" ht="14.25" customHeight="1" x14ac:dyDescent="0.2">
      <c r="A795" s="346">
        <v>43754</v>
      </c>
      <c r="B795" s="313">
        <v>298.39999399999999</v>
      </c>
      <c r="C795" s="313">
        <v>221.970001</v>
      </c>
      <c r="D795" s="345">
        <f t="shared" ref="D795:E795" si="804">B795/B794-1</f>
        <v>-1.6060324945457172E-3</v>
      </c>
      <c r="E795" s="345">
        <f t="shared" si="804"/>
        <v>-9.9906602295409819E-3</v>
      </c>
      <c r="F795" s="313"/>
      <c r="G795" s="313"/>
      <c r="H795" s="313"/>
      <c r="I795" s="313"/>
      <c r="J795" s="313"/>
      <c r="K795" s="313"/>
      <c r="L795" s="313"/>
      <c r="M795" s="313"/>
      <c r="N795" s="313"/>
      <c r="O795" s="313"/>
      <c r="P795" s="313"/>
      <c r="Q795" s="313"/>
      <c r="R795" s="313"/>
      <c r="S795" s="313"/>
      <c r="T795" s="313"/>
      <c r="U795" s="313"/>
      <c r="V795" s="313"/>
      <c r="W795" s="313"/>
      <c r="X795" s="313"/>
      <c r="Y795" s="313"/>
      <c r="Z795" s="313"/>
      <c r="AA795" s="313"/>
    </row>
    <row r="796" spans="1:27" ht="14.25" customHeight="1" x14ac:dyDescent="0.2">
      <c r="A796" s="346">
        <v>43755</v>
      </c>
      <c r="B796" s="313">
        <v>299.27999899999998</v>
      </c>
      <c r="C796" s="313">
        <v>225.91000399999999</v>
      </c>
      <c r="D796" s="345">
        <f t="shared" ref="D796:E796" si="805">B796/B795-1</f>
        <v>2.9490784775283441E-3</v>
      </c>
      <c r="E796" s="345">
        <f t="shared" si="805"/>
        <v>1.7750159851555702E-2</v>
      </c>
      <c r="F796" s="313"/>
      <c r="G796" s="313"/>
      <c r="H796" s="313"/>
      <c r="I796" s="313"/>
      <c r="J796" s="313"/>
      <c r="K796" s="313"/>
      <c r="L796" s="313"/>
      <c r="M796" s="313"/>
      <c r="N796" s="313"/>
      <c r="O796" s="313"/>
      <c r="P796" s="313"/>
      <c r="Q796" s="313"/>
      <c r="R796" s="313"/>
      <c r="S796" s="313"/>
      <c r="T796" s="313"/>
      <c r="U796" s="313"/>
      <c r="V796" s="313"/>
      <c r="W796" s="313"/>
      <c r="X796" s="313"/>
      <c r="Y796" s="313"/>
      <c r="Z796" s="313"/>
      <c r="AA796" s="313"/>
    </row>
    <row r="797" spans="1:27" ht="14.25" customHeight="1" x14ac:dyDescent="0.2">
      <c r="A797" s="346">
        <v>43756</v>
      </c>
      <c r="B797" s="313">
        <v>297.97000100000002</v>
      </c>
      <c r="C797" s="313">
        <v>229.08999600000001</v>
      </c>
      <c r="D797" s="345">
        <f t="shared" ref="D797:E797" si="806">B797/B796-1</f>
        <v>-4.3771652110969894E-3</v>
      </c>
      <c r="E797" s="345">
        <f t="shared" si="806"/>
        <v>1.4076366445463062E-2</v>
      </c>
      <c r="F797" s="313"/>
      <c r="G797" s="313"/>
      <c r="H797" s="313"/>
      <c r="I797" s="313"/>
      <c r="J797" s="313"/>
      <c r="K797" s="313"/>
      <c r="L797" s="313"/>
      <c r="M797" s="313"/>
      <c r="N797" s="313"/>
      <c r="O797" s="313"/>
      <c r="P797" s="313"/>
      <c r="Q797" s="313"/>
      <c r="R797" s="313"/>
      <c r="S797" s="313"/>
      <c r="T797" s="313"/>
      <c r="U797" s="313"/>
      <c r="V797" s="313"/>
      <c r="W797" s="313"/>
      <c r="X797" s="313"/>
      <c r="Y797" s="313"/>
      <c r="Z797" s="313"/>
      <c r="AA797" s="313"/>
    </row>
    <row r="798" spans="1:27" ht="14.25" customHeight="1" x14ac:dyDescent="0.2">
      <c r="A798" s="346">
        <v>43759</v>
      </c>
      <c r="B798" s="313">
        <v>299.98998999999998</v>
      </c>
      <c r="C798" s="313">
        <v>229.39999399999999</v>
      </c>
      <c r="D798" s="345">
        <f t="shared" ref="D798:E798" si="807">B798/B797-1</f>
        <v>6.7791690211120859E-3</v>
      </c>
      <c r="E798" s="345">
        <f t="shared" si="807"/>
        <v>1.3531712663699125E-3</v>
      </c>
      <c r="F798" s="313"/>
      <c r="G798" s="313"/>
      <c r="H798" s="313"/>
      <c r="I798" s="313"/>
      <c r="J798" s="313"/>
      <c r="K798" s="313"/>
      <c r="L798" s="313"/>
      <c r="M798" s="313"/>
      <c r="N798" s="313"/>
      <c r="O798" s="313"/>
      <c r="P798" s="313"/>
      <c r="Q798" s="313"/>
      <c r="R798" s="313"/>
      <c r="S798" s="313"/>
      <c r="T798" s="313"/>
      <c r="U798" s="313"/>
      <c r="V798" s="313"/>
      <c r="W798" s="313"/>
      <c r="X798" s="313"/>
      <c r="Y798" s="313"/>
      <c r="Z798" s="313"/>
      <c r="AA798" s="313"/>
    </row>
    <row r="799" spans="1:27" ht="14.25" customHeight="1" x14ac:dyDescent="0.2">
      <c r="A799" s="346">
        <v>43760</v>
      </c>
      <c r="B799" s="313">
        <v>299.01001000000002</v>
      </c>
      <c r="C799" s="313">
        <v>226.740005</v>
      </c>
      <c r="D799" s="345">
        <f t="shared" ref="D799:E799" si="808">B799/B798-1</f>
        <v>-3.2667089991901266E-3</v>
      </c>
      <c r="E799" s="345">
        <f t="shared" si="808"/>
        <v>-1.1595418786279454E-2</v>
      </c>
      <c r="F799" s="313"/>
      <c r="G799" s="313"/>
      <c r="H799" s="313"/>
      <c r="I799" s="313"/>
      <c r="J799" s="313"/>
      <c r="K799" s="313"/>
      <c r="L799" s="313"/>
      <c r="M799" s="313"/>
      <c r="N799" s="313"/>
      <c r="O799" s="313"/>
      <c r="P799" s="313"/>
      <c r="Q799" s="313"/>
      <c r="R799" s="313"/>
      <c r="S799" s="313"/>
      <c r="T799" s="313"/>
      <c r="U799" s="313"/>
      <c r="V799" s="313"/>
      <c r="W799" s="313"/>
      <c r="X799" s="313"/>
      <c r="Y799" s="313"/>
      <c r="Z799" s="313"/>
      <c r="AA799" s="313"/>
    </row>
    <row r="800" spans="1:27" ht="14.25" customHeight="1" x14ac:dyDescent="0.2">
      <c r="A800" s="346">
        <v>43761</v>
      </c>
      <c r="B800" s="313">
        <v>299.88000499999998</v>
      </c>
      <c r="C800" s="313">
        <v>226.020004</v>
      </c>
      <c r="D800" s="345">
        <f t="shared" ref="D800:E800" si="809">B800/B799-1</f>
        <v>2.9095848664062451E-3</v>
      </c>
      <c r="E800" s="345">
        <f t="shared" si="809"/>
        <v>-3.1754475792659109E-3</v>
      </c>
      <c r="F800" s="313"/>
      <c r="G800" s="313"/>
      <c r="H800" s="313"/>
      <c r="I800" s="313"/>
      <c r="J800" s="313"/>
      <c r="K800" s="313"/>
      <c r="L800" s="313"/>
      <c r="M800" s="313"/>
      <c r="N800" s="313"/>
      <c r="O800" s="313"/>
      <c r="P800" s="313"/>
      <c r="Q800" s="313"/>
      <c r="R800" s="313"/>
      <c r="S800" s="313"/>
      <c r="T800" s="313"/>
      <c r="U800" s="313"/>
      <c r="V800" s="313"/>
      <c r="W800" s="313"/>
      <c r="X800" s="313"/>
      <c r="Y800" s="313"/>
      <c r="Z800" s="313"/>
      <c r="AA800" s="313"/>
    </row>
    <row r="801" spans="1:27" ht="14.25" customHeight="1" x14ac:dyDescent="0.2">
      <c r="A801" s="346">
        <v>43762</v>
      </c>
      <c r="B801" s="313">
        <v>300.36999500000002</v>
      </c>
      <c r="C801" s="313">
        <v>223.470001</v>
      </c>
      <c r="D801" s="345">
        <f t="shared" ref="D801:E801" si="810">B801/B800-1</f>
        <v>1.6339535541891603E-3</v>
      </c>
      <c r="E801" s="345">
        <f t="shared" si="810"/>
        <v>-1.1282200490537075E-2</v>
      </c>
      <c r="F801" s="313"/>
      <c r="G801" s="313"/>
      <c r="H801" s="313"/>
      <c r="I801" s="313"/>
      <c r="J801" s="313"/>
      <c r="K801" s="313"/>
      <c r="L801" s="313"/>
      <c r="M801" s="313"/>
      <c r="N801" s="313"/>
      <c r="O801" s="313"/>
      <c r="P801" s="313"/>
      <c r="Q801" s="313"/>
      <c r="R801" s="313"/>
      <c r="S801" s="313"/>
      <c r="T801" s="313"/>
      <c r="U801" s="313"/>
      <c r="V801" s="313"/>
      <c r="W801" s="313"/>
      <c r="X801" s="313"/>
      <c r="Y801" s="313"/>
      <c r="Z801" s="313"/>
      <c r="AA801" s="313"/>
    </row>
    <row r="802" spans="1:27" ht="14.25" customHeight="1" x14ac:dyDescent="0.2">
      <c r="A802" s="346">
        <v>43763</v>
      </c>
      <c r="B802" s="313">
        <v>301.60000600000001</v>
      </c>
      <c r="C802" s="313">
        <v>216.66999799999999</v>
      </c>
      <c r="D802" s="345">
        <f t="shared" ref="D802:E802" si="811">B802/B801-1</f>
        <v>4.0949862518724345E-3</v>
      </c>
      <c r="E802" s="345">
        <f t="shared" si="811"/>
        <v>-3.0429153665238462E-2</v>
      </c>
      <c r="F802" s="313"/>
      <c r="G802" s="313"/>
      <c r="H802" s="313"/>
      <c r="I802" s="313"/>
      <c r="J802" s="313"/>
      <c r="K802" s="313"/>
      <c r="L802" s="313"/>
      <c r="M802" s="313"/>
      <c r="N802" s="313"/>
      <c r="O802" s="313"/>
      <c r="P802" s="313"/>
      <c r="Q802" s="313"/>
      <c r="R802" s="313"/>
      <c r="S802" s="313"/>
      <c r="T802" s="313"/>
      <c r="U802" s="313"/>
      <c r="V802" s="313"/>
      <c r="W802" s="313"/>
      <c r="X802" s="313"/>
      <c r="Y802" s="313"/>
      <c r="Z802" s="313"/>
      <c r="AA802" s="313"/>
    </row>
    <row r="803" spans="1:27" ht="14.25" customHeight="1" x14ac:dyDescent="0.2">
      <c r="A803" s="346">
        <v>43766</v>
      </c>
      <c r="B803" s="313">
        <v>303.29998799999998</v>
      </c>
      <c r="C803" s="313">
        <v>210.75</v>
      </c>
      <c r="D803" s="345">
        <f t="shared" ref="D803:E803" si="812">B803/B802-1</f>
        <v>5.6365449807052048E-3</v>
      </c>
      <c r="E803" s="345">
        <f t="shared" si="812"/>
        <v>-2.7322647596092153E-2</v>
      </c>
      <c r="F803" s="313"/>
      <c r="G803" s="313"/>
      <c r="H803" s="313"/>
      <c r="I803" s="313"/>
      <c r="J803" s="313"/>
      <c r="K803" s="313"/>
      <c r="L803" s="313"/>
      <c r="M803" s="313"/>
      <c r="N803" s="313"/>
      <c r="O803" s="313"/>
      <c r="P803" s="313"/>
      <c r="Q803" s="313"/>
      <c r="R803" s="313"/>
      <c r="S803" s="313"/>
      <c r="T803" s="313"/>
      <c r="U803" s="313"/>
      <c r="V803" s="313"/>
      <c r="W803" s="313"/>
      <c r="X803" s="313"/>
      <c r="Y803" s="313"/>
      <c r="Z803" s="313"/>
      <c r="AA803" s="313"/>
    </row>
    <row r="804" spans="1:27" ht="14.25" customHeight="1" x14ac:dyDescent="0.2">
      <c r="A804" s="346">
        <v>43767</v>
      </c>
      <c r="B804" s="313">
        <v>303.209991</v>
      </c>
      <c r="C804" s="313">
        <v>216.16000399999999</v>
      </c>
      <c r="D804" s="345">
        <f t="shared" ref="D804:E804" si="813">B804/B803-1</f>
        <v>-2.967260255875015E-4</v>
      </c>
      <c r="E804" s="345">
        <f t="shared" si="813"/>
        <v>2.5670244365361805E-2</v>
      </c>
      <c r="F804" s="313"/>
      <c r="G804" s="313"/>
      <c r="H804" s="313"/>
      <c r="I804" s="313"/>
      <c r="J804" s="313"/>
      <c r="K804" s="313"/>
      <c r="L804" s="313"/>
      <c r="M804" s="313"/>
      <c r="N804" s="313"/>
      <c r="O804" s="313"/>
      <c r="P804" s="313"/>
      <c r="Q804" s="313"/>
      <c r="R804" s="313"/>
      <c r="S804" s="313"/>
      <c r="T804" s="313"/>
      <c r="U804" s="313"/>
      <c r="V804" s="313"/>
      <c r="W804" s="313"/>
      <c r="X804" s="313"/>
      <c r="Y804" s="313"/>
      <c r="Z804" s="313"/>
      <c r="AA804" s="313"/>
    </row>
    <row r="805" spans="1:27" ht="14.25" customHeight="1" x14ac:dyDescent="0.2">
      <c r="A805" s="346">
        <v>43768</v>
      </c>
      <c r="B805" s="313">
        <v>304.14001500000001</v>
      </c>
      <c r="C805" s="313">
        <v>217.240005</v>
      </c>
      <c r="D805" s="345">
        <f t="shared" ref="D805:E805" si="814">B805/B804-1</f>
        <v>3.0672604056771746E-3</v>
      </c>
      <c r="E805" s="345">
        <f t="shared" si="814"/>
        <v>4.9963035714970516E-3</v>
      </c>
      <c r="F805" s="313"/>
      <c r="G805" s="313"/>
      <c r="H805" s="313"/>
      <c r="I805" s="313"/>
      <c r="J805" s="313"/>
      <c r="K805" s="313"/>
      <c r="L805" s="313"/>
      <c r="M805" s="313"/>
      <c r="N805" s="313"/>
      <c r="O805" s="313"/>
      <c r="P805" s="313"/>
      <c r="Q805" s="313"/>
      <c r="R805" s="313"/>
      <c r="S805" s="313"/>
      <c r="T805" s="313"/>
      <c r="U805" s="313"/>
      <c r="V805" s="313"/>
      <c r="W805" s="313"/>
      <c r="X805" s="313"/>
      <c r="Y805" s="313"/>
      <c r="Z805" s="313"/>
      <c r="AA805" s="313"/>
    </row>
    <row r="806" spans="1:27" ht="14.25" customHeight="1" x14ac:dyDescent="0.2">
      <c r="A806" s="346">
        <v>43769</v>
      </c>
      <c r="B806" s="313">
        <v>303.32998700000002</v>
      </c>
      <c r="C806" s="313">
        <v>218.08000200000001</v>
      </c>
      <c r="D806" s="345">
        <f t="shared" ref="D806:E806" si="815">B806/B805-1</f>
        <v>-2.6633391203061407E-3</v>
      </c>
      <c r="E806" s="345">
        <f t="shared" si="815"/>
        <v>3.8666773184801162E-3</v>
      </c>
      <c r="F806" s="313"/>
      <c r="G806" s="313"/>
      <c r="H806" s="313"/>
      <c r="I806" s="313"/>
      <c r="J806" s="313"/>
      <c r="K806" s="313"/>
      <c r="L806" s="313"/>
      <c r="M806" s="313"/>
      <c r="N806" s="313"/>
      <c r="O806" s="313"/>
      <c r="P806" s="313"/>
      <c r="Q806" s="313"/>
      <c r="R806" s="313"/>
      <c r="S806" s="313"/>
      <c r="T806" s="313"/>
      <c r="U806" s="313"/>
      <c r="V806" s="313"/>
      <c r="W806" s="313"/>
      <c r="X806" s="313"/>
      <c r="Y806" s="313"/>
      <c r="Z806" s="313"/>
      <c r="AA806" s="313"/>
    </row>
    <row r="807" spans="1:27" ht="14.25" customHeight="1" x14ac:dyDescent="0.2">
      <c r="A807" s="346">
        <v>43770</v>
      </c>
      <c r="B807" s="313">
        <v>306.14001500000001</v>
      </c>
      <c r="C807" s="313">
        <v>215.520004</v>
      </c>
      <c r="D807" s="345">
        <f t="shared" ref="D807:E807" si="816">B807/B806-1</f>
        <v>9.2639307698911821E-3</v>
      </c>
      <c r="E807" s="345">
        <f t="shared" si="816"/>
        <v>-1.1738802166738838E-2</v>
      </c>
      <c r="F807" s="313"/>
      <c r="G807" s="313"/>
      <c r="H807" s="313"/>
      <c r="I807" s="313"/>
      <c r="J807" s="313"/>
      <c r="K807" s="313"/>
      <c r="L807" s="313"/>
      <c r="M807" s="313"/>
      <c r="N807" s="313"/>
      <c r="O807" s="313"/>
      <c r="P807" s="313"/>
      <c r="Q807" s="313"/>
      <c r="R807" s="313"/>
      <c r="S807" s="313"/>
      <c r="T807" s="313"/>
      <c r="U807" s="313"/>
      <c r="V807" s="313"/>
      <c r="W807" s="313"/>
      <c r="X807" s="313"/>
      <c r="Y807" s="313"/>
      <c r="Z807" s="313"/>
      <c r="AA807" s="313"/>
    </row>
    <row r="808" spans="1:27" ht="14.25" customHeight="1" x14ac:dyDescent="0.2">
      <c r="A808" s="346">
        <v>43773</v>
      </c>
      <c r="B808" s="313">
        <v>307.36999500000002</v>
      </c>
      <c r="C808" s="313">
        <v>211.070007</v>
      </c>
      <c r="D808" s="345">
        <f t="shared" ref="D808:E808" si="817">B808/B807-1</f>
        <v>4.0177041214295439E-3</v>
      </c>
      <c r="E808" s="345">
        <f t="shared" si="817"/>
        <v>-2.0647721405944286E-2</v>
      </c>
      <c r="F808" s="313"/>
      <c r="G808" s="313"/>
      <c r="H808" s="313"/>
      <c r="I808" s="313"/>
      <c r="J808" s="313"/>
      <c r="K808" s="313"/>
      <c r="L808" s="313"/>
      <c r="M808" s="313"/>
      <c r="N808" s="313"/>
      <c r="O808" s="313"/>
      <c r="P808" s="313"/>
      <c r="Q808" s="313"/>
      <c r="R808" s="313"/>
      <c r="S808" s="313"/>
      <c r="T808" s="313"/>
      <c r="U808" s="313"/>
      <c r="V808" s="313"/>
      <c r="W808" s="313"/>
      <c r="X808" s="313"/>
      <c r="Y808" s="313"/>
      <c r="Z808" s="313"/>
      <c r="AA808" s="313"/>
    </row>
    <row r="809" spans="1:27" ht="14.25" customHeight="1" x14ac:dyDescent="0.2">
      <c r="A809" s="346">
        <v>43774</v>
      </c>
      <c r="B809" s="313">
        <v>307.02999899999998</v>
      </c>
      <c r="C809" s="313">
        <v>206.009995</v>
      </c>
      <c r="D809" s="345">
        <f t="shared" ref="D809:E809" si="818">B809/B808-1</f>
        <v>-1.1061457056016355E-3</v>
      </c>
      <c r="E809" s="345">
        <f t="shared" si="818"/>
        <v>-2.3973145554498365E-2</v>
      </c>
      <c r="F809" s="313"/>
      <c r="G809" s="313"/>
      <c r="H809" s="313"/>
      <c r="I809" s="313"/>
      <c r="J809" s="313"/>
      <c r="K809" s="313"/>
      <c r="L809" s="313"/>
      <c r="M809" s="313"/>
      <c r="N809" s="313"/>
      <c r="O809" s="313"/>
      <c r="P809" s="313"/>
      <c r="Q809" s="313"/>
      <c r="R809" s="313"/>
      <c r="S809" s="313"/>
      <c r="T809" s="313"/>
      <c r="U809" s="313"/>
      <c r="V809" s="313"/>
      <c r="W809" s="313"/>
      <c r="X809" s="313"/>
      <c r="Y809" s="313"/>
      <c r="Z809" s="313"/>
      <c r="AA809" s="313"/>
    </row>
    <row r="810" spans="1:27" ht="14.25" customHeight="1" x14ac:dyDescent="0.2">
      <c r="A810" s="346">
        <v>43775</v>
      </c>
      <c r="B810" s="313">
        <v>307.10000600000001</v>
      </c>
      <c r="C810" s="313">
        <v>207.979996</v>
      </c>
      <c r="D810" s="345">
        <f t="shared" ref="D810:E810" si="819">B810/B809-1</f>
        <v>2.2801354990731326E-4</v>
      </c>
      <c r="E810" s="345">
        <f t="shared" si="819"/>
        <v>9.5626476763905899E-3</v>
      </c>
      <c r="F810" s="313"/>
      <c r="G810" s="313"/>
      <c r="H810" s="313"/>
      <c r="I810" s="313"/>
      <c r="J810" s="313"/>
      <c r="K810" s="313"/>
      <c r="L810" s="313"/>
      <c r="M810" s="313"/>
      <c r="N810" s="313"/>
      <c r="O810" s="313"/>
      <c r="P810" s="313"/>
      <c r="Q810" s="313"/>
      <c r="R810" s="313"/>
      <c r="S810" s="313"/>
      <c r="T810" s="313"/>
      <c r="U810" s="313"/>
      <c r="V810" s="313"/>
      <c r="W810" s="313"/>
      <c r="X810" s="313"/>
      <c r="Y810" s="313"/>
      <c r="Z810" s="313"/>
      <c r="AA810" s="313"/>
    </row>
    <row r="811" spans="1:27" ht="14.25" customHeight="1" x14ac:dyDescent="0.2">
      <c r="A811" s="346">
        <v>43776</v>
      </c>
      <c r="B811" s="313">
        <v>308.17999300000002</v>
      </c>
      <c r="C811" s="313">
        <v>205.69000199999999</v>
      </c>
      <c r="D811" s="345">
        <f t="shared" ref="D811:E811" si="820">B811/B810-1</f>
        <v>3.5167273816334443E-3</v>
      </c>
      <c r="E811" s="345">
        <f t="shared" si="820"/>
        <v>-1.1010645466114966E-2</v>
      </c>
      <c r="F811" s="313"/>
      <c r="G811" s="313"/>
      <c r="H811" s="313"/>
      <c r="I811" s="313"/>
      <c r="J811" s="313"/>
      <c r="K811" s="313"/>
      <c r="L811" s="313"/>
      <c r="M811" s="313"/>
      <c r="N811" s="313"/>
      <c r="O811" s="313"/>
      <c r="P811" s="313"/>
      <c r="Q811" s="313"/>
      <c r="R811" s="313"/>
      <c r="S811" s="313"/>
      <c r="T811" s="313"/>
      <c r="U811" s="313"/>
      <c r="V811" s="313"/>
      <c r="W811" s="313"/>
      <c r="X811" s="313"/>
      <c r="Y811" s="313"/>
      <c r="Z811" s="313"/>
      <c r="AA811" s="313"/>
    </row>
    <row r="812" spans="1:27" ht="14.25" customHeight="1" x14ac:dyDescent="0.2">
      <c r="A812" s="346">
        <v>43777</v>
      </c>
      <c r="B812" s="313">
        <v>308.94000199999999</v>
      </c>
      <c r="C812" s="313">
        <v>205.86999499999999</v>
      </c>
      <c r="D812" s="345">
        <f t="shared" ref="D812:E812" si="821">B812/B811-1</f>
        <v>2.4661205051035306E-3</v>
      </c>
      <c r="E812" s="345">
        <f t="shared" si="821"/>
        <v>8.7506927050351457E-4</v>
      </c>
      <c r="F812" s="313"/>
      <c r="G812" s="313"/>
      <c r="H812" s="313"/>
      <c r="I812" s="313"/>
      <c r="J812" s="313"/>
      <c r="K812" s="313"/>
      <c r="L812" s="313"/>
      <c r="M812" s="313"/>
      <c r="N812" s="313"/>
      <c r="O812" s="313"/>
      <c r="P812" s="313"/>
      <c r="Q812" s="313"/>
      <c r="R812" s="313"/>
      <c r="S812" s="313"/>
      <c r="T812" s="313"/>
      <c r="U812" s="313"/>
      <c r="V812" s="313"/>
      <c r="W812" s="313"/>
      <c r="X812" s="313"/>
      <c r="Y812" s="313"/>
      <c r="Z812" s="313"/>
      <c r="AA812" s="313"/>
    </row>
    <row r="813" spans="1:27" ht="14.25" customHeight="1" x14ac:dyDescent="0.2">
      <c r="A813" s="346">
        <v>43780</v>
      </c>
      <c r="B813" s="313">
        <v>308.35000600000001</v>
      </c>
      <c r="C813" s="313">
        <v>207.35000600000001</v>
      </c>
      <c r="D813" s="345">
        <f t="shared" ref="D813:E813" si="822">B813/B812-1</f>
        <v>-1.9097429798035082E-3</v>
      </c>
      <c r="E813" s="345">
        <f t="shared" si="822"/>
        <v>7.189056375116909E-3</v>
      </c>
      <c r="F813" s="313"/>
      <c r="G813" s="313"/>
      <c r="H813" s="313"/>
      <c r="I813" s="313"/>
      <c r="J813" s="313"/>
      <c r="K813" s="313"/>
      <c r="L813" s="313"/>
      <c r="M813" s="313"/>
      <c r="N813" s="313"/>
      <c r="O813" s="313"/>
      <c r="P813" s="313"/>
      <c r="Q813" s="313"/>
      <c r="R813" s="313"/>
      <c r="S813" s="313"/>
      <c r="T813" s="313"/>
      <c r="U813" s="313"/>
      <c r="V813" s="313"/>
      <c r="W813" s="313"/>
      <c r="X813" s="313"/>
      <c r="Y813" s="313"/>
      <c r="Z813" s="313"/>
      <c r="AA813" s="313"/>
    </row>
    <row r="814" spans="1:27" ht="14.25" customHeight="1" x14ac:dyDescent="0.2">
      <c r="A814" s="346">
        <v>43781</v>
      </c>
      <c r="B814" s="313">
        <v>309</v>
      </c>
      <c r="C814" s="313">
        <v>206.75</v>
      </c>
      <c r="D814" s="345">
        <f t="shared" ref="D814:E814" si="823">B814/B813-1</f>
        <v>2.1079746630521257E-3</v>
      </c>
      <c r="E814" s="345">
        <f t="shared" si="823"/>
        <v>-2.8936869189191139E-3</v>
      </c>
      <c r="F814" s="313"/>
      <c r="G814" s="313"/>
      <c r="H814" s="313"/>
      <c r="I814" s="313"/>
      <c r="J814" s="313"/>
      <c r="K814" s="313"/>
      <c r="L814" s="313"/>
      <c r="M814" s="313"/>
      <c r="N814" s="313"/>
      <c r="O814" s="313"/>
      <c r="P814" s="313"/>
      <c r="Q814" s="313"/>
      <c r="R814" s="313"/>
      <c r="S814" s="313"/>
      <c r="T814" s="313"/>
      <c r="U814" s="313"/>
      <c r="V814" s="313"/>
      <c r="W814" s="313"/>
      <c r="X814" s="313"/>
      <c r="Y814" s="313"/>
      <c r="Z814" s="313"/>
      <c r="AA814" s="313"/>
    </row>
    <row r="815" spans="1:27" ht="14.25" customHeight="1" x14ac:dyDescent="0.2">
      <c r="A815" s="346">
        <v>43782</v>
      </c>
      <c r="B815" s="313">
        <v>309.10000600000001</v>
      </c>
      <c r="C815" s="313">
        <v>210.320007</v>
      </c>
      <c r="D815" s="345">
        <f t="shared" ref="D815:E815" si="824">B815/B814-1</f>
        <v>3.2364401294504574E-4</v>
      </c>
      <c r="E815" s="345">
        <f t="shared" si="824"/>
        <v>1.7267264812575567E-2</v>
      </c>
      <c r="F815" s="313"/>
      <c r="G815" s="313"/>
      <c r="H815" s="313"/>
      <c r="I815" s="313"/>
      <c r="J815" s="313"/>
      <c r="K815" s="313"/>
      <c r="L815" s="313"/>
      <c r="M815" s="313"/>
      <c r="N815" s="313"/>
      <c r="O815" s="313"/>
      <c r="P815" s="313"/>
      <c r="Q815" s="313"/>
      <c r="R815" s="313"/>
      <c r="S815" s="313"/>
      <c r="T815" s="313"/>
      <c r="U815" s="313"/>
      <c r="V815" s="313"/>
      <c r="W815" s="313"/>
      <c r="X815" s="313"/>
      <c r="Y815" s="313"/>
      <c r="Z815" s="313"/>
      <c r="AA815" s="313"/>
    </row>
    <row r="816" spans="1:27" ht="14.25" customHeight="1" x14ac:dyDescent="0.2">
      <c r="A816" s="346">
        <v>43783</v>
      </c>
      <c r="B816" s="313">
        <v>309.54998799999998</v>
      </c>
      <c r="C816" s="313">
        <v>211.800003</v>
      </c>
      <c r="D816" s="345">
        <f t="shared" ref="D816:E816" si="825">B816/B815-1</f>
        <v>1.455781272291512E-3</v>
      </c>
      <c r="E816" s="345">
        <f t="shared" si="825"/>
        <v>7.0368769053912317E-3</v>
      </c>
      <c r="F816" s="313"/>
      <c r="G816" s="313"/>
      <c r="H816" s="313"/>
      <c r="I816" s="313"/>
      <c r="J816" s="313"/>
      <c r="K816" s="313"/>
      <c r="L816" s="313"/>
      <c r="M816" s="313"/>
      <c r="N816" s="313"/>
      <c r="O816" s="313"/>
      <c r="P816" s="313"/>
      <c r="Q816" s="313"/>
      <c r="R816" s="313"/>
      <c r="S816" s="313"/>
      <c r="T816" s="313"/>
      <c r="U816" s="313"/>
      <c r="V816" s="313"/>
      <c r="W816" s="313"/>
      <c r="X816" s="313"/>
      <c r="Y816" s="313"/>
      <c r="Z816" s="313"/>
      <c r="AA816" s="313"/>
    </row>
    <row r="817" spans="1:27" ht="14.25" customHeight="1" x14ac:dyDescent="0.2">
      <c r="A817" s="346">
        <v>43784</v>
      </c>
      <c r="B817" s="313">
        <v>311.790009</v>
      </c>
      <c r="C817" s="313">
        <v>213.36999499999999</v>
      </c>
      <c r="D817" s="345">
        <f t="shared" ref="D817:E817" si="826">B817/B816-1</f>
        <v>7.236378894642348E-3</v>
      </c>
      <c r="E817" s="345">
        <f t="shared" si="826"/>
        <v>7.4126155701705887E-3</v>
      </c>
      <c r="F817" s="313"/>
      <c r="G817" s="313"/>
      <c r="H817" s="313"/>
      <c r="I817" s="313"/>
      <c r="J817" s="313"/>
      <c r="K817" s="313"/>
      <c r="L817" s="313"/>
      <c r="M817" s="313"/>
      <c r="N817" s="313"/>
      <c r="O817" s="313"/>
      <c r="P817" s="313"/>
      <c r="Q817" s="313"/>
      <c r="R817" s="313"/>
      <c r="S817" s="313"/>
      <c r="T817" s="313"/>
      <c r="U817" s="313"/>
      <c r="V817" s="313"/>
      <c r="W817" s="313"/>
      <c r="X817" s="313"/>
      <c r="Y817" s="313"/>
      <c r="Z817" s="313"/>
      <c r="AA817" s="313"/>
    </row>
    <row r="818" spans="1:27" ht="14.25" customHeight="1" x14ac:dyDescent="0.2">
      <c r="A818" s="346">
        <v>43787</v>
      </c>
      <c r="B818" s="313">
        <v>312.01998900000001</v>
      </c>
      <c r="C818" s="313">
        <v>214.33000200000001</v>
      </c>
      <c r="D818" s="345">
        <f t="shared" ref="D818:E818" si="827">B818/B817-1</f>
        <v>7.3761183284104526E-4</v>
      </c>
      <c r="E818" s="345">
        <f t="shared" si="827"/>
        <v>4.4992596077064739E-3</v>
      </c>
      <c r="F818" s="313"/>
      <c r="G818" s="313"/>
      <c r="H818" s="313"/>
      <c r="I818" s="313"/>
      <c r="J818" s="313"/>
      <c r="K818" s="313"/>
      <c r="L818" s="313"/>
      <c r="M818" s="313"/>
      <c r="N818" s="313"/>
      <c r="O818" s="313"/>
      <c r="P818" s="313"/>
      <c r="Q818" s="313"/>
      <c r="R818" s="313"/>
      <c r="S818" s="313"/>
      <c r="T818" s="313"/>
      <c r="U818" s="313"/>
      <c r="V818" s="313"/>
      <c r="W818" s="313"/>
      <c r="X818" s="313"/>
      <c r="Y818" s="313"/>
      <c r="Z818" s="313"/>
      <c r="AA818" s="313"/>
    </row>
    <row r="819" spans="1:27" ht="14.25" customHeight="1" x14ac:dyDescent="0.2">
      <c r="A819" s="346">
        <v>43788</v>
      </c>
      <c r="B819" s="313">
        <v>311.92999300000002</v>
      </c>
      <c r="C819" s="313">
        <v>215.570007</v>
      </c>
      <c r="D819" s="345">
        <f t="shared" ref="D819:E819" si="828">B819/B818-1</f>
        <v>-2.8843023899982612E-4</v>
      </c>
      <c r="E819" s="345">
        <f t="shared" si="828"/>
        <v>5.7854942771846662E-3</v>
      </c>
      <c r="F819" s="313"/>
      <c r="G819" s="313"/>
      <c r="H819" s="313"/>
      <c r="I819" s="313"/>
      <c r="J819" s="313"/>
      <c r="K819" s="313"/>
      <c r="L819" s="313"/>
      <c r="M819" s="313"/>
      <c r="N819" s="313"/>
      <c r="O819" s="313"/>
      <c r="P819" s="313"/>
      <c r="Q819" s="313"/>
      <c r="R819" s="313"/>
      <c r="S819" s="313"/>
      <c r="T819" s="313"/>
      <c r="U819" s="313"/>
      <c r="V819" s="313"/>
      <c r="W819" s="313"/>
      <c r="X819" s="313"/>
      <c r="Y819" s="313"/>
      <c r="Z819" s="313"/>
      <c r="AA819" s="313"/>
    </row>
    <row r="820" spans="1:27" ht="14.25" customHeight="1" x14ac:dyDescent="0.2">
      <c r="A820" s="346">
        <v>43789</v>
      </c>
      <c r="B820" s="313">
        <v>310.76998900000001</v>
      </c>
      <c r="C820" s="313">
        <v>217.89999399999999</v>
      </c>
      <c r="D820" s="345">
        <f t="shared" ref="D820:E820" si="829">B820/B819-1</f>
        <v>-3.7187959671451942E-3</v>
      </c>
      <c r="E820" s="345">
        <f t="shared" si="829"/>
        <v>1.0808493409753428E-2</v>
      </c>
      <c r="F820" s="313"/>
      <c r="G820" s="313"/>
      <c r="H820" s="313"/>
      <c r="I820" s="313"/>
      <c r="J820" s="313"/>
      <c r="K820" s="313"/>
      <c r="L820" s="313"/>
      <c r="M820" s="313"/>
      <c r="N820" s="313"/>
      <c r="O820" s="313"/>
      <c r="P820" s="313"/>
      <c r="Q820" s="313"/>
      <c r="R820" s="313"/>
      <c r="S820" s="313"/>
      <c r="T820" s="313"/>
      <c r="U820" s="313"/>
      <c r="V820" s="313"/>
      <c r="W820" s="313"/>
      <c r="X820" s="313"/>
      <c r="Y820" s="313"/>
      <c r="Z820" s="313"/>
      <c r="AA820" s="313"/>
    </row>
    <row r="821" spans="1:27" ht="14.25" customHeight="1" x14ac:dyDescent="0.2">
      <c r="A821" s="346">
        <v>43790</v>
      </c>
      <c r="B821" s="313">
        <v>310.26998900000001</v>
      </c>
      <c r="C821" s="313">
        <v>213.53999300000001</v>
      </c>
      <c r="D821" s="345">
        <f t="shared" ref="D821:E821" si="830">B821/B820-1</f>
        <v>-1.6089069655950139E-3</v>
      </c>
      <c r="E821" s="345">
        <f t="shared" si="830"/>
        <v>-2.0009183662483165E-2</v>
      </c>
      <c r="F821" s="313"/>
      <c r="G821" s="313"/>
      <c r="H821" s="313"/>
      <c r="I821" s="313"/>
      <c r="J821" s="313"/>
      <c r="K821" s="313"/>
      <c r="L821" s="313"/>
      <c r="M821" s="313"/>
      <c r="N821" s="313"/>
      <c r="O821" s="313"/>
      <c r="P821" s="313"/>
      <c r="Q821" s="313"/>
      <c r="R821" s="313"/>
      <c r="S821" s="313"/>
      <c r="T821" s="313"/>
      <c r="U821" s="313"/>
      <c r="V821" s="313"/>
      <c r="W821" s="313"/>
      <c r="X821" s="313"/>
      <c r="Y821" s="313"/>
      <c r="Z821" s="313"/>
      <c r="AA821" s="313"/>
    </row>
    <row r="822" spans="1:27" ht="14.25" customHeight="1" x14ac:dyDescent="0.2">
      <c r="A822" s="346">
        <v>43791</v>
      </c>
      <c r="B822" s="313">
        <v>310.959991</v>
      </c>
      <c r="C822" s="313">
        <v>210.11000100000001</v>
      </c>
      <c r="D822" s="345">
        <f t="shared" ref="D822:E822" si="831">B822/B821-1</f>
        <v>2.2238760578290329E-3</v>
      </c>
      <c r="E822" s="345">
        <f t="shared" si="831"/>
        <v>-1.6062527453581055E-2</v>
      </c>
      <c r="F822" s="313"/>
      <c r="G822" s="313"/>
      <c r="H822" s="313"/>
      <c r="I822" s="313"/>
      <c r="J822" s="313"/>
      <c r="K822" s="313"/>
      <c r="L822" s="313"/>
      <c r="M822" s="313"/>
      <c r="N822" s="313"/>
      <c r="O822" s="313"/>
      <c r="P822" s="313"/>
      <c r="Q822" s="313"/>
      <c r="R822" s="313"/>
      <c r="S822" s="313"/>
      <c r="T822" s="313"/>
      <c r="U822" s="313"/>
      <c r="V822" s="313"/>
      <c r="W822" s="313"/>
      <c r="X822" s="313"/>
      <c r="Y822" s="313"/>
      <c r="Z822" s="313"/>
      <c r="AA822" s="313"/>
    </row>
    <row r="823" spans="1:27" ht="14.25" customHeight="1" x14ac:dyDescent="0.2">
      <c r="A823" s="346">
        <v>43794</v>
      </c>
      <c r="B823" s="313">
        <v>313.36999500000002</v>
      </c>
      <c r="C823" s="313">
        <v>209.71000699999999</v>
      </c>
      <c r="D823" s="345">
        <f t="shared" ref="D823:E823" si="832">B823/B822-1</f>
        <v>7.7502060385641336E-3</v>
      </c>
      <c r="E823" s="345">
        <f t="shared" si="832"/>
        <v>-1.9037361291527333E-3</v>
      </c>
      <c r="F823" s="313"/>
      <c r="G823" s="313"/>
      <c r="H823" s="313"/>
      <c r="I823" s="313"/>
      <c r="J823" s="313"/>
      <c r="K823" s="313"/>
      <c r="L823" s="313"/>
      <c r="M823" s="313"/>
      <c r="N823" s="313"/>
      <c r="O823" s="313"/>
      <c r="P823" s="313"/>
      <c r="Q823" s="313"/>
      <c r="R823" s="313"/>
      <c r="S823" s="313"/>
      <c r="T823" s="313"/>
      <c r="U823" s="313"/>
      <c r="V823" s="313"/>
      <c r="W823" s="313"/>
      <c r="X823" s="313"/>
      <c r="Y823" s="313"/>
      <c r="Z823" s="313"/>
      <c r="AA823" s="313"/>
    </row>
    <row r="824" spans="1:27" ht="14.25" customHeight="1" x14ac:dyDescent="0.2">
      <c r="A824" s="346">
        <v>43795</v>
      </c>
      <c r="B824" s="313">
        <v>314.07998700000002</v>
      </c>
      <c r="C824" s="313">
        <v>214.78999300000001</v>
      </c>
      <c r="D824" s="345">
        <f t="shared" ref="D824:E824" si="833">B824/B823-1</f>
        <v>2.265666819824208E-3</v>
      </c>
      <c r="E824" s="345">
        <f t="shared" si="833"/>
        <v>2.422386071447713E-2</v>
      </c>
      <c r="F824" s="313"/>
      <c r="G824" s="313"/>
      <c r="H824" s="313"/>
      <c r="I824" s="313"/>
      <c r="J824" s="313"/>
      <c r="K824" s="313"/>
      <c r="L824" s="313"/>
      <c r="M824" s="313"/>
      <c r="N824" s="313"/>
      <c r="O824" s="313"/>
      <c r="P824" s="313"/>
      <c r="Q824" s="313"/>
      <c r="R824" s="313"/>
      <c r="S824" s="313"/>
      <c r="T824" s="313"/>
      <c r="U824" s="313"/>
      <c r="V824" s="313"/>
      <c r="W824" s="313"/>
      <c r="X824" s="313"/>
      <c r="Y824" s="313"/>
      <c r="Z824" s="313"/>
      <c r="AA824" s="313"/>
    </row>
    <row r="825" spans="1:27" ht="14.25" customHeight="1" x14ac:dyDescent="0.2">
      <c r="A825" s="346">
        <v>43796</v>
      </c>
      <c r="B825" s="313">
        <v>315.48001099999999</v>
      </c>
      <c r="C825" s="313">
        <v>214.91000399999999</v>
      </c>
      <c r="D825" s="345">
        <f t="shared" ref="D825:E825" si="834">B825/B824-1</f>
        <v>4.4575396648878218E-3</v>
      </c>
      <c r="E825" s="345">
        <f t="shared" si="834"/>
        <v>5.5873645845294639E-4</v>
      </c>
      <c r="F825" s="313"/>
      <c r="G825" s="313"/>
      <c r="H825" s="313"/>
      <c r="I825" s="313"/>
      <c r="J825" s="313"/>
      <c r="K825" s="313"/>
      <c r="L825" s="313"/>
      <c r="M825" s="313"/>
      <c r="N825" s="313"/>
      <c r="O825" s="313"/>
      <c r="P825" s="313"/>
      <c r="Q825" s="313"/>
      <c r="R825" s="313"/>
      <c r="S825" s="313"/>
      <c r="T825" s="313"/>
      <c r="U825" s="313"/>
      <c r="V825" s="313"/>
      <c r="W825" s="313"/>
      <c r="X825" s="313"/>
      <c r="Y825" s="313"/>
      <c r="Z825" s="313"/>
      <c r="AA825" s="313"/>
    </row>
    <row r="826" spans="1:27" ht="14.25" customHeight="1" x14ac:dyDescent="0.2">
      <c r="A826" s="346">
        <v>43798</v>
      </c>
      <c r="B826" s="313">
        <v>314.30999800000001</v>
      </c>
      <c r="C826" s="313">
        <v>214.029999</v>
      </c>
      <c r="D826" s="345">
        <f t="shared" ref="D826:E826" si="835">B826/B825-1</f>
        <v>-3.7086755395098203E-3</v>
      </c>
      <c r="E826" s="345">
        <f t="shared" si="835"/>
        <v>-4.0947605212457994E-3</v>
      </c>
      <c r="F826" s="313"/>
      <c r="G826" s="313"/>
      <c r="H826" s="313"/>
      <c r="I826" s="313"/>
      <c r="J826" s="313"/>
      <c r="K826" s="313"/>
      <c r="L826" s="313"/>
      <c r="M826" s="313"/>
      <c r="N826" s="313"/>
      <c r="O826" s="313"/>
      <c r="P826" s="313"/>
      <c r="Q826" s="313"/>
      <c r="R826" s="313"/>
      <c r="S826" s="313"/>
      <c r="T826" s="313"/>
      <c r="U826" s="313"/>
      <c r="V826" s="313"/>
      <c r="W826" s="313"/>
      <c r="X826" s="313"/>
      <c r="Y826" s="313"/>
      <c r="Z826" s="313"/>
      <c r="AA826" s="313"/>
    </row>
    <row r="827" spans="1:27" ht="14.25" customHeight="1" x14ac:dyDescent="0.2">
      <c r="A827" s="346">
        <v>43801</v>
      </c>
      <c r="B827" s="313">
        <v>311.64001500000001</v>
      </c>
      <c r="C827" s="313">
        <v>209.570007</v>
      </c>
      <c r="D827" s="345">
        <f t="shared" ref="D827:E827" si="836">B827/B826-1</f>
        <v>-8.4947440965591481E-3</v>
      </c>
      <c r="E827" s="345">
        <f t="shared" si="836"/>
        <v>-2.0838162971724361E-2</v>
      </c>
      <c r="F827" s="313"/>
      <c r="G827" s="313"/>
      <c r="H827" s="313"/>
      <c r="I827" s="313"/>
      <c r="J827" s="313"/>
      <c r="K827" s="313"/>
      <c r="L827" s="313"/>
      <c r="M827" s="313"/>
      <c r="N827" s="313"/>
      <c r="O827" s="313"/>
      <c r="P827" s="313"/>
      <c r="Q827" s="313"/>
      <c r="R827" s="313"/>
      <c r="S827" s="313"/>
      <c r="T827" s="313"/>
      <c r="U827" s="313"/>
      <c r="V827" s="313"/>
      <c r="W827" s="313"/>
      <c r="X827" s="313"/>
      <c r="Y827" s="313"/>
      <c r="Z827" s="313"/>
      <c r="AA827" s="313"/>
    </row>
    <row r="828" spans="1:27" ht="14.25" customHeight="1" x14ac:dyDescent="0.2">
      <c r="A828" s="346">
        <v>43802</v>
      </c>
      <c r="B828" s="313">
        <v>309.54998799999998</v>
      </c>
      <c r="C828" s="313">
        <v>211.21000699999999</v>
      </c>
      <c r="D828" s="345">
        <f t="shared" ref="D828:E828" si="837">B828/B827-1</f>
        <v>-6.7065424829992892E-3</v>
      </c>
      <c r="E828" s="345">
        <f t="shared" si="837"/>
        <v>7.8255472883579369E-3</v>
      </c>
      <c r="F828" s="313"/>
      <c r="G828" s="313"/>
      <c r="H828" s="313"/>
      <c r="I828" s="313"/>
      <c r="J828" s="313"/>
      <c r="K828" s="313"/>
      <c r="L828" s="313"/>
      <c r="M828" s="313"/>
      <c r="N828" s="313"/>
      <c r="O828" s="313"/>
      <c r="P828" s="313"/>
      <c r="Q828" s="313"/>
      <c r="R828" s="313"/>
      <c r="S828" s="313"/>
      <c r="T828" s="313"/>
      <c r="U828" s="313"/>
      <c r="V828" s="313"/>
      <c r="W828" s="313"/>
      <c r="X828" s="313"/>
      <c r="Y828" s="313"/>
      <c r="Z828" s="313"/>
      <c r="AA828" s="313"/>
    </row>
    <row r="829" spans="1:27" ht="14.25" customHeight="1" x14ac:dyDescent="0.2">
      <c r="A829" s="346">
        <v>43803</v>
      </c>
      <c r="B829" s="313">
        <v>311.459991</v>
      </c>
      <c r="C829" s="313">
        <v>213.36000100000001</v>
      </c>
      <c r="D829" s="345">
        <f t="shared" ref="D829:E829" si="838">B829/B828-1</f>
        <v>6.1702570636184007E-3</v>
      </c>
      <c r="E829" s="345">
        <f t="shared" si="838"/>
        <v>1.0179413516140823E-2</v>
      </c>
      <c r="F829" s="313"/>
      <c r="G829" s="313"/>
      <c r="H829" s="313"/>
      <c r="I829" s="313"/>
      <c r="J829" s="313"/>
      <c r="K829" s="313"/>
      <c r="L829" s="313"/>
      <c r="M829" s="313"/>
      <c r="N829" s="313"/>
      <c r="O829" s="313"/>
      <c r="P829" s="313"/>
      <c r="Q829" s="313"/>
      <c r="R829" s="313"/>
      <c r="S829" s="313"/>
      <c r="T829" s="313"/>
      <c r="U829" s="313"/>
      <c r="V829" s="313"/>
      <c r="W829" s="313"/>
      <c r="X829" s="313"/>
      <c r="Y829" s="313"/>
      <c r="Z829" s="313"/>
      <c r="AA829" s="313"/>
    </row>
    <row r="830" spans="1:27" ht="14.25" customHeight="1" x14ac:dyDescent="0.2">
      <c r="A830" s="346">
        <v>43804</v>
      </c>
      <c r="B830" s="313">
        <v>312.01998900000001</v>
      </c>
      <c r="C830" s="313">
        <v>213.529999</v>
      </c>
      <c r="D830" s="345">
        <f t="shared" ref="D830:E830" si="839">B830/B829-1</f>
        <v>1.7979773203038452E-3</v>
      </c>
      <c r="E830" s="345">
        <f t="shared" si="839"/>
        <v>7.9676602551193021E-4</v>
      </c>
      <c r="F830" s="313"/>
      <c r="G830" s="313"/>
      <c r="H830" s="313"/>
      <c r="I830" s="313"/>
      <c r="J830" s="313"/>
      <c r="K830" s="313"/>
      <c r="L830" s="313"/>
      <c r="M830" s="313"/>
      <c r="N830" s="313"/>
      <c r="O830" s="313"/>
      <c r="P830" s="313"/>
      <c r="Q830" s="313"/>
      <c r="R830" s="313"/>
      <c r="S830" s="313"/>
      <c r="T830" s="313"/>
      <c r="U830" s="313"/>
      <c r="V830" s="313"/>
      <c r="W830" s="313"/>
      <c r="X830" s="313"/>
      <c r="Y830" s="313"/>
      <c r="Z830" s="313"/>
      <c r="AA830" s="313"/>
    </row>
    <row r="831" spans="1:27" ht="14.25" customHeight="1" x14ac:dyDescent="0.2">
      <c r="A831" s="346">
        <v>43805</v>
      </c>
      <c r="B831" s="313">
        <v>314.86999500000002</v>
      </c>
      <c r="C831" s="313">
        <v>212.199997</v>
      </c>
      <c r="D831" s="345">
        <f t="shared" ref="D831:E831" si="840">B831/B830-1</f>
        <v>9.1340494214298129E-3</v>
      </c>
      <c r="E831" s="345">
        <f t="shared" si="840"/>
        <v>-6.2286423745078201E-3</v>
      </c>
      <c r="F831" s="313"/>
      <c r="G831" s="313"/>
      <c r="H831" s="313"/>
      <c r="I831" s="313"/>
      <c r="J831" s="313"/>
      <c r="K831" s="313"/>
      <c r="L831" s="313"/>
      <c r="M831" s="313"/>
      <c r="N831" s="313"/>
      <c r="O831" s="313"/>
      <c r="P831" s="313"/>
      <c r="Q831" s="313"/>
      <c r="R831" s="313"/>
      <c r="S831" s="313"/>
      <c r="T831" s="313"/>
      <c r="U831" s="313"/>
      <c r="V831" s="313"/>
      <c r="W831" s="313"/>
      <c r="X831" s="313"/>
      <c r="Y831" s="313"/>
      <c r="Z831" s="313"/>
      <c r="AA831" s="313"/>
    </row>
    <row r="832" spans="1:27" ht="14.25" customHeight="1" x14ac:dyDescent="0.2">
      <c r="A832" s="346">
        <v>43808</v>
      </c>
      <c r="B832" s="313">
        <v>313.88000499999998</v>
      </c>
      <c r="C832" s="313">
        <v>212.64999399999999</v>
      </c>
      <c r="D832" s="345">
        <f t="shared" ref="D832:E832" si="841">B832/B831-1</f>
        <v>-3.144123021312395E-3</v>
      </c>
      <c r="E832" s="345">
        <f t="shared" si="841"/>
        <v>2.1206267971813908E-3</v>
      </c>
      <c r="F832" s="313"/>
      <c r="G832" s="313"/>
      <c r="H832" s="313"/>
      <c r="I832" s="313"/>
      <c r="J832" s="313"/>
      <c r="K832" s="313"/>
      <c r="L832" s="313"/>
      <c r="M832" s="313"/>
      <c r="N832" s="313"/>
      <c r="O832" s="313"/>
      <c r="P832" s="313"/>
      <c r="Q832" s="313"/>
      <c r="R832" s="313"/>
      <c r="S832" s="313"/>
      <c r="T832" s="313"/>
      <c r="U832" s="313"/>
      <c r="V832" s="313"/>
      <c r="W832" s="313"/>
      <c r="X832" s="313"/>
      <c r="Y832" s="313"/>
      <c r="Z832" s="313"/>
      <c r="AA832" s="313"/>
    </row>
    <row r="833" spans="1:27" ht="14.25" customHeight="1" x14ac:dyDescent="0.2">
      <c r="A833" s="346">
        <v>43809</v>
      </c>
      <c r="B833" s="313">
        <v>313.52999899999998</v>
      </c>
      <c r="C833" s="313">
        <v>210</v>
      </c>
      <c r="D833" s="345">
        <f t="shared" ref="D833:E833" si="842">B833/B832-1</f>
        <v>-1.1150949229786766E-3</v>
      </c>
      <c r="E833" s="345">
        <f t="shared" si="842"/>
        <v>-1.2461763812699589E-2</v>
      </c>
      <c r="F833" s="313"/>
      <c r="G833" s="313"/>
      <c r="H833" s="313"/>
      <c r="I833" s="313"/>
      <c r="J833" s="313"/>
      <c r="K833" s="313"/>
      <c r="L833" s="313"/>
      <c r="M833" s="313"/>
      <c r="N833" s="313"/>
      <c r="O833" s="313"/>
      <c r="P833" s="313"/>
      <c r="Q833" s="313"/>
      <c r="R833" s="313"/>
      <c r="S833" s="313"/>
      <c r="T833" s="313"/>
      <c r="U833" s="313"/>
      <c r="V833" s="313"/>
      <c r="W833" s="313"/>
      <c r="X833" s="313"/>
      <c r="Y833" s="313"/>
      <c r="Z833" s="313"/>
      <c r="AA833" s="313"/>
    </row>
    <row r="834" spans="1:27" ht="14.25" customHeight="1" x14ac:dyDescent="0.2">
      <c r="A834" s="346">
        <v>43810</v>
      </c>
      <c r="B834" s="313">
        <v>314.42001299999998</v>
      </c>
      <c r="C834" s="313">
        <v>211.55999800000001</v>
      </c>
      <c r="D834" s="345">
        <f t="shared" ref="D834:E834" si="843">B834/B833-1</f>
        <v>2.8386884918147892E-3</v>
      </c>
      <c r="E834" s="345">
        <f t="shared" si="843"/>
        <v>7.4285619047620433E-3</v>
      </c>
      <c r="F834" s="313"/>
      <c r="G834" s="313"/>
      <c r="H834" s="313"/>
      <c r="I834" s="313"/>
      <c r="J834" s="313"/>
      <c r="K834" s="313"/>
      <c r="L834" s="313"/>
      <c r="M834" s="313"/>
      <c r="N834" s="313"/>
      <c r="O834" s="313"/>
      <c r="P834" s="313"/>
      <c r="Q834" s="313"/>
      <c r="R834" s="313"/>
      <c r="S834" s="313"/>
      <c r="T834" s="313"/>
      <c r="U834" s="313"/>
      <c r="V834" s="313"/>
      <c r="W834" s="313"/>
      <c r="X834" s="313"/>
      <c r="Y834" s="313"/>
      <c r="Z834" s="313"/>
      <c r="AA834" s="313"/>
    </row>
    <row r="835" spans="1:27" ht="14.25" customHeight="1" x14ac:dyDescent="0.2">
      <c r="A835" s="346">
        <v>43811</v>
      </c>
      <c r="B835" s="313">
        <v>317.13000499999998</v>
      </c>
      <c r="C835" s="313">
        <v>209.69000199999999</v>
      </c>
      <c r="D835" s="345">
        <f t="shared" ref="D835:E835" si="844">B835/B834-1</f>
        <v>8.6190187900030413E-3</v>
      </c>
      <c r="E835" s="345">
        <f t="shared" si="844"/>
        <v>-8.8390811953024118E-3</v>
      </c>
      <c r="F835" s="313"/>
      <c r="G835" s="313"/>
      <c r="H835" s="313"/>
      <c r="I835" s="313"/>
      <c r="J835" s="313"/>
      <c r="K835" s="313"/>
      <c r="L835" s="313"/>
      <c r="M835" s="313"/>
      <c r="N835" s="313"/>
      <c r="O835" s="313"/>
      <c r="P835" s="313"/>
      <c r="Q835" s="313"/>
      <c r="R835" s="313"/>
      <c r="S835" s="313"/>
      <c r="T835" s="313"/>
      <c r="U835" s="313"/>
      <c r="V835" s="313"/>
      <c r="W835" s="313"/>
      <c r="X835" s="313"/>
      <c r="Y835" s="313"/>
      <c r="Z835" s="313"/>
      <c r="AA835" s="313"/>
    </row>
    <row r="836" spans="1:27" ht="14.25" customHeight="1" x14ac:dyDescent="0.2">
      <c r="A836" s="346">
        <v>43812</v>
      </c>
      <c r="B836" s="313">
        <v>317.32000699999998</v>
      </c>
      <c r="C836" s="313">
        <v>212.520004</v>
      </c>
      <c r="D836" s="345">
        <f t="shared" ref="D836:E836" si="845">B836/B835-1</f>
        <v>5.9912968500097641E-4</v>
      </c>
      <c r="E836" s="345">
        <f t="shared" si="845"/>
        <v>1.349612271928935E-2</v>
      </c>
      <c r="F836" s="313"/>
      <c r="G836" s="313"/>
      <c r="H836" s="313"/>
      <c r="I836" s="313"/>
      <c r="J836" s="313"/>
      <c r="K836" s="313"/>
      <c r="L836" s="313"/>
      <c r="M836" s="313"/>
      <c r="N836" s="313"/>
      <c r="O836" s="313"/>
      <c r="P836" s="313"/>
      <c r="Q836" s="313"/>
      <c r="R836" s="313"/>
      <c r="S836" s="313"/>
      <c r="T836" s="313"/>
      <c r="U836" s="313"/>
      <c r="V836" s="313"/>
      <c r="W836" s="313"/>
      <c r="X836" s="313"/>
      <c r="Y836" s="313"/>
      <c r="Z836" s="313"/>
      <c r="AA836" s="313"/>
    </row>
    <row r="837" spans="1:27" ht="14.25" customHeight="1" x14ac:dyDescent="0.2">
      <c r="A837" s="346">
        <v>43815</v>
      </c>
      <c r="B837" s="313">
        <v>319.5</v>
      </c>
      <c r="C837" s="313">
        <v>215.60000600000001</v>
      </c>
      <c r="D837" s="345">
        <f t="shared" ref="D837:E837" si="846">B837/B836-1</f>
        <v>6.8700143448567896E-3</v>
      </c>
      <c r="E837" s="345">
        <f t="shared" si="846"/>
        <v>1.449276276128808E-2</v>
      </c>
      <c r="F837" s="313"/>
      <c r="G837" s="313"/>
      <c r="H837" s="313"/>
      <c r="I837" s="313"/>
      <c r="J837" s="313"/>
      <c r="K837" s="313"/>
      <c r="L837" s="313"/>
      <c r="M837" s="313"/>
      <c r="N837" s="313"/>
      <c r="O837" s="313"/>
      <c r="P837" s="313"/>
      <c r="Q837" s="313"/>
      <c r="R837" s="313"/>
      <c r="S837" s="313"/>
      <c r="T837" s="313"/>
      <c r="U837" s="313"/>
      <c r="V837" s="313"/>
      <c r="W837" s="313"/>
      <c r="X837" s="313"/>
      <c r="Y837" s="313"/>
      <c r="Z837" s="313"/>
      <c r="AA837" s="313"/>
    </row>
    <row r="838" spans="1:27" ht="14.25" customHeight="1" x14ac:dyDescent="0.2">
      <c r="A838" s="346">
        <v>43816</v>
      </c>
      <c r="B838" s="313">
        <v>319.57000699999998</v>
      </c>
      <c r="C838" s="313">
        <v>211.929993</v>
      </c>
      <c r="D838" s="345">
        <f t="shared" ref="D838:E838" si="847">B838/B837-1</f>
        <v>2.1911424100151677E-4</v>
      </c>
      <c r="E838" s="345">
        <f t="shared" si="847"/>
        <v>-1.7022323273961359E-2</v>
      </c>
      <c r="F838" s="313"/>
      <c r="G838" s="313"/>
      <c r="H838" s="313"/>
      <c r="I838" s="313"/>
      <c r="J838" s="313"/>
      <c r="K838" s="313"/>
      <c r="L838" s="313"/>
      <c r="M838" s="313"/>
      <c r="N838" s="313"/>
      <c r="O838" s="313"/>
      <c r="P838" s="313"/>
      <c r="Q838" s="313"/>
      <c r="R838" s="313"/>
      <c r="S838" s="313"/>
      <c r="T838" s="313"/>
      <c r="U838" s="313"/>
      <c r="V838" s="313"/>
      <c r="W838" s="313"/>
      <c r="X838" s="313"/>
      <c r="Y838" s="313"/>
      <c r="Z838" s="313"/>
      <c r="AA838" s="313"/>
    </row>
    <row r="839" spans="1:27" ht="14.25" customHeight="1" x14ac:dyDescent="0.2">
      <c r="A839" s="346">
        <v>43817</v>
      </c>
      <c r="B839" s="313">
        <v>319.58999599999999</v>
      </c>
      <c r="C839" s="313">
        <v>217.949997</v>
      </c>
      <c r="D839" s="345">
        <f t="shared" ref="D839:E839" si="848">B839/B838-1</f>
        <v>6.2549674757272911E-5</v>
      </c>
      <c r="E839" s="345">
        <f t="shared" si="848"/>
        <v>2.8405625436886517E-2</v>
      </c>
      <c r="F839" s="313"/>
      <c r="G839" s="313"/>
      <c r="H839" s="313"/>
      <c r="I839" s="313"/>
      <c r="J839" s="313"/>
      <c r="K839" s="313"/>
      <c r="L839" s="313"/>
      <c r="M839" s="313"/>
      <c r="N839" s="313"/>
      <c r="O839" s="313"/>
      <c r="P839" s="313"/>
      <c r="Q839" s="313"/>
      <c r="R839" s="313"/>
      <c r="S839" s="313"/>
      <c r="T839" s="313"/>
      <c r="U839" s="313"/>
      <c r="V839" s="313"/>
      <c r="W839" s="313"/>
      <c r="X839" s="313"/>
      <c r="Y839" s="313"/>
      <c r="Z839" s="313"/>
      <c r="AA839" s="313"/>
    </row>
    <row r="840" spans="1:27" ht="14.25" customHeight="1" x14ac:dyDescent="0.2">
      <c r="A840" s="346">
        <v>43818</v>
      </c>
      <c r="B840" s="313">
        <v>320.89999399999999</v>
      </c>
      <c r="C840" s="313">
        <v>224.199997</v>
      </c>
      <c r="D840" s="345">
        <f t="shared" ref="D840:E840" si="849">B840/B839-1</f>
        <v>4.0989956394004157E-3</v>
      </c>
      <c r="E840" s="345">
        <f t="shared" si="849"/>
        <v>2.8676302298825007E-2</v>
      </c>
      <c r="F840" s="313"/>
      <c r="G840" s="313"/>
      <c r="H840" s="313"/>
      <c r="I840" s="313"/>
      <c r="J840" s="313"/>
      <c r="K840" s="313"/>
      <c r="L840" s="313"/>
      <c r="M840" s="313"/>
      <c r="N840" s="313"/>
      <c r="O840" s="313"/>
      <c r="P840" s="313"/>
      <c r="Q840" s="313"/>
      <c r="R840" s="313"/>
      <c r="S840" s="313"/>
      <c r="T840" s="313"/>
      <c r="U840" s="313"/>
      <c r="V840" s="313"/>
      <c r="W840" s="313"/>
      <c r="X840" s="313"/>
      <c r="Y840" s="313"/>
      <c r="Z840" s="313"/>
      <c r="AA840" s="313"/>
    </row>
    <row r="841" spans="1:27" ht="14.25" customHeight="1" x14ac:dyDescent="0.2">
      <c r="A841" s="346">
        <v>43819</v>
      </c>
      <c r="B841" s="313">
        <v>320.73001099999999</v>
      </c>
      <c r="C841" s="313">
        <v>227.740005</v>
      </c>
      <c r="D841" s="345">
        <f t="shared" ref="D841:E841" si="850">B841/B840-1</f>
        <v>-5.2970708375899012E-4</v>
      </c>
      <c r="E841" s="345">
        <f t="shared" si="850"/>
        <v>1.5789509577915029E-2</v>
      </c>
      <c r="F841" s="313"/>
      <c r="G841" s="313"/>
      <c r="H841" s="313"/>
      <c r="I841" s="313"/>
      <c r="J841" s="313"/>
      <c r="K841" s="313"/>
      <c r="L841" s="313"/>
      <c r="M841" s="313"/>
      <c r="N841" s="313"/>
      <c r="O841" s="313"/>
      <c r="P841" s="313"/>
      <c r="Q841" s="313"/>
      <c r="R841" s="313"/>
      <c r="S841" s="313"/>
      <c r="T841" s="313"/>
      <c r="U841" s="313"/>
      <c r="V841" s="313"/>
      <c r="W841" s="313"/>
      <c r="X841" s="313"/>
      <c r="Y841" s="313"/>
      <c r="Z841" s="313"/>
      <c r="AA841" s="313"/>
    </row>
    <row r="842" spans="1:27" ht="14.25" customHeight="1" x14ac:dyDescent="0.2">
      <c r="A842" s="346">
        <v>43822</v>
      </c>
      <c r="B842" s="313">
        <v>321.22000100000002</v>
      </c>
      <c r="C842" s="313">
        <v>226.970001</v>
      </c>
      <c r="D842" s="345">
        <f t="shared" ref="D842:E842" si="851">B842/B841-1</f>
        <v>1.527733555311217E-3</v>
      </c>
      <c r="E842" s="345">
        <f t="shared" si="851"/>
        <v>-3.3810660538099446E-3</v>
      </c>
      <c r="F842" s="313"/>
      <c r="G842" s="313"/>
      <c r="H842" s="313"/>
      <c r="I842" s="313"/>
      <c r="J842" s="313"/>
      <c r="K842" s="313"/>
      <c r="L842" s="313"/>
      <c r="M842" s="313"/>
      <c r="N842" s="313"/>
      <c r="O842" s="313"/>
      <c r="P842" s="313"/>
      <c r="Q842" s="313"/>
      <c r="R842" s="313"/>
      <c r="S842" s="313"/>
      <c r="T842" s="313"/>
      <c r="U842" s="313"/>
      <c r="V842" s="313"/>
      <c r="W842" s="313"/>
      <c r="X842" s="313"/>
      <c r="Y842" s="313"/>
      <c r="Z842" s="313"/>
      <c r="AA842" s="313"/>
    </row>
    <row r="843" spans="1:27" ht="14.25" customHeight="1" x14ac:dyDescent="0.2">
      <c r="A843" s="346">
        <v>43823</v>
      </c>
      <c r="B843" s="313">
        <v>321.23001099999999</v>
      </c>
      <c r="C843" s="313">
        <v>227.08000200000001</v>
      </c>
      <c r="D843" s="345">
        <f t="shared" ref="D843:E843" si="852">B843/B842-1</f>
        <v>3.116244308820626E-5</v>
      </c>
      <c r="E843" s="345">
        <f t="shared" si="852"/>
        <v>4.8464995160313329E-4</v>
      </c>
      <c r="F843" s="313"/>
      <c r="G843" s="313"/>
      <c r="H843" s="313"/>
      <c r="I843" s="313"/>
      <c r="J843" s="313"/>
      <c r="K843" s="313"/>
      <c r="L843" s="313"/>
      <c r="M843" s="313"/>
      <c r="N843" s="313"/>
      <c r="O843" s="313"/>
      <c r="P843" s="313"/>
      <c r="Q843" s="313"/>
      <c r="R843" s="313"/>
      <c r="S843" s="313"/>
      <c r="T843" s="313"/>
      <c r="U843" s="313"/>
      <c r="V843" s="313"/>
      <c r="W843" s="313"/>
      <c r="X843" s="313"/>
      <c r="Y843" s="313"/>
      <c r="Z843" s="313"/>
      <c r="AA843" s="313"/>
    </row>
    <row r="844" spans="1:27" ht="14.25" customHeight="1" x14ac:dyDescent="0.2">
      <c r="A844" s="346">
        <v>43825</v>
      </c>
      <c r="B844" s="313">
        <v>322.94000199999999</v>
      </c>
      <c r="C844" s="313">
        <v>227.86999499999999</v>
      </c>
      <c r="D844" s="345">
        <f t="shared" ref="D844:E844" si="853">B844/B843-1</f>
        <v>5.3232604098127911E-3</v>
      </c>
      <c r="E844" s="345">
        <f t="shared" si="853"/>
        <v>3.478919292945859E-3</v>
      </c>
      <c r="F844" s="313"/>
      <c r="G844" s="313"/>
      <c r="H844" s="313"/>
      <c r="I844" s="313"/>
      <c r="J844" s="313"/>
      <c r="K844" s="313"/>
      <c r="L844" s="313"/>
      <c r="M844" s="313"/>
      <c r="N844" s="313"/>
      <c r="O844" s="313"/>
      <c r="P844" s="313"/>
      <c r="Q844" s="313"/>
      <c r="R844" s="313"/>
      <c r="S844" s="313"/>
      <c r="T844" s="313"/>
      <c r="U844" s="313"/>
      <c r="V844" s="313"/>
      <c r="W844" s="313"/>
      <c r="X844" s="313"/>
      <c r="Y844" s="313"/>
      <c r="Z844" s="313"/>
      <c r="AA844" s="313"/>
    </row>
    <row r="845" spans="1:27" ht="14.25" customHeight="1" x14ac:dyDescent="0.2">
      <c r="A845" s="346">
        <v>43826</v>
      </c>
      <c r="B845" s="313">
        <v>322.85998499999999</v>
      </c>
      <c r="C845" s="313">
        <v>229.08000200000001</v>
      </c>
      <c r="D845" s="345">
        <f t="shared" ref="D845:E845" si="854">B845/B844-1</f>
        <v>-2.4777667524755742E-4</v>
      </c>
      <c r="E845" s="345">
        <f t="shared" si="854"/>
        <v>5.3100760369966249E-3</v>
      </c>
      <c r="F845" s="313"/>
      <c r="G845" s="313"/>
      <c r="H845" s="313"/>
      <c r="I845" s="313"/>
      <c r="J845" s="313"/>
      <c r="K845" s="313"/>
      <c r="L845" s="313"/>
      <c r="M845" s="313"/>
      <c r="N845" s="313"/>
      <c r="O845" s="313"/>
      <c r="P845" s="313"/>
      <c r="Q845" s="313"/>
      <c r="R845" s="313"/>
      <c r="S845" s="313"/>
      <c r="T845" s="313"/>
      <c r="U845" s="313"/>
      <c r="V845" s="313"/>
      <c r="W845" s="313"/>
      <c r="X845" s="313"/>
      <c r="Y845" s="313"/>
      <c r="Z845" s="313"/>
      <c r="AA845" s="313"/>
    </row>
    <row r="846" spans="1:27" ht="14.25" customHeight="1" x14ac:dyDescent="0.2">
      <c r="A846" s="346">
        <v>43829</v>
      </c>
      <c r="B846" s="313">
        <v>321.07998700000002</v>
      </c>
      <c r="C846" s="313">
        <v>228.85000600000001</v>
      </c>
      <c r="D846" s="345">
        <f t="shared" ref="D846:E846" si="855">B846/B845-1</f>
        <v>-5.5132196081839613E-3</v>
      </c>
      <c r="E846" s="345">
        <f t="shared" si="855"/>
        <v>-1.0039985943426366E-3</v>
      </c>
      <c r="F846" s="313"/>
      <c r="G846" s="313"/>
      <c r="H846" s="313"/>
      <c r="I846" s="313"/>
      <c r="J846" s="313"/>
      <c r="K846" s="313"/>
      <c r="L846" s="313"/>
      <c r="M846" s="313"/>
      <c r="N846" s="313"/>
      <c r="O846" s="313"/>
      <c r="P846" s="313"/>
      <c r="Q846" s="313"/>
      <c r="R846" s="313"/>
      <c r="S846" s="313"/>
      <c r="T846" s="313"/>
      <c r="U846" s="313"/>
      <c r="V846" s="313"/>
      <c r="W846" s="313"/>
      <c r="X846" s="313"/>
      <c r="Y846" s="313"/>
      <c r="Z846" s="313"/>
      <c r="AA846" s="313"/>
    </row>
    <row r="847" spans="1:27" ht="14.25" customHeight="1" x14ac:dyDescent="0.2">
      <c r="A847" s="346">
        <v>43830</v>
      </c>
      <c r="B847" s="313">
        <v>321.85998499999999</v>
      </c>
      <c r="C847" s="313">
        <v>229.820007</v>
      </c>
      <c r="D847" s="345">
        <f t="shared" ref="D847:E847" si="856">B847/B846-1</f>
        <v>2.4292949781388185E-3</v>
      </c>
      <c r="E847" s="345">
        <f t="shared" si="856"/>
        <v>4.2385884840221433E-3</v>
      </c>
      <c r="F847" s="313"/>
      <c r="G847" s="313"/>
      <c r="H847" s="313"/>
      <c r="I847" s="313"/>
      <c r="J847" s="313"/>
      <c r="K847" s="313"/>
      <c r="L847" s="313"/>
      <c r="M847" s="313"/>
      <c r="N847" s="313"/>
      <c r="O847" s="313"/>
      <c r="P847" s="313"/>
      <c r="Q847" s="313"/>
      <c r="R847" s="313"/>
      <c r="S847" s="313"/>
      <c r="T847" s="313"/>
      <c r="U847" s="313"/>
      <c r="V847" s="313"/>
      <c r="W847" s="313"/>
      <c r="X847" s="313"/>
      <c r="Y847" s="313"/>
      <c r="Z847" s="313"/>
      <c r="AA847" s="313"/>
    </row>
    <row r="848" spans="1:27" ht="14.25" customHeight="1" x14ac:dyDescent="0.2">
      <c r="A848" s="346">
        <v>43832</v>
      </c>
      <c r="B848" s="313">
        <v>324.86999500000002</v>
      </c>
      <c r="C848" s="313">
        <v>228.5</v>
      </c>
      <c r="D848" s="345">
        <f t="shared" ref="D848:E848" si="857">B848/B847-1</f>
        <v>9.3519236322590071E-3</v>
      </c>
      <c r="E848" s="345">
        <f t="shared" si="857"/>
        <v>-5.7436557296771662E-3</v>
      </c>
      <c r="F848" s="313"/>
      <c r="G848" s="313"/>
      <c r="H848" s="313"/>
      <c r="I848" s="313"/>
      <c r="J848" s="313"/>
      <c r="K848" s="313"/>
      <c r="L848" s="313"/>
      <c r="M848" s="313"/>
      <c r="N848" s="313"/>
      <c r="O848" s="313"/>
      <c r="P848" s="313"/>
      <c r="Q848" s="313"/>
      <c r="R848" s="313"/>
      <c r="S848" s="313"/>
      <c r="T848" s="313"/>
      <c r="U848" s="313"/>
      <c r="V848" s="313"/>
      <c r="W848" s="313"/>
      <c r="X848" s="313"/>
      <c r="Y848" s="313"/>
      <c r="Z848" s="313"/>
      <c r="AA848" s="313"/>
    </row>
    <row r="849" spans="1:27" ht="14.25" customHeight="1" x14ac:dyDescent="0.2">
      <c r="A849" s="346">
        <v>43833</v>
      </c>
      <c r="B849" s="313">
        <v>322.41000400000001</v>
      </c>
      <c r="C849" s="313">
        <v>228.61000100000001</v>
      </c>
      <c r="D849" s="345">
        <f t="shared" ref="D849:E849" si="858">B849/B848-1</f>
        <v>-7.5722320862534609E-3</v>
      </c>
      <c r="E849" s="345">
        <f t="shared" si="858"/>
        <v>4.8140481400449353E-4</v>
      </c>
      <c r="F849" s="313"/>
      <c r="G849" s="313"/>
      <c r="H849" s="313"/>
      <c r="I849" s="313"/>
      <c r="J849" s="313"/>
      <c r="K849" s="313"/>
      <c r="L849" s="313"/>
      <c r="M849" s="313"/>
      <c r="N849" s="313"/>
      <c r="O849" s="313"/>
      <c r="P849" s="313"/>
      <c r="Q849" s="313"/>
      <c r="R849" s="313"/>
      <c r="S849" s="313"/>
      <c r="T849" s="313"/>
      <c r="U849" s="313"/>
      <c r="V849" s="313"/>
      <c r="W849" s="313"/>
      <c r="X849" s="313"/>
      <c r="Y849" s="313"/>
      <c r="Z849" s="313"/>
      <c r="AA849" s="313"/>
    </row>
    <row r="850" spans="1:27" ht="14.25" customHeight="1" x14ac:dyDescent="0.2">
      <c r="A850" s="346">
        <v>43836</v>
      </c>
      <c r="B850" s="313">
        <v>323.64001500000001</v>
      </c>
      <c r="C850" s="313">
        <v>228.550003</v>
      </c>
      <c r="D850" s="345">
        <f t="shared" ref="D850:E850" si="859">B850/B849-1</f>
        <v>3.8150522153153066E-3</v>
      </c>
      <c r="E850" s="345">
        <f t="shared" si="859"/>
        <v>-2.6244696092714292E-4</v>
      </c>
      <c r="F850" s="313"/>
      <c r="G850" s="313"/>
      <c r="H850" s="313"/>
      <c r="I850" s="313"/>
      <c r="J850" s="313"/>
      <c r="K850" s="313"/>
      <c r="L850" s="313"/>
      <c r="M850" s="313"/>
      <c r="N850" s="313"/>
      <c r="O850" s="313"/>
      <c r="P850" s="313"/>
      <c r="Q850" s="313"/>
      <c r="R850" s="313"/>
      <c r="S850" s="313"/>
      <c r="T850" s="313"/>
      <c r="U850" s="313"/>
      <c r="V850" s="313"/>
      <c r="W850" s="313"/>
      <c r="X850" s="313"/>
      <c r="Y850" s="313"/>
      <c r="Z850" s="313"/>
      <c r="AA850" s="313"/>
    </row>
    <row r="851" spans="1:27" ht="14.25" customHeight="1" x14ac:dyDescent="0.2">
      <c r="A851" s="346">
        <v>43837</v>
      </c>
      <c r="B851" s="313">
        <v>322.73001099999999</v>
      </c>
      <c r="C851" s="313">
        <v>223.679993</v>
      </c>
      <c r="D851" s="345">
        <f t="shared" ref="D851:E851" si="860">B851/B850-1</f>
        <v>-2.811778389022801E-3</v>
      </c>
      <c r="E851" s="345">
        <f t="shared" si="860"/>
        <v>-2.1308291122621448E-2</v>
      </c>
      <c r="F851" s="313"/>
      <c r="G851" s="313"/>
      <c r="H851" s="313"/>
      <c r="I851" s="313"/>
      <c r="J851" s="313"/>
      <c r="K851" s="313"/>
      <c r="L851" s="313"/>
      <c r="M851" s="313"/>
      <c r="N851" s="313"/>
      <c r="O851" s="313"/>
      <c r="P851" s="313"/>
      <c r="Q851" s="313"/>
      <c r="R851" s="313"/>
      <c r="S851" s="313"/>
      <c r="T851" s="313"/>
      <c r="U851" s="313"/>
      <c r="V851" s="313"/>
      <c r="W851" s="313"/>
      <c r="X851" s="313"/>
      <c r="Y851" s="313"/>
      <c r="Z851" s="313"/>
      <c r="AA851" s="313"/>
    </row>
    <row r="852" spans="1:27" ht="14.25" customHeight="1" x14ac:dyDescent="0.2">
      <c r="A852" s="346">
        <v>43838</v>
      </c>
      <c r="B852" s="313">
        <v>324.45001200000002</v>
      </c>
      <c r="C852" s="313">
        <v>225.61999499999999</v>
      </c>
      <c r="D852" s="345">
        <f t="shared" ref="D852:E852" si="861">B852/B851-1</f>
        <v>5.3295353433988613E-3</v>
      </c>
      <c r="E852" s="345">
        <f t="shared" si="861"/>
        <v>8.6731136476743131E-3</v>
      </c>
      <c r="F852" s="313"/>
      <c r="G852" s="313"/>
      <c r="H852" s="313"/>
      <c r="I852" s="313"/>
      <c r="J852" s="313"/>
      <c r="K852" s="313"/>
      <c r="L852" s="313"/>
      <c r="M852" s="313"/>
      <c r="N852" s="313"/>
      <c r="O852" s="313"/>
      <c r="P852" s="313"/>
      <c r="Q852" s="313"/>
      <c r="R852" s="313"/>
      <c r="S852" s="313"/>
      <c r="T852" s="313"/>
      <c r="U852" s="313"/>
      <c r="V852" s="313"/>
      <c r="W852" s="313"/>
      <c r="X852" s="313"/>
      <c r="Y852" s="313"/>
      <c r="Z852" s="313"/>
      <c r="AA852" s="313"/>
    </row>
    <row r="853" spans="1:27" ht="14.25" customHeight="1" x14ac:dyDescent="0.2">
      <c r="A853" s="346">
        <v>43839</v>
      </c>
      <c r="B853" s="313">
        <v>326.64999399999999</v>
      </c>
      <c r="C853" s="313">
        <v>226.470001</v>
      </c>
      <c r="D853" s="345">
        <f t="shared" ref="D853:E853" si="862">B853/B852-1</f>
        <v>6.7806500805429604E-3</v>
      </c>
      <c r="E853" s="345">
        <f t="shared" si="862"/>
        <v>3.7674231842794725E-3</v>
      </c>
      <c r="F853" s="313"/>
      <c r="G853" s="313"/>
      <c r="H853" s="313"/>
      <c r="I853" s="313"/>
      <c r="J853" s="313"/>
      <c r="K853" s="313"/>
      <c r="L853" s="313"/>
      <c r="M853" s="313"/>
      <c r="N853" s="313"/>
      <c r="O853" s="313"/>
      <c r="P853" s="313"/>
      <c r="Q853" s="313"/>
      <c r="R853" s="313"/>
      <c r="S853" s="313"/>
      <c r="T853" s="313"/>
      <c r="U853" s="313"/>
      <c r="V853" s="313"/>
      <c r="W853" s="313"/>
      <c r="X853" s="313"/>
      <c r="Y853" s="313"/>
      <c r="Z853" s="313"/>
      <c r="AA853" s="313"/>
    </row>
    <row r="854" spans="1:27" ht="14.25" customHeight="1" x14ac:dyDescent="0.2">
      <c r="A854" s="346">
        <v>43840</v>
      </c>
      <c r="B854" s="313">
        <v>325.709991</v>
      </c>
      <c r="C854" s="313">
        <v>230.800003</v>
      </c>
      <c r="D854" s="345">
        <f t="shared" ref="D854:E854" si="863">B854/B853-1</f>
        <v>-2.877707078727143E-3</v>
      </c>
      <c r="E854" s="345">
        <f t="shared" si="863"/>
        <v>1.9119538927365509E-2</v>
      </c>
      <c r="F854" s="313"/>
      <c r="G854" s="313"/>
      <c r="H854" s="313"/>
      <c r="I854" s="313"/>
      <c r="J854" s="313"/>
      <c r="K854" s="313"/>
      <c r="L854" s="313"/>
      <c r="M854" s="313"/>
      <c r="N854" s="313"/>
      <c r="O854" s="313"/>
      <c r="P854" s="313"/>
      <c r="Q854" s="313"/>
      <c r="R854" s="313"/>
      <c r="S854" s="313"/>
      <c r="T854" s="313"/>
      <c r="U854" s="313"/>
      <c r="V854" s="313"/>
      <c r="W854" s="313"/>
      <c r="X854" s="313"/>
      <c r="Y854" s="313"/>
      <c r="Z854" s="313"/>
      <c r="AA854" s="313"/>
    </row>
    <row r="855" spans="1:27" ht="14.25" customHeight="1" x14ac:dyDescent="0.2">
      <c r="A855" s="346">
        <v>43843</v>
      </c>
      <c r="B855" s="313">
        <v>327.95001200000002</v>
      </c>
      <c r="C855" s="313">
        <v>235.41000399999999</v>
      </c>
      <c r="D855" s="345">
        <f t="shared" ref="D855:E855" si="864">B855/B854-1</f>
        <v>6.8773481375952183E-3</v>
      </c>
      <c r="E855" s="345">
        <f t="shared" si="864"/>
        <v>1.997400753933265E-2</v>
      </c>
      <c r="F855" s="313"/>
      <c r="G855" s="313"/>
      <c r="H855" s="313"/>
      <c r="I855" s="313"/>
      <c r="J855" s="313"/>
      <c r="K855" s="313"/>
      <c r="L855" s="313"/>
      <c r="M855" s="313"/>
      <c r="N855" s="313"/>
      <c r="O855" s="313"/>
      <c r="P855" s="313"/>
      <c r="Q855" s="313"/>
      <c r="R855" s="313"/>
      <c r="S855" s="313"/>
      <c r="T855" s="313"/>
      <c r="U855" s="313"/>
      <c r="V855" s="313"/>
      <c r="W855" s="313"/>
      <c r="X855" s="313"/>
      <c r="Y855" s="313"/>
      <c r="Z855" s="313"/>
      <c r="AA855" s="313"/>
    </row>
    <row r="856" spans="1:27" ht="14.25" customHeight="1" x14ac:dyDescent="0.2">
      <c r="A856" s="346">
        <v>43844</v>
      </c>
      <c r="B856" s="313">
        <v>327.45001200000002</v>
      </c>
      <c r="C856" s="313">
        <v>233.949997</v>
      </c>
      <c r="D856" s="345">
        <f t="shared" ref="D856:E856" si="865">B856/B855-1</f>
        <v>-1.5246226001053298E-3</v>
      </c>
      <c r="E856" s="345">
        <f t="shared" si="865"/>
        <v>-6.2019751717943272E-3</v>
      </c>
      <c r="F856" s="313"/>
      <c r="G856" s="313"/>
      <c r="H856" s="313"/>
      <c r="I856" s="313"/>
      <c r="J856" s="313"/>
      <c r="K856" s="313"/>
      <c r="L856" s="313"/>
      <c r="M856" s="313"/>
      <c r="N856" s="313"/>
      <c r="O856" s="313"/>
      <c r="P856" s="313"/>
      <c r="Q856" s="313"/>
      <c r="R856" s="313"/>
      <c r="S856" s="313"/>
      <c r="T856" s="313"/>
      <c r="U856" s="313"/>
      <c r="V856" s="313"/>
      <c r="W856" s="313"/>
      <c r="X856" s="313"/>
      <c r="Y856" s="313"/>
      <c r="Z856" s="313"/>
      <c r="AA856" s="313"/>
    </row>
    <row r="857" spans="1:27" ht="14.25" customHeight="1" x14ac:dyDescent="0.2">
      <c r="A857" s="346">
        <v>43845</v>
      </c>
      <c r="B857" s="313">
        <v>328.19000199999999</v>
      </c>
      <c r="C857" s="313">
        <v>235.38000500000001</v>
      </c>
      <c r="D857" s="345">
        <f t="shared" ref="D857:E857" si="866">B857/B856-1</f>
        <v>2.2598563838194252E-3</v>
      </c>
      <c r="E857" s="345">
        <f t="shared" si="866"/>
        <v>6.1124514568813293E-3</v>
      </c>
      <c r="F857" s="313"/>
      <c r="G857" s="313"/>
      <c r="H857" s="313"/>
      <c r="I857" s="313"/>
      <c r="J857" s="313"/>
      <c r="K857" s="313"/>
      <c r="L857" s="313"/>
      <c r="M857" s="313"/>
      <c r="N857" s="313"/>
      <c r="O857" s="313"/>
      <c r="P857" s="313"/>
      <c r="Q857" s="313"/>
      <c r="R857" s="313"/>
      <c r="S857" s="313"/>
      <c r="T857" s="313"/>
      <c r="U857" s="313"/>
      <c r="V857" s="313"/>
      <c r="W857" s="313"/>
      <c r="X857" s="313"/>
      <c r="Y857" s="313"/>
      <c r="Z857" s="313"/>
      <c r="AA857" s="313"/>
    </row>
    <row r="858" spans="1:27" ht="14.25" customHeight="1" x14ac:dyDescent="0.2">
      <c r="A858" s="346">
        <v>43846</v>
      </c>
      <c r="B858" s="313">
        <v>330.92001299999998</v>
      </c>
      <c r="C858" s="313">
        <v>232.240005</v>
      </c>
      <c r="D858" s="345">
        <f t="shared" ref="D858:E858" si="867">B858/B857-1</f>
        <v>8.3183856405228962E-3</v>
      </c>
      <c r="E858" s="345">
        <f t="shared" si="867"/>
        <v>-1.3340130568864628E-2</v>
      </c>
      <c r="F858" s="313"/>
      <c r="G858" s="313"/>
      <c r="H858" s="313"/>
      <c r="I858" s="313"/>
      <c r="J858" s="313"/>
      <c r="K858" s="313"/>
      <c r="L858" s="313"/>
      <c r="M858" s="313"/>
      <c r="N858" s="313"/>
      <c r="O858" s="313"/>
      <c r="P858" s="313"/>
      <c r="Q858" s="313"/>
      <c r="R858" s="313"/>
      <c r="S858" s="313"/>
      <c r="T858" s="313"/>
      <c r="U858" s="313"/>
      <c r="V858" s="313"/>
      <c r="W858" s="313"/>
      <c r="X858" s="313"/>
      <c r="Y858" s="313"/>
      <c r="Z858" s="313"/>
      <c r="AA858" s="313"/>
    </row>
    <row r="859" spans="1:27" ht="14.25" customHeight="1" x14ac:dyDescent="0.2">
      <c r="A859" s="346">
        <v>43847</v>
      </c>
      <c r="B859" s="313">
        <v>331.95001200000002</v>
      </c>
      <c r="C859" s="313">
        <v>233.41999799999999</v>
      </c>
      <c r="D859" s="345">
        <f t="shared" ref="D859:E859" si="868">B859/B858-1</f>
        <v>3.1125316074493981E-3</v>
      </c>
      <c r="E859" s="345">
        <f t="shared" si="868"/>
        <v>5.0809204899904259E-3</v>
      </c>
      <c r="F859" s="313"/>
      <c r="G859" s="313"/>
      <c r="H859" s="313"/>
      <c r="I859" s="313"/>
      <c r="J859" s="313"/>
      <c r="K859" s="313"/>
      <c r="L859" s="313"/>
      <c r="M859" s="313"/>
      <c r="N859" s="313"/>
      <c r="O859" s="313"/>
      <c r="P859" s="313"/>
      <c r="Q859" s="313"/>
      <c r="R859" s="313"/>
      <c r="S859" s="313"/>
      <c r="T859" s="313"/>
      <c r="U859" s="313"/>
      <c r="V859" s="313"/>
      <c r="W859" s="313"/>
      <c r="X859" s="313"/>
      <c r="Y859" s="313"/>
      <c r="Z859" s="313"/>
      <c r="AA859" s="313"/>
    </row>
    <row r="860" spans="1:27" ht="14.25" customHeight="1" x14ac:dyDescent="0.2">
      <c r="A860" s="346">
        <v>43851</v>
      </c>
      <c r="B860" s="313">
        <v>331.29998799999998</v>
      </c>
      <c r="C860" s="313">
        <v>236.729996</v>
      </c>
      <c r="D860" s="345">
        <f t="shared" ref="D860:E860" si="869">B860/B859-1</f>
        <v>-1.9581984530852026E-3</v>
      </c>
      <c r="E860" s="345">
        <f t="shared" si="869"/>
        <v>1.4180438815700747E-2</v>
      </c>
      <c r="F860" s="313"/>
      <c r="G860" s="313"/>
      <c r="H860" s="313"/>
      <c r="I860" s="313"/>
      <c r="J860" s="313"/>
      <c r="K860" s="313"/>
      <c r="L860" s="313"/>
      <c r="M860" s="313"/>
      <c r="N860" s="313"/>
      <c r="O860" s="313"/>
      <c r="P860" s="313"/>
      <c r="Q860" s="313"/>
      <c r="R860" s="313"/>
      <c r="S860" s="313"/>
      <c r="T860" s="313"/>
      <c r="U860" s="313"/>
      <c r="V860" s="313"/>
      <c r="W860" s="313"/>
      <c r="X860" s="313"/>
      <c r="Y860" s="313"/>
      <c r="Z860" s="313"/>
      <c r="AA860" s="313"/>
    </row>
    <row r="861" spans="1:27" ht="14.25" customHeight="1" x14ac:dyDescent="0.2">
      <c r="A861" s="346">
        <v>43852</v>
      </c>
      <c r="B861" s="313">
        <v>331.33999599999999</v>
      </c>
      <c r="C861" s="313">
        <v>235.16000399999999</v>
      </c>
      <c r="D861" s="345">
        <f t="shared" ref="D861:E861" si="870">B861/B860-1</f>
        <v>1.2076064427746225E-4</v>
      </c>
      <c r="E861" s="345">
        <f t="shared" si="870"/>
        <v>-6.6319943671185877E-3</v>
      </c>
      <c r="F861" s="313"/>
      <c r="G861" s="313"/>
      <c r="H861" s="313"/>
      <c r="I861" s="313"/>
      <c r="J861" s="313"/>
      <c r="K861" s="313"/>
      <c r="L861" s="313"/>
      <c r="M861" s="313"/>
      <c r="N861" s="313"/>
      <c r="O861" s="313"/>
      <c r="P861" s="313"/>
      <c r="Q861" s="313"/>
      <c r="R861" s="313"/>
      <c r="S861" s="313"/>
      <c r="T861" s="313"/>
      <c r="U861" s="313"/>
      <c r="V861" s="313"/>
      <c r="W861" s="313"/>
      <c r="X861" s="313"/>
      <c r="Y861" s="313"/>
      <c r="Z861" s="313"/>
      <c r="AA861" s="313"/>
    </row>
    <row r="862" spans="1:27" ht="14.25" customHeight="1" x14ac:dyDescent="0.2">
      <c r="A862" s="346">
        <v>43853</v>
      </c>
      <c r="B862" s="313">
        <v>331.72000100000002</v>
      </c>
      <c r="C862" s="313">
        <v>237.83000200000001</v>
      </c>
      <c r="D862" s="345">
        <f t="shared" ref="D862:E862" si="871">B862/B861-1</f>
        <v>1.146873316193453E-3</v>
      </c>
      <c r="E862" s="345">
        <f t="shared" si="871"/>
        <v>1.1353963065930284E-2</v>
      </c>
      <c r="F862" s="313"/>
      <c r="G862" s="313"/>
      <c r="H862" s="313"/>
      <c r="I862" s="313"/>
      <c r="J862" s="313"/>
      <c r="K862" s="313"/>
      <c r="L862" s="313"/>
      <c r="M862" s="313"/>
      <c r="N862" s="313"/>
      <c r="O862" s="313"/>
      <c r="P862" s="313"/>
      <c r="Q862" s="313"/>
      <c r="R862" s="313"/>
      <c r="S862" s="313"/>
      <c r="T862" s="313"/>
      <c r="U862" s="313"/>
      <c r="V862" s="313"/>
      <c r="W862" s="313"/>
      <c r="X862" s="313"/>
      <c r="Y862" s="313"/>
      <c r="Z862" s="313"/>
      <c r="AA862" s="313"/>
    </row>
    <row r="863" spans="1:27" ht="14.25" customHeight="1" x14ac:dyDescent="0.2">
      <c r="A863" s="346">
        <v>43854</v>
      </c>
      <c r="B863" s="313">
        <v>328.76998900000001</v>
      </c>
      <c r="C863" s="313">
        <v>237.520004</v>
      </c>
      <c r="D863" s="345">
        <f t="shared" ref="D863:E863" si="872">B863/B862-1</f>
        <v>-8.893078473130811E-3</v>
      </c>
      <c r="E863" s="345">
        <f t="shared" si="872"/>
        <v>-1.3034436252495896E-3</v>
      </c>
      <c r="F863" s="313"/>
      <c r="G863" s="313"/>
      <c r="H863" s="313"/>
      <c r="I863" s="313"/>
      <c r="J863" s="313"/>
      <c r="K863" s="313"/>
      <c r="L863" s="313"/>
      <c r="M863" s="313"/>
      <c r="N863" s="313"/>
      <c r="O863" s="313"/>
      <c r="P863" s="313"/>
      <c r="Q863" s="313"/>
      <c r="R863" s="313"/>
      <c r="S863" s="313"/>
      <c r="T863" s="313"/>
      <c r="U863" s="313"/>
      <c r="V863" s="313"/>
      <c r="W863" s="313"/>
      <c r="X863" s="313"/>
      <c r="Y863" s="313"/>
      <c r="Z863" s="313"/>
      <c r="AA863" s="313"/>
    </row>
    <row r="864" spans="1:27" ht="14.25" customHeight="1" x14ac:dyDescent="0.2">
      <c r="A864" s="346">
        <v>43857</v>
      </c>
      <c r="B864" s="313">
        <v>323.5</v>
      </c>
      <c r="C864" s="313">
        <v>237.470001</v>
      </c>
      <c r="D864" s="345">
        <f t="shared" ref="D864:E864" si="873">B864/B863-1</f>
        <v>-1.6029410153978518E-2</v>
      </c>
      <c r="E864" s="345">
        <f t="shared" si="873"/>
        <v>-2.1052121572040505E-4</v>
      </c>
      <c r="F864" s="313"/>
      <c r="G864" s="313"/>
      <c r="H864" s="313"/>
      <c r="I864" s="313"/>
      <c r="J864" s="313"/>
      <c r="K864" s="313"/>
      <c r="L864" s="313"/>
      <c r="M864" s="313"/>
      <c r="N864" s="313"/>
      <c r="O864" s="313"/>
      <c r="P864" s="313"/>
      <c r="Q864" s="313"/>
      <c r="R864" s="313"/>
      <c r="S864" s="313"/>
      <c r="T864" s="313"/>
      <c r="U864" s="313"/>
      <c r="V864" s="313"/>
      <c r="W864" s="313"/>
      <c r="X864" s="313"/>
      <c r="Y864" s="313"/>
      <c r="Z864" s="313"/>
      <c r="AA864" s="313"/>
    </row>
    <row r="865" spans="1:27" ht="14.25" customHeight="1" x14ac:dyDescent="0.2">
      <c r="A865" s="346">
        <v>43858</v>
      </c>
      <c r="B865" s="313">
        <v>326.89001500000001</v>
      </c>
      <c r="C865" s="313">
        <v>237.179993</v>
      </c>
      <c r="D865" s="345">
        <f t="shared" ref="D865:E865" si="874">B865/B864-1</f>
        <v>1.0479180834621404E-2</v>
      </c>
      <c r="E865" s="345">
        <f t="shared" si="874"/>
        <v>-1.2212405726145237E-3</v>
      </c>
      <c r="F865" s="313"/>
      <c r="G865" s="313"/>
      <c r="H865" s="313"/>
      <c r="I865" s="313"/>
      <c r="J865" s="313"/>
      <c r="K865" s="313"/>
      <c r="L865" s="313"/>
      <c r="M865" s="313"/>
      <c r="N865" s="313"/>
      <c r="O865" s="313"/>
      <c r="P865" s="313"/>
      <c r="Q865" s="313"/>
      <c r="R865" s="313"/>
      <c r="S865" s="313"/>
      <c r="T865" s="313"/>
      <c r="U865" s="313"/>
      <c r="V865" s="313"/>
      <c r="W865" s="313"/>
      <c r="X865" s="313"/>
      <c r="Y865" s="313"/>
      <c r="Z865" s="313"/>
      <c r="AA865" s="313"/>
    </row>
    <row r="866" spans="1:27" ht="14.25" customHeight="1" x14ac:dyDescent="0.2">
      <c r="A866" s="346">
        <v>43859</v>
      </c>
      <c r="B866" s="313">
        <v>326.61999500000002</v>
      </c>
      <c r="C866" s="313">
        <v>233.44000199999999</v>
      </c>
      <c r="D866" s="345">
        <f t="shared" ref="D866:E866" si="875">B866/B865-1</f>
        <v>-8.260270660148672E-4</v>
      </c>
      <c r="E866" s="345">
        <f t="shared" si="875"/>
        <v>-1.576857707386814E-2</v>
      </c>
      <c r="F866" s="313"/>
      <c r="G866" s="313"/>
      <c r="H866" s="313"/>
      <c r="I866" s="313"/>
      <c r="J866" s="313"/>
      <c r="K866" s="313"/>
      <c r="L866" s="313"/>
      <c r="M866" s="313"/>
      <c r="N866" s="313"/>
      <c r="O866" s="313"/>
      <c r="P866" s="313"/>
      <c r="Q866" s="313"/>
      <c r="R866" s="313"/>
      <c r="S866" s="313"/>
      <c r="T866" s="313"/>
      <c r="U866" s="313"/>
      <c r="V866" s="313"/>
      <c r="W866" s="313"/>
      <c r="X866" s="313"/>
      <c r="Y866" s="313"/>
      <c r="Z866" s="313"/>
      <c r="AA866" s="313"/>
    </row>
    <row r="867" spans="1:27" ht="14.25" customHeight="1" x14ac:dyDescent="0.2">
      <c r="A867" s="346">
        <v>43860</v>
      </c>
      <c r="B867" s="313">
        <v>327.67999300000002</v>
      </c>
      <c r="C867" s="313">
        <v>235.199997</v>
      </c>
      <c r="D867" s="345">
        <f t="shared" ref="D867:E867" si="876">B867/B866-1</f>
        <v>3.2453555086240371E-3</v>
      </c>
      <c r="E867" s="345">
        <f t="shared" si="876"/>
        <v>7.5393890718009615E-3</v>
      </c>
      <c r="F867" s="313"/>
      <c r="G867" s="313"/>
      <c r="H867" s="313"/>
      <c r="I867" s="313"/>
      <c r="J867" s="313"/>
      <c r="K867" s="313"/>
      <c r="L867" s="313"/>
      <c r="M867" s="313"/>
      <c r="N867" s="313"/>
      <c r="O867" s="313"/>
      <c r="P867" s="313"/>
      <c r="Q867" s="313"/>
      <c r="R867" s="313"/>
      <c r="S867" s="313"/>
      <c r="T867" s="313"/>
      <c r="U867" s="313"/>
      <c r="V867" s="313"/>
      <c r="W867" s="313"/>
      <c r="X867" s="313"/>
      <c r="Y867" s="313"/>
      <c r="Z867" s="313"/>
      <c r="AA867" s="313"/>
    </row>
    <row r="868" spans="1:27" ht="14.25" customHeight="1" x14ac:dyDescent="0.2">
      <c r="A868" s="346">
        <v>43861</v>
      </c>
      <c r="B868" s="313">
        <v>321.73001099999999</v>
      </c>
      <c r="C868" s="313">
        <v>231.740005</v>
      </c>
      <c r="D868" s="345">
        <f t="shared" ref="D868:E868" si="877">B868/B867-1</f>
        <v>-1.8157904440629147E-2</v>
      </c>
      <c r="E868" s="345">
        <f t="shared" si="877"/>
        <v>-1.4710850527774433E-2</v>
      </c>
      <c r="F868" s="313"/>
      <c r="G868" s="313"/>
      <c r="H868" s="313"/>
      <c r="I868" s="313"/>
      <c r="J868" s="313"/>
      <c r="K868" s="313"/>
      <c r="L868" s="313"/>
      <c r="M868" s="313"/>
      <c r="N868" s="313"/>
      <c r="O868" s="313"/>
      <c r="P868" s="313"/>
      <c r="Q868" s="313"/>
      <c r="R868" s="313"/>
      <c r="S868" s="313"/>
      <c r="T868" s="313"/>
      <c r="U868" s="313"/>
      <c r="V868" s="313"/>
      <c r="W868" s="313"/>
      <c r="X868" s="313"/>
      <c r="Y868" s="313"/>
      <c r="Z868" s="313"/>
      <c r="AA868" s="313"/>
    </row>
    <row r="869" spans="1:27" ht="14.25" customHeight="1" x14ac:dyDescent="0.2">
      <c r="A869" s="346">
        <v>43864</v>
      </c>
      <c r="B869" s="313">
        <v>324.11999500000002</v>
      </c>
      <c r="C869" s="313">
        <v>234.070007</v>
      </c>
      <c r="D869" s="345">
        <f t="shared" ref="D869:E869" si="878">B869/B868-1</f>
        <v>7.4285392045694287E-3</v>
      </c>
      <c r="E869" s="345">
        <f t="shared" si="878"/>
        <v>1.0054379691585957E-2</v>
      </c>
      <c r="F869" s="313"/>
      <c r="G869" s="313"/>
      <c r="H869" s="313"/>
      <c r="I869" s="313"/>
      <c r="J869" s="313"/>
      <c r="K869" s="313"/>
      <c r="L869" s="313"/>
      <c r="M869" s="313"/>
      <c r="N869" s="313"/>
      <c r="O869" s="313"/>
      <c r="P869" s="313"/>
      <c r="Q869" s="313"/>
      <c r="R869" s="313"/>
      <c r="S869" s="313"/>
      <c r="T869" s="313"/>
      <c r="U869" s="313"/>
      <c r="V869" s="313"/>
      <c r="W869" s="313"/>
      <c r="X869" s="313"/>
      <c r="Y869" s="313"/>
      <c r="Z869" s="313"/>
      <c r="AA869" s="313"/>
    </row>
    <row r="870" spans="1:27" ht="14.25" customHeight="1" x14ac:dyDescent="0.2">
      <c r="A870" s="346">
        <v>43865</v>
      </c>
      <c r="B870" s="313">
        <v>329.05999800000001</v>
      </c>
      <c r="C870" s="313">
        <v>237.449997</v>
      </c>
      <c r="D870" s="345">
        <f t="shared" ref="D870:E870" si="879">B870/B869-1</f>
        <v>1.5241278156875149E-2</v>
      </c>
      <c r="E870" s="345">
        <f t="shared" si="879"/>
        <v>1.4440081594905063E-2</v>
      </c>
      <c r="F870" s="313"/>
      <c r="G870" s="313"/>
      <c r="H870" s="313"/>
      <c r="I870" s="313"/>
      <c r="J870" s="313"/>
      <c r="K870" s="313"/>
      <c r="L870" s="313"/>
      <c r="M870" s="313"/>
      <c r="N870" s="313"/>
      <c r="O870" s="313"/>
      <c r="P870" s="313"/>
      <c r="Q870" s="313"/>
      <c r="R870" s="313"/>
      <c r="S870" s="313"/>
      <c r="T870" s="313"/>
      <c r="U870" s="313"/>
      <c r="V870" s="313"/>
      <c r="W870" s="313"/>
      <c r="X870" s="313"/>
      <c r="Y870" s="313"/>
      <c r="Z870" s="313"/>
      <c r="AA870" s="313"/>
    </row>
    <row r="871" spans="1:27" ht="14.25" customHeight="1" x14ac:dyDescent="0.2">
      <c r="A871" s="346">
        <v>43866</v>
      </c>
      <c r="B871" s="313">
        <v>332.85998499999999</v>
      </c>
      <c r="C871" s="313">
        <v>236.38000500000001</v>
      </c>
      <c r="D871" s="345">
        <f t="shared" ref="D871:E871" si="880">B871/B870-1</f>
        <v>1.1548006512781761E-2</v>
      </c>
      <c r="E871" s="345">
        <f t="shared" si="880"/>
        <v>-4.5061781996990069E-3</v>
      </c>
      <c r="F871" s="313"/>
      <c r="G871" s="313"/>
      <c r="H871" s="313"/>
      <c r="I871" s="313"/>
      <c r="J871" s="313"/>
      <c r="K871" s="313"/>
      <c r="L871" s="313"/>
      <c r="M871" s="313"/>
      <c r="N871" s="313"/>
      <c r="O871" s="313"/>
      <c r="P871" s="313"/>
      <c r="Q871" s="313"/>
      <c r="R871" s="313"/>
      <c r="S871" s="313"/>
      <c r="T871" s="313"/>
      <c r="U871" s="313"/>
      <c r="V871" s="313"/>
      <c r="W871" s="313"/>
      <c r="X871" s="313"/>
      <c r="Y871" s="313"/>
      <c r="Z871" s="313"/>
      <c r="AA871" s="313"/>
    </row>
    <row r="872" spans="1:27" ht="14.25" customHeight="1" x14ac:dyDescent="0.2">
      <c r="A872" s="346">
        <v>43867</v>
      </c>
      <c r="B872" s="313">
        <v>333.98001099999999</v>
      </c>
      <c r="C872" s="313">
        <v>237.80999800000001</v>
      </c>
      <c r="D872" s="345">
        <f t="shared" ref="D872:E872" si="881">B872/B871-1</f>
        <v>3.3648562472896604E-3</v>
      </c>
      <c r="E872" s="345">
        <f t="shared" si="881"/>
        <v>6.0495514415443985E-3</v>
      </c>
      <c r="F872" s="313"/>
      <c r="G872" s="313"/>
      <c r="H872" s="313"/>
      <c r="I872" s="313"/>
      <c r="J872" s="313"/>
      <c r="K872" s="313"/>
      <c r="L872" s="313"/>
      <c r="M872" s="313"/>
      <c r="N872" s="313"/>
      <c r="O872" s="313"/>
      <c r="P872" s="313"/>
      <c r="Q872" s="313"/>
      <c r="R872" s="313"/>
      <c r="S872" s="313"/>
      <c r="T872" s="313"/>
      <c r="U872" s="313"/>
      <c r="V872" s="313"/>
      <c r="W872" s="313"/>
      <c r="X872" s="313"/>
      <c r="Y872" s="313"/>
      <c r="Z872" s="313"/>
      <c r="AA872" s="313"/>
    </row>
    <row r="873" spans="1:27" ht="14.25" customHeight="1" x14ac:dyDescent="0.2">
      <c r="A873" s="346">
        <v>43868</v>
      </c>
      <c r="B873" s="313">
        <v>332.20001200000002</v>
      </c>
      <c r="C873" s="313">
        <v>238.75</v>
      </c>
      <c r="D873" s="345">
        <f t="shared" ref="D873:E873" si="882">B873/B872-1</f>
        <v>-5.3296572889806049E-3</v>
      </c>
      <c r="E873" s="345">
        <f t="shared" si="882"/>
        <v>3.9527438202997534E-3</v>
      </c>
      <c r="F873" s="313"/>
      <c r="G873" s="313"/>
      <c r="H873" s="313"/>
      <c r="I873" s="313"/>
      <c r="J873" s="313"/>
      <c r="K873" s="313"/>
      <c r="L873" s="313"/>
      <c r="M873" s="313"/>
      <c r="N873" s="313"/>
      <c r="O873" s="313"/>
      <c r="P873" s="313"/>
      <c r="Q873" s="313"/>
      <c r="R873" s="313"/>
      <c r="S873" s="313"/>
      <c r="T873" s="313"/>
      <c r="U873" s="313"/>
      <c r="V873" s="313"/>
      <c r="W873" s="313"/>
      <c r="X873" s="313"/>
      <c r="Y873" s="313"/>
      <c r="Z873" s="313"/>
      <c r="AA873" s="313"/>
    </row>
    <row r="874" spans="1:27" ht="14.25" customHeight="1" x14ac:dyDescent="0.2">
      <c r="A874" s="346">
        <v>43871</v>
      </c>
      <c r="B874" s="313">
        <v>334.67999300000002</v>
      </c>
      <c r="C874" s="313">
        <v>243.69000199999999</v>
      </c>
      <c r="D874" s="345">
        <f t="shared" ref="D874:E874" si="883">B874/B873-1</f>
        <v>7.465324835689735E-3</v>
      </c>
      <c r="E874" s="345">
        <f t="shared" si="883"/>
        <v>2.0691107853403112E-2</v>
      </c>
      <c r="F874" s="313"/>
      <c r="G874" s="313"/>
      <c r="H874" s="313"/>
      <c r="I874" s="313"/>
      <c r="J874" s="313"/>
      <c r="K874" s="313"/>
      <c r="L874" s="313"/>
      <c r="M874" s="313"/>
      <c r="N874" s="313"/>
      <c r="O874" s="313"/>
      <c r="P874" s="313"/>
      <c r="Q874" s="313"/>
      <c r="R874" s="313"/>
      <c r="S874" s="313"/>
      <c r="T874" s="313"/>
      <c r="U874" s="313"/>
      <c r="V874" s="313"/>
      <c r="W874" s="313"/>
      <c r="X874" s="313"/>
      <c r="Y874" s="313"/>
      <c r="Z874" s="313"/>
      <c r="AA874" s="313"/>
    </row>
    <row r="875" spans="1:27" ht="14.25" customHeight="1" x14ac:dyDescent="0.2">
      <c r="A875" s="346">
        <v>43872</v>
      </c>
      <c r="B875" s="313">
        <v>335.26001000000002</v>
      </c>
      <c r="C875" s="313">
        <v>254.270004</v>
      </c>
      <c r="D875" s="345">
        <f t="shared" ref="D875:E875" si="884">B875/B874-1</f>
        <v>1.7330495163478954E-3</v>
      </c>
      <c r="E875" s="345">
        <f t="shared" si="884"/>
        <v>4.3415823025845901E-2</v>
      </c>
      <c r="F875" s="313"/>
      <c r="G875" s="313"/>
      <c r="H875" s="313"/>
      <c r="I875" s="313"/>
      <c r="J875" s="313"/>
      <c r="K875" s="313"/>
      <c r="L875" s="313"/>
      <c r="M875" s="313"/>
      <c r="N875" s="313"/>
      <c r="O875" s="313"/>
      <c r="P875" s="313"/>
      <c r="Q875" s="313"/>
      <c r="R875" s="313"/>
      <c r="S875" s="313"/>
      <c r="T875" s="313"/>
      <c r="U875" s="313"/>
      <c r="V875" s="313"/>
      <c r="W875" s="313"/>
      <c r="X875" s="313"/>
      <c r="Y875" s="313"/>
      <c r="Z875" s="313"/>
      <c r="AA875" s="313"/>
    </row>
    <row r="876" spans="1:27" ht="14.25" customHeight="1" x14ac:dyDescent="0.2">
      <c r="A876" s="346">
        <v>43873</v>
      </c>
      <c r="B876" s="313">
        <v>337.42001299999998</v>
      </c>
      <c r="C876" s="313">
        <v>256.17999300000002</v>
      </c>
      <c r="D876" s="345">
        <f t="shared" ref="D876:E876" si="885">B876/B875-1</f>
        <v>6.4427695984379252E-3</v>
      </c>
      <c r="E876" s="345">
        <f t="shared" si="885"/>
        <v>7.511656781977516E-3</v>
      </c>
      <c r="F876" s="313"/>
      <c r="G876" s="313"/>
      <c r="H876" s="313"/>
      <c r="I876" s="313"/>
      <c r="J876" s="313"/>
      <c r="K876" s="313"/>
      <c r="L876" s="313"/>
      <c r="M876" s="313"/>
      <c r="N876" s="313"/>
      <c r="O876" s="313"/>
      <c r="P876" s="313"/>
      <c r="Q876" s="313"/>
      <c r="R876" s="313"/>
      <c r="S876" s="313"/>
      <c r="T876" s="313"/>
      <c r="U876" s="313"/>
      <c r="V876" s="313"/>
      <c r="W876" s="313"/>
      <c r="X876" s="313"/>
      <c r="Y876" s="313"/>
      <c r="Z876" s="313"/>
      <c r="AA876" s="313"/>
    </row>
    <row r="877" spans="1:27" ht="14.25" customHeight="1" x14ac:dyDescent="0.2">
      <c r="A877" s="346">
        <v>43874</v>
      </c>
      <c r="B877" s="313">
        <v>337.05999800000001</v>
      </c>
      <c r="C877" s="313">
        <v>256.89999399999999</v>
      </c>
      <c r="D877" s="345">
        <f t="shared" ref="D877:E877" si="886">B877/B876-1</f>
        <v>-1.0669639799936181E-3</v>
      </c>
      <c r="E877" s="345">
        <f t="shared" si="886"/>
        <v>2.8105278307193338E-3</v>
      </c>
      <c r="F877" s="313"/>
      <c r="G877" s="313"/>
      <c r="H877" s="313"/>
      <c r="I877" s="313"/>
      <c r="J877" s="313"/>
      <c r="K877" s="313"/>
      <c r="L877" s="313"/>
      <c r="M877" s="313"/>
      <c r="N877" s="313"/>
      <c r="O877" s="313"/>
      <c r="P877" s="313"/>
      <c r="Q877" s="313"/>
      <c r="R877" s="313"/>
      <c r="S877" s="313"/>
      <c r="T877" s="313"/>
      <c r="U877" s="313"/>
      <c r="V877" s="313"/>
      <c r="W877" s="313"/>
      <c r="X877" s="313"/>
      <c r="Y877" s="313"/>
      <c r="Z877" s="313"/>
      <c r="AA877" s="313"/>
    </row>
    <row r="878" spans="1:27" ht="14.25" customHeight="1" x14ac:dyDescent="0.2">
      <c r="A878" s="346">
        <v>43875</v>
      </c>
      <c r="B878" s="313">
        <v>337.60000600000001</v>
      </c>
      <c r="C878" s="313">
        <v>256.25</v>
      </c>
      <c r="D878" s="345">
        <f t="shared" ref="D878:E878" si="887">B878/B877-1</f>
        <v>1.602112393058297E-3</v>
      </c>
      <c r="E878" s="345">
        <f t="shared" si="887"/>
        <v>-2.5301440840048706E-3</v>
      </c>
      <c r="F878" s="313"/>
      <c r="G878" s="313"/>
      <c r="H878" s="313"/>
      <c r="I878" s="313"/>
      <c r="J878" s="313"/>
      <c r="K878" s="313"/>
      <c r="L878" s="313"/>
      <c r="M878" s="313"/>
      <c r="N878" s="313"/>
      <c r="O878" s="313"/>
      <c r="P878" s="313"/>
      <c r="Q878" s="313"/>
      <c r="R878" s="313"/>
      <c r="S878" s="313"/>
      <c r="T878" s="313"/>
      <c r="U878" s="313"/>
      <c r="V878" s="313"/>
      <c r="W878" s="313"/>
      <c r="X878" s="313"/>
      <c r="Y878" s="313"/>
      <c r="Z878" s="313"/>
      <c r="AA878" s="313"/>
    </row>
    <row r="879" spans="1:27" ht="14.25" customHeight="1" x14ac:dyDescent="0.2">
      <c r="A879" s="346">
        <v>43879</v>
      </c>
      <c r="B879" s="313">
        <v>336.73001099999999</v>
      </c>
      <c r="C879" s="313">
        <v>252.929993</v>
      </c>
      <c r="D879" s="345">
        <f t="shared" ref="D879:E879" si="888">B879/B878-1</f>
        <v>-2.5769993617832387E-3</v>
      </c>
      <c r="E879" s="345">
        <f t="shared" si="888"/>
        <v>-1.2956124878048758E-2</v>
      </c>
      <c r="F879" s="313"/>
      <c r="G879" s="313"/>
      <c r="H879" s="313"/>
      <c r="I879" s="313"/>
      <c r="J879" s="313"/>
      <c r="K879" s="313"/>
      <c r="L879" s="313"/>
      <c r="M879" s="313"/>
      <c r="N879" s="313"/>
      <c r="O879" s="313"/>
      <c r="P879" s="313"/>
      <c r="Q879" s="313"/>
      <c r="R879" s="313"/>
      <c r="S879" s="313"/>
      <c r="T879" s="313"/>
      <c r="U879" s="313"/>
      <c r="V879" s="313"/>
      <c r="W879" s="313"/>
      <c r="X879" s="313"/>
      <c r="Y879" s="313"/>
      <c r="Z879" s="313"/>
      <c r="AA879" s="313"/>
    </row>
    <row r="880" spans="1:27" ht="14.25" customHeight="1" x14ac:dyDescent="0.2">
      <c r="A880" s="346">
        <v>43880</v>
      </c>
      <c r="B880" s="313">
        <v>338.33999599999999</v>
      </c>
      <c r="C880" s="313">
        <v>248.10000600000001</v>
      </c>
      <c r="D880" s="345">
        <f t="shared" ref="D880:E880" si="889">B880/B879-1</f>
        <v>4.781234067075868E-3</v>
      </c>
      <c r="E880" s="345">
        <f t="shared" si="889"/>
        <v>-1.9096141753342732E-2</v>
      </c>
      <c r="F880" s="313"/>
      <c r="G880" s="313"/>
      <c r="H880" s="313"/>
      <c r="I880" s="313"/>
      <c r="J880" s="313"/>
      <c r="K880" s="313"/>
      <c r="L880" s="313"/>
      <c r="M880" s="313"/>
      <c r="N880" s="313"/>
      <c r="O880" s="313"/>
      <c r="P880" s="313"/>
      <c r="Q880" s="313"/>
      <c r="R880" s="313"/>
      <c r="S880" s="313"/>
      <c r="T880" s="313"/>
      <c r="U880" s="313"/>
      <c r="V880" s="313"/>
      <c r="W880" s="313"/>
      <c r="X880" s="313"/>
      <c r="Y880" s="313"/>
      <c r="Z880" s="313"/>
      <c r="AA880" s="313"/>
    </row>
    <row r="881" spans="1:27" ht="14.25" customHeight="1" x14ac:dyDescent="0.2">
      <c r="A881" s="346">
        <v>43881</v>
      </c>
      <c r="B881" s="313">
        <v>336.95001200000002</v>
      </c>
      <c r="C881" s="313">
        <v>247.53999300000001</v>
      </c>
      <c r="D881" s="345">
        <f t="shared" ref="D881:E881" si="890">B881/B880-1</f>
        <v>-4.1082461915025181E-3</v>
      </c>
      <c r="E881" s="345">
        <f t="shared" si="890"/>
        <v>-2.2572067168752374E-3</v>
      </c>
      <c r="F881" s="313"/>
      <c r="G881" s="313"/>
      <c r="H881" s="313"/>
      <c r="I881" s="313"/>
      <c r="J881" s="313"/>
      <c r="K881" s="313"/>
      <c r="L881" s="313"/>
      <c r="M881" s="313"/>
      <c r="N881" s="313"/>
      <c r="O881" s="313"/>
      <c r="P881" s="313"/>
      <c r="Q881" s="313"/>
      <c r="R881" s="313"/>
      <c r="S881" s="313"/>
      <c r="T881" s="313"/>
      <c r="U881" s="313"/>
      <c r="V881" s="313"/>
      <c r="W881" s="313"/>
      <c r="X881" s="313"/>
      <c r="Y881" s="313"/>
      <c r="Z881" s="313"/>
      <c r="AA881" s="313"/>
    </row>
    <row r="882" spans="1:27" ht="14.25" customHeight="1" x14ac:dyDescent="0.2">
      <c r="A882" s="346">
        <v>43882</v>
      </c>
      <c r="B882" s="313">
        <v>333.48001099999999</v>
      </c>
      <c r="C882" s="313">
        <v>247.009995</v>
      </c>
      <c r="D882" s="345">
        <f t="shared" ref="D882:E882" si="891">B882/B881-1</f>
        <v>-1.0298266438405812E-2</v>
      </c>
      <c r="E882" s="345">
        <f t="shared" si="891"/>
        <v>-2.141060091247593E-3</v>
      </c>
      <c r="F882" s="313"/>
      <c r="G882" s="313"/>
      <c r="H882" s="313"/>
      <c r="I882" s="313"/>
      <c r="J882" s="313"/>
      <c r="K882" s="313"/>
      <c r="L882" s="313"/>
      <c r="M882" s="313"/>
      <c r="N882" s="313"/>
      <c r="O882" s="313"/>
      <c r="P882" s="313"/>
      <c r="Q882" s="313"/>
      <c r="R882" s="313"/>
      <c r="S882" s="313"/>
      <c r="T882" s="313"/>
      <c r="U882" s="313"/>
      <c r="V882" s="313"/>
      <c r="W882" s="313"/>
      <c r="X882" s="313"/>
      <c r="Y882" s="313"/>
      <c r="Z882" s="313"/>
      <c r="AA882" s="313"/>
    </row>
    <row r="883" spans="1:27" ht="14.25" customHeight="1" x14ac:dyDescent="0.2">
      <c r="A883" s="346">
        <v>43885</v>
      </c>
      <c r="B883" s="313">
        <v>322.42001299999998</v>
      </c>
      <c r="C883" s="313">
        <v>245.11000100000001</v>
      </c>
      <c r="D883" s="345">
        <f t="shared" ref="D883:E883" si="892">B883/B882-1</f>
        <v>-3.3165400129484879E-2</v>
      </c>
      <c r="E883" s="345">
        <f t="shared" si="892"/>
        <v>-7.6919721406414343E-3</v>
      </c>
      <c r="F883" s="313"/>
      <c r="G883" s="313"/>
      <c r="H883" s="313"/>
      <c r="I883" s="313"/>
      <c r="J883" s="313"/>
      <c r="K883" s="313"/>
      <c r="L883" s="313"/>
      <c r="M883" s="313"/>
      <c r="N883" s="313"/>
      <c r="O883" s="313"/>
      <c r="P883" s="313"/>
      <c r="Q883" s="313"/>
      <c r="R883" s="313"/>
      <c r="S883" s="313"/>
      <c r="T883" s="313"/>
      <c r="U883" s="313"/>
      <c r="V883" s="313"/>
      <c r="W883" s="313"/>
      <c r="X883" s="313"/>
      <c r="Y883" s="313"/>
      <c r="Z883" s="313"/>
      <c r="AA883" s="313"/>
    </row>
    <row r="884" spans="1:27" ht="14.25" customHeight="1" x14ac:dyDescent="0.2">
      <c r="A884" s="346">
        <v>43886</v>
      </c>
      <c r="B884" s="313">
        <v>312.64999399999999</v>
      </c>
      <c r="C884" s="313">
        <v>246.13999899999999</v>
      </c>
      <c r="D884" s="345">
        <f t="shared" ref="D884:E884" si="893">B884/B883-1</f>
        <v>-3.0302148148601438E-2</v>
      </c>
      <c r="E884" s="345">
        <f t="shared" si="893"/>
        <v>4.2021867561412574E-3</v>
      </c>
      <c r="F884" s="313"/>
      <c r="G884" s="313"/>
      <c r="H884" s="313"/>
      <c r="I884" s="313"/>
      <c r="J884" s="313"/>
      <c r="K884" s="313"/>
      <c r="L884" s="313"/>
      <c r="M884" s="313"/>
      <c r="N884" s="313"/>
      <c r="O884" s="313"/>
      <c r="P884" s="313"/>
      <c r="Q884" s="313"/>
      <c r="R884" s="313"/>
      <c r="S884" s="313"/>
      <c r="T884" s="313"/>
      <c r="U884" s="313"/>
      <c r="V884" s="313"/>
      <c r="W884" s="313"/>
      <c r="X884" s="313"/>
      <c r="Y884" s="313"/>
      <c r="Z884" s="313"/>
      <c r="AA884" s="313"/>
    </row>
    <row r="885" spans="1:27" ht="14.25" customHeight="1" x14ac:dyDescent="0.2">
      <c r="A885" s="346">
        <v>43887</v>
      </c>
      <c r="B885" s="313">
        <v>311.5</v>
      </c>
      <c r="C885" s="313">
        <v>242.66999799999999</v>
      </c>
      <c r="D885" s="345">
        <f t="shared" ref="D885:E885" si="894">B885/B884-1</f>
        <v>-3.6782153272646445E-3</v>
      </c>
      <c r="E885" s="345">
        <f t="shared" si="894"/>
        <v>-1.4097672113828175E-2</v>
      </c>
      <c r="F885" s="313"/>
      <c r="G885" s="313"/>
      <c r="H885" s="313"/>
      <c r="I885" s="313"/>
      <c r="J885" s="313"/>
      <c r="K885" s="313"/>
      <c r="L885" s="313"/>
      <c r="M885" s="313"/>
      <c r="N885" s="313"/>
      <c r="O885" s="313"/>
      <c r="P885" s="313"/>
      <c r="Q885" s="313"/>
      <c r="R885" s="313"/>
      <c r="S885" s="313"/>
      <c r="T885" s="313"/>
      <c r="U885" s="313"/>
      <c r="V885" s="313"/>
      <c r="W885" s="313"/>
      <c r="X885" s="313"/>
      <c r="Y885" s="313"/>
      <c r="Z885" s="313"/>
      <c r="AA885" s="313"/>
    </row>
    <row r="886" spans="1:27" ht="14.25" customHeight="1" x14ac:dyDescent="0.2">
      <c r="A886" s="346">
        <v>43888</v>
      </c>
      <c r="B886" s="313">
        <v>297.51001000000002</v>
      </c>
      <c r="C886" s="313">
        <v>232.929993</v>
      </c>
      <c r="D886" s="345">
        <f t="shared" ref="D886:E886" si="895">B886/B885-1</f>
        <v>-4.4911685393258405E-2</v>
      </c>
      <c r="E886" s="345">
        <f t="shared" si="895"/>
        <v>-4.0136832242443021E-2</v>
      </c>
      <c r="F886" s="313"/>
      <c r="G886" s="313"/>
      <c r="H886" s="313"/>
      <c r="I886" s="313"/>
      <c r="J886" s="313"/>
      <c r="K886" s="313"/>
      <c r="L886" s="313"/>
      <c r="M886" s="313"/>
      <c r="N886" s="313"/>
      <c r="O886" s="313"/>
      <c r="P886" s="313"/>
      <c r="Q886" s="313"/>
      <c r="R886" s="313"/>
      <c r="S886" s="313"/>
      <c r="T886" s="313"/>
      <c r="U886" s="313"/>
      <c r="V886" s="313"/>
      <c r="W886" s="313"/>
      <c r="X886" s="313"/>
      <c r="Y886" s="313"/>
      <c r="Z886" s="313"/>
      <c r="AA886" s="313"/>
    </row>
    <row r="887" spans="1:27" ht="14.25" customHeight="1" x14ac:dyDescent="0.2">
      <c r="A887" s="346">
        <v>43889</v>
      </c>
      <c r="B887" s="313">
        <v>296.26001000000002</v>
      </c>
      <c r="C887" s="313">
        <v>226.800003</v>
      </c>
      <c r="D887" s="345">
        <f t="shared" ref="D887:E887" si="896">B887/B886-1</f>
        <v>-4.2015393028288495E-3</v>
      </c>
      <c r="E887" s="345">
        <f t="shared" si="896"/>
        <v>-2.6316877105646008E-2</v>
      </c>
      <c r="F887" s="313"/>
      <c r="G887" s="313"/>
      <c r="H887" s="313"/>
      <c r="I887" s="313"/>
      <c r="J887" s="313"/>
      <c r="K887" s="313"/>
      <c r="L887" s="313"/>
      <c r="M887" s="313"/>
      <c r="N887" s="313"/>
      <c r="O887" s="313"/>
      <c r="P887" s="313"/>
      <c r="Q887" s="313"/>
      <c r="R887" s="313"/>
      <c r="S887" s="313"/>
      <c r="T887" s="313"/>
      <c r="U887" s="313"/>
      <c r="V887" s="313"/>
      <c r="W887" s="313"/>
      <c r="X887" s="313"/>
      <c r="Y887" s="313"/>
      <c r="Z887" s="313"/>
      <c r="AA887" s="313"/>
    </row>
    <row r="888" spans="1:27" ht="14.25" customHeight="1" x14ac:dyDescent="0.2">
      <c r="A888" s="346">
        <v>43892</v>
      </c>
      <c r="B888" s="313">
        <v>309.08999599999999</v>
      </c>
      <c r="C888" s="313">
        <v>240.75</v>
      </c>
      <c r="D888" s="345">
        <f t="shared" ref="D888:E888" si="897">B888/B887-1</f>
        <v>4.3306506335431427E-2</v>
      </c>
      <c r="E888" s="345">
        <f t="shared" si="897"/>
        <v>6.1507922466826459E-2</v>
      </c>
      <c r="F888" s="313"/>
      <c r="G888" s="313"/>
      <c r="H888" s="313"/>
      <c r="I888" s="313"/>
      <c r="J888" s="313"/>
      <c r="K888" s="313"/>
      <c r="L888" s="313"/>
      <c r="M888" s="313"/>
      <c r="N888" s="313"/>
      <c r="O888" s="313"/>
      <c r="P888" s="313"/>
      <c r="Q888" s="313"/>
      <c r="R888" s="313"/>
      <c r="S888" s="313"/>
      <c r="T888" s="313"/>
      <c r="U888" s="313"/>
      <c r="V888" s="313"/>
      <c r="W888" s="313"/>
      <c r="X888" s="313"/>
      <c r="Y888" s="313"/>
      <c r="Z888" s="313"/>
      <c r="AA888" s="313"/>
    </row>
    <row r="889" spans="1:27" ht="14.25" customHeight="1" x14ac:dyDescent="0.2">
      <c r="A889" s="346">
        <v>43893</v>
      </c>
      <c r="B889" s="313">
        <v>300.23998999999998</v>
      </c>
      <c r="C889" s="313">
        <v>242.64999399999999</v>
      </c>
      <c r="D889" s="345">
        <f t="shared" ref="D889:E889" si="898">B889/B888-1</f>
        <v>-2.8632456936587558E-2</v>
      </c>
      <c r="E889" s="345">
        <f t="shared" si="898"/>
        <v>7.8919792315679249E-3</v>
      </c>
      <c r="F889" s="313"/>
      <c r="G889" s="313"/>
      <c r="H889" s="313"/>
      <c r="I889" s="313"/>
      <c r="J889" s="313"/>
      <c r="K889" s="313"/>
      <c r="L889" s="313"/>
      <c r="M889" s="313"/>
      <c r="N889" s="313"/>
      <c r="O889" s="313"/>
      <c r="P889" s="313"/>
      <c r="Q889" s="313"/>
      <c r="R889" s="313"/>
      <c r="S889" s="313"/>
      <c r="T889" s="313"/>
      <c r="U889" s="313"/>
      <c r="V889" s="313"/>
      <c r="W889" s="313"/>
      <c r="X889" s="313"/>
      <c r="Y889" s="313"/>
      <c r="Z889" s="313"/>
      <c r="AA889" s="313"/>
    </row>
    <row r="890" spans="1:27" ht="14.25" customHeight="1" x14ac:dyDescent="0.2">
      <c r="A890" s="346">
        <v>43894</v>
      </c>
      <c r="B890" s="313">
        <v>312.85998499999999</v>
      </c>
      <c r="C890" s="313">
        <v>251.66000399999999</v>
      </c>
      <c r="D890" s="345">
        <f t="shared" ref="D890:E890" si="899">B890/B889-1</f>
        <v>4.2033024981116052E-2</v>
      </c>
      <c r="E890" s="345">
        <f t="shared" si="899"/>
        <v>3.7131713261035593E-2</v>
      </c>
      <c r="F890" s="313"/>
      <c r="G890" s="313"/>
      <c r="H890" s="313"/>
      <c r="I890" s="313"/>
      <c r="J890" s="313"/>
      <c r="K890" s="313"/>
      <c r="L890" s="313"/>
      <c r="M890" s="313"/>
      <c r="N890" s="313"/>
      <c r="O890" s="313"/>
      <c r="P890" s="313"/>
      <c r="Q890" s="313"/>
      <c r="R890" s="313"/>
      <c r="S890" s="313"/>
      <c r="T890" s="313"/>
      <c r="U890" s="313"/>
      <c r="V890" s="313"/>
      <c r="W890" s="313"/>
      <c r="X890" s="313"/>
      <c r="Y890" s="313"/>
      <c r="Z890" s="313"/>
      <c r="AA890" s="313"/>
    </row>
    <row r="891" spans="1:27" ht="14.25" customHeight="1" x14ac:dyDescent="0.2">
      <c r="A891" s="346">
        <v>43895</v>
      </c>
      <c r="B891" s="313">
        <v>302.459991</v>
      </c>
      <c r="C891" s="313">
        <v>246.94000199999999</v>
      </c>
      <c r="D891" s="345">
        <f t="shared" ref="D891:E891" si="900">B891/B890-1</f>
        <v>-3.3241687971058309E-2</v>
      </c>
      <c r="E891" s="345">
        <f t="shared" si="900"/>
        <v>-1.8755471370015542E-2</v>
      </c>
      <c r="F891" s="313"/>
      <c r="G891" s="313"/>
      <c r="H891" s="313"/>
      <c r="I891" s="313"/>
      <c r="J891" s="313"/>
      <c r="K891" s="313"/>
      <c r="L891" s="313"/>
      <c r="M891" s="313"/>
      <c r="N891" s="313"/>
      <c r="O891" s="313"/>
      <c r="P891" s="313"/>
      <c r="Q891" s="313"/>
      <c r="R891" s="313"/>
      <c r="S891" s="313"/>
      <c r="T891" s="313"/>
      <c r="U891" s="313"/>
      <c r="V891" s="313"/>
      <c r="W891" s="313"/>
      <c r="X891" s="313"/>
      <c r="Y891" s="313"/>
      <c r="Z891" s="313"/>
      <c r="AA891" s="313"/>
    </row>
    <row r="892" spans="1:27" ht="14.25" customHeight="1" x14ac:dyDescent="0.2">
      <c r="A892" s="346">
        <v>43896</v>
      </c>
      <c r="B892" s="313">
        <v>297.459991</v>
      </c>
      <c r="C892" s="313">
        <v>246.320007</v>
      </c>
      <c r="D892" s="345">
        <f t="shared" ref="D892:E892" si="901">B892/B891-1</f>
        <v>-1.6531112043840501E-2</v>
      </c>
      <c r="E892" s="345">
        <f t="shared" si="901"/>
        <v>-2.510711083577255E-3</v>
      </c>
      <c r="F892" s="313"/>
      <c r="G892" s="313"/>
      <c r="H892" s="313"/>
      <c r="I892" s="313"/>
      <c r="J892" s="313"/>
      <c r="K892" s="313"/>
      <c r="L892" s="313"/>
      <c r="M892" s="313"/>
      <c r="N892" s="313"/>
      <c r="O892" s="313"/>
      <c r="P892" s="313"/>
      <c r="Q892" s="313"/>
      <c r="R892" s="313"/>
      <c r="S892" s="313"/>
      <c r="T892" s="313"/>
      <c r="U892" s="313"/>
      <c r="V892" s="313"/>
      <c r="W892" s="313"/>
      <c r="X892" s="313"/>
      <c r="Y892" s="313"/>
      <c r="Z892" s="313"/>
      <c r="AA892" s="313"/>
    </row>
    <row r="893" spans="1:27" ht="14.25" customHeight="1" x14ac:dyDescent="0.2">
      <c r="A893" s="346">
        <v>43899</v>
      </c>
      <c r="B893" s="313">
        <v>274.23001099999999</v>
      </c>
      <c r="C893" s="313">
        <v>231.86000100000001</v>
      </c>
      <c r="D893" s="345">
        <f t="shared" ref="D893:E893" si="902">B893/B892-1</f>
        <v>-7.8094468845727905E-2</v>
      </c>
      <c r="E893" s="345">
        <f t="shared" si="902"/>
        <v>-5.8704147406101637E-2</v>
      </c>
      <c r="F893" s="313"/>
      <c r="G893" s="313"/>
      <c r="H893" s="313"/>
      <c r="I893" s="313"/>
      <c r="J893" s="313"/>
      <c r="K893" s="313"/>
      <c r="L893" s="313"/>
      <c r="M893" s="313"/>
      <c r="N893" s="313"/>
      <c r="O893" s="313"/>
      <c r="P893" s="313"/>
      <c r="Q893" s="313"/>
      <c r="R893" s="313"/>
      <c r="S893" s="313"/>
      <c r="T893" s="313"/>
      <c r="U893" s="313"/>
      <c r="V893" s="313"/>
      <c r="W893" s="313"/>
      <c r="X893" s="313"/>
      <c r="Y893" s="313"/>
      <c r="Z893" s="313"/>
      <c r="AA893" s="313"/>
    </row>
    <row r="894" spans="1:27" ht="14.25" customHeight="1" x14ac:dyDescent="0.2">
      <c r="A894" s="346">
        <v>43900</v>
      </c>
      <c r="B894" s="313">
        <v>288.42001299999998</v>
      </c>
      <c r="C894" s="313">
        <v>243.86999499999999</v>
      </c>
      <c r="D894" s="345">
        <f t="shared" ref="D894:E894" si="903">B894/B893-1</f>
        <v>5.1744890897444495E-2</v>
      </c>
      <c r="E894" s="345">
        <f t="shared" si="903"/>
        <v>5.1798472993191957E-2</v>
      </c>
      <c r="F894" s="313"/>
      <c r="G894" s="313"/>
      <c r="H894" s="313"/>
      <c r="I894" s="313"/>
      <c r="J894" s="313"/>
      <c r="K894" s="313"/>
      <c r="L894" s="313"/>
      <c r="M894" s="313"/>
      <c r="N894" s="313"/>
      <c r="O894" s="313"/>
      <c r="P894" s="313"/>
      <c r="Q894" s="313"/>
      <c r="R894" s="313"/>
      <c r="S894" s="313"/>
      <c r="T894" s="313"/>
      <c r="U894" s="313"/>
      <c r="V894" s="313"/>
      <c r="W894" s="313"/>
      <c r="X894" s="313"/>
      <c r="Y894" s="313"/>
      <c r="Z894" s="313"/>
      <c r="AA894" s="313"/>
    </row>
    <row r="895" spans="1:27" ht="14.25" customHeight="1" x14ac:dyDescent="0.2">
      <c r="A895" s="346">
        <v>43901</v>
      </c>
      <c r="B895" s="313">
        <v>274.35998499999999</v>
      </c>
      <c r="C895" s="313">
        <v>232.89999399999999</v>
      </c>
      <c r="D895" s="345">
        <f t="shared" ref="D895:E895" si="904">B895/B894-1</f>
        <v>-4.8748447979579002E-2</v>
      </c>
      <c r="E895" s="345">
        <f t="shared" si="904"/>
        <v>-4.4982987759523252E-2</v>
      </c>
      <c r="F895" s="313"/>
      <c r="G895" s="313"/>
      <c r="H895" s="313"/>
      <c r="I895" s="313"/>
      <c r="J895" s="313"/>
      <c r="K895" s="313"/>
      <c r="L895" s="313"/>
      <c r="M895" s="313"/>
      <c r="N895" s="313"/>
      <c r="O895" s="313"/>
      <c r="P895" s="313"/>
      <c r="Q895" s="313"/>
      <c r="R895" s="313"/>
      <c r="S895" s="313"/>
      <c r="T895" s="313"/>
      <c r="U895" s="313"/>
      <c r="V895" s="313"/>
      <c r="W895" s="313"/>
      <c r="X895" s="313"/>
      <c r="Y895" s="313"/>
      <c r="Z895" s="313"/>
      <c r="AA895" s="313"/>
    </row>
    <row r="896" spans="1:27" ht="14.25" customHeight="1" x14ac:dyDescent="0.2">
      <c r="A896" s="346">
        <v>43902</v>
      </c>
      <c r="B896" s="313">
        <v>248.11000100000001</v>
      </c>
      <c r="C896" s="313">
        <v>217.83000200000001</v>
      </c>
      <c r="D896" s="345">
        <f t="shared" ref="D896:E896" si="905">B896/B895-1</f>
        <v>-9.5677159335024742E-2</v>
      </c>
      <c r="E896" s="345">
        <f t="shared" si="905"/>
        <v>-6.4705849670395388E-2</v>
      </c>
      <c r="F896" s="313"/>
      <c r="G896" s="313"/>
      <c r="H896" s="313"/>
      <c r="I896" s="313"/>
      <c r="J896" s="313"/>
      <c r="K896" s="313"/>
      <c r="L896" s="313"/>
      <c r="M896" s="313"/>
      <c r="N896" s="313"/>
      <c r="O896" s="313"/>
      <c r="P896" s="313"/>
      <c r="Q896" s="313"/>
      <c r="R896" s="313"/>
      <c r="S896" s="313"/>
      <c r="T896" s="313"/>
      <c r="U896" s="313"/>
      <c r="V896" s="313"/>
      <c r="W896" s="313"/>
      <c r="X896" s="313"/>
      <c r="Y896" s="313"/>
      <c r="Z896" s="313"/>
      <c r="AA896" s="313"/>
    </row>
    <row r="897" spans="1:27" ht="14.25" customHeight="1" x14ac:dyDescent="0.2">
      <c r="A897" s="346">
        <v>43903</v>
      </c>
      <c r="B897" s="313">
        <v>269.32000699999998</v>
      </c>
      <c r="C897" s="313">
        <v>238.990005</v>
      </c>
      <c r="D897" s="345">
        <f t="shared" ref="D897:E897" si="906">B897/B896-1</f>
        <v>8.5486300086710099E-2</v>
      </c>
      <c r="E897" s="345">
        <f t="shared" si="906"/>
        <v>9.7139984417756953E-2</v>
      </c>
      <c r="F897" s="313"/>
      <c r="G897" s="313"/>
      <c r="H897" s="313"/>
      <c r="I897" s="313"/>
      <c r="J897" s="313"/>
      <c r="K897" s="313"/>
      <c r="L897" s="313"/>
      <c r="M897" s="313"/>
      <c r="N897" s="313"/>
      <c r="O897" s="313"/>
      <c r="P897" s="313"/>
      <c r="Q897" s="313"/>
      <c r="R897" s="313"/>
      <c r="S897" s="313"/>
      <c r="T897" s="313"/>
      <c r="U897" s="313"/>
      <c r="V897" s="313"/>
      <c r="W897" s="313"/>
      <c r="X897" s="313"/>
      <c r="Y897" s="313"/>
      <c r="Z897" s="313"/>
      <c r="AA897" s="313"/>
    </row>
    <row r="898" spans="1:27" ht="14.25" customHeight="1" x14ac:dyDescent="0.2">
      <c r="A898" s="346">
        <v>43906</v>
      </c>
      <c r="B898" s="313">
        <v>239.85000600000001</v>
      </c>
      <c r="C898" s="313">
        <v>202.75</v>
      </c>
      <c r="D898" s="345">
        <f t="shared" ref="D898:E898" si="907">B898/B897-1</f>
        <v>-0.1094237347171908</v>
      </c>
      <c r="E898" s="345">
        <f t="shared" si="907"/>
        <v>-0.15163816160428967</v>
      </c>
      <c r="F898" s="313"/>
      <c r="G898" s="313"/>
      <c r="H898" s="313"/>
      <c r="I898" s="313"/>
      <c r="J898" s="313"/>
      <c r="K898" s="313"/>
      <c r="L898" s="313"/>
      <c r="M898" s="313"/>
      <c r="N898" s="313"/>
      <c r="O898" s="313"/>
      <c r="P898" s="313"/>
      <c r="Q898" s="313"/>
      <c r="R898" s="313"/>
      <c r="S898" s="313"/>
      <c r="T898" s="313"/>
      <c r="U898" s="313"/>
      <c r="V898" s="313"/>
      <c r="W898" s="313"/>
      <c r="X898" s="313"/>
      <c r="Y898" s="313"/>
      <c r="Z898" s="313"/>
      <c r="AA898" s="313"/>
    </row>
    <row r="899" spans="1:27" ht="14.25" customHeight="1" x14ac:dyDescent="0.2">
      <c r="A899" s="346">
        <v>43907</v>
      </c>
      <c r="B899" s="313">
        <v>252.800003</v>
      </c>
      <c r="C899" s="313">
        <v>227.529999</v>
      </c>
      <c r="D899" s="345">
        <f t="shared" ref="D899:E899" si="908">B899/B898-1</f>
        <v>5.3992064523859185E-2</v>
      </c>
      <c r="E899" s="345">
        <f t="shared" si="908"/>
        <v>0.122219477188656</v>
      </c>
      <c r="F899" s="313"/>
      <c r="G899" s="313"/>
      <c r="H899" s="313"/>
      <c r="I899" s="313"/>
      <c r="J899" s="313"/>
      <c r="K899" s="313"/>
      <c r="L899" s="313"/>
      <c r="M899" s="313"/>
      <c r="N899" s="313"/>
      <c r="O899" s="313"/>
      <c r="P899" s="313"/>
      <c r="Q899" s="313"/>
      <c r="R899" s="313"/>
      <c r="S899" s="313"/>
      <c r="T899" s="313"/>
      <c r="U899" s="313"/>
      <c r="V899" s="313"/>
      <c r="W899" s="313"/>
      <c r="X899" s="313"/>
      <c r="Y899" s="313"/>
      <c r="Z899" s="313"/>
      <c r="AA899" s="313"/>
    </row>
    <row r="900" spans="1:27" ht="14.25" customHeight="1" x14ac:dyDescent="0.2">
      <c r="A900" s="346">
        <v>43908</v>
      </c>
      <c r="B900" s="313">
        <v>240</v>
      </c>
      <c r="C900" s="313">
        <v>217.13999899999999</v>
      </c>
      <c r="D900" s="345">
        <f t="shared" ref="D900:E900" si="909">B900/B899-1</f>
        <v>-5.0632922658628288E-2</v>
      </c>
      <c r="E900" s="345">
        <f t="shared" si="909"/>
        <v>-4.5664308204035997E-2</v>
      </c>
      <c r="F900" s="313"/>
      <c r="G900" s="313"/>
      <c r="H900" s="313"/>
      <c r="I900" s="313"/>
      <c r="J900" s="313"/>
      <c r="K900" s="313"/>
      <c r="L900" s="313"/>
      <c r="M900" s="313"/>
      <c r="N900" s="313"/>
      <c r="O900" s="313"/>
      <c r="P900" s="313"/>
      <c r="Q900" s="313"/>
      <c r="R900" s="313"/>
      <c r="S900" s="313"/>
      <c r="T900" s="313"/>
      <c r="U900" s="313"/>
      <c r="V900" s="313"/>
      <c r="W900" s="313"/>
      <c r="X900" s="313"/>
      <c r="Y900" s="313"/>
      <c r="Z900" s="313"/>
      <c r="AA900" s="313"/>
    </row>
    <row r="901" spans="1:27" ht="14.25" customHeight="1" x14ac:dyDescent="0.2">
      <c r="A901" s="346">
        <v>43909</v>
      </c>
      <c r="B901" s="313">
        <v>240.509995</v>
      </c>
      <c r="C901" s="313">
        <v>209</v>
      </c>
      <c r="D901" s="345">
        <f t="shared" ref="D901:E901" si="910">B901/B900-1</f>
        <v>2.1249791666666518E-3</v>
      </c>
      <c r="E901" s="345">
        <f t="shared" si="910"/>
        <v>-3.7487330926993301E-2</v>
      </c>
      <c r="F901" s="313"/>
      <c r="G901" s="313"/>
      <c r="H901" s="313"/>
      <c r="I901" s="313"/>
      <c r="J901" s="313"/>
      <c r="K901" s="313"/>
      <c r="L901" s="313"/>
      <c r="M901" s="313"/>
      <c r="N901" s="313"/>
      <c r="O901" s="313"/>
      <c r="P901" s="313"/>
      <c r="Q901" s="313"/>
      <c r="R901" s="313"/>
      <c r="S901" s="313"/>
      <c r="T901" s="313"/>
      <c r="U901" s="313"/>
      <c r="V901" s="313"/>
      <c r="W901" s="313"/>
      <c r="X901" s="313"/>
      <c r="Y901" s="313"/>
      <c r="Z901" s="313"/>
      <c r="AA901" s="313"/>
    </row>
    <row r="902" spans="1:27" ht="14.25" customHeight="1" x14ac:dyDescent="0.2">
      <c r="A902" s="346">
        <v>43910</v>
      </c>
      <c r="B902" s="313">
        <v>228.800003</v>
      </c>
      <c r="C902" s="313">
        <v>195.38999899999999</v>
      </c>
      <c r="D902" s="345">
        <f t="shared" ref="D902:E902" si="911">B902/B901-1</f>
        <v>-4.8688171982208095E-2</v>
      </c>
      <c r="E902" s="345">
        <f t="shared" si="911"/>
        <v>-6.5119622009569444E-2</v>
      </c>
      <c r="F902" s="313"/>
      <c r="G902" s="313"/>
      <c r="H902" s="313"/>
      <c r="I902" s="313"/>
      <c r="J902" s="313"/>
      <c r="K902" s="313"/>
      <c r="L902" s="313"/>
      <c r="M902" s="313"/>
      <c r="N902" s="313"/>
      <c r="O902" s="313"/>
      <c r="P902" s="313"/>
      <c r="Q902" s="313"/>
      <c r="R902" s="313"/>
      <c r="S902" s="313"/>
      <c r="T902" s="313"/>
      <c r="U902" s="313"/>
      <c r="V902" s="313"/>
      <c r="W902" s="313"/>
      <c r="X902" s="313"/>
      <c r="Y902" s="313"/>
      <c r="Z902" s="313"/>
      <c r="AA902" s="313"/>
    </row>
    <row r="903" spans="1:27" ht="14.25" customHeight="1" x14ac:dyDescent="0.2">
      <c r="A903" s="346">
        <v>43913</v>
      </c>
      <c r="B903" s="313">
        <v>222.949997</v>
      </c>
      <c r="C903" s="313">
        <v>179.08999600000001</v>
      </c>
      <c r="D903" s="345">
        <f t="shared" ref="D903:E903" si="912">B903/B902-1</f>
        <v>-2.5568207706710644E-2</v>
      </c>
      <c r="E903" s="345">
        <f t="shared" si="912"/>
        <v>-8.3422913575018631E-2</v>
      </c>
      <c r="F903" s="313"/>
      <c r="G903" s="313"/>
      <c r="H903" s="313"/>
      <c r="I903" s="313"/>
      <c r="J903" s="313"/>
      <c r="K903" s="313"/>
      <c r="L903" s="313"/>
      <c r="M903" s="313"/>
      <c r="N903" s="313"/>
      <c r="O903" s="313"/>
      <c r="P903" s="313"/>
      <c r="Q903" s="313"/>
      <c r="R903" s="313"/>
      <c r="S903" s="313"/>
      <c r="T903" s="313"/>
      <c r="U903" s="313"/>
      <c r="V903" s="313"/>
      <c r="W903" s="313"/>
      <c r="X903" s="313"/>
      <c r="Y903" s="313"/>
      <c r="Z903" s="313"/>
      <c r="AA903" s="313"/>
    </row>
    <row r="904" spans="1:27" ht="14.25" customHeight="1" x14ac:dyDescent="0.2">
      <c r="A904" s="346">
        <v>43914</v>
      </c>
      <c r="B904" s="313">
        <v>243.14999399999999</v>
      </c>
      <c r="C904" s="313">
        <v>190.270004</v>
      </c>
      <c r="D904" s="345">
        <f t="shared" ref="D904:E904" si="913">B904/B903-1</f>
        <v>9.0603262039963051E-2</v>
      </c>
      <c r="E904" s="345">
        <f t="shared" si="913"/>
        <v>6.2426758890541167E-2</v>
      </c>
      <c r="F904" s="313"/>
      <c r="G904" s="313"/>
      <c r="H904" s="313"/>
      <c r="I904" s="313"/>
      <c r="J904" s="313"/>
      <c r="K904" s="313"/>
      <c r="L904" s="313"/>
      <c r="M904" s="313"/>
      <c r="N904" s="313"/>
      <c r="O904" s="313"/>
      <c r="P904" s="313"/>
      <c r="Q904" s="313"/>
      <c r="R904" s="313"/>
      <c r="S904" s="313"/>
      <c r="T904" s="313"/>
      <c r="U904" s="313"/>
      <c r="V904" s="313"/>
      <c r="W904" s="313"/>
      <c r="X904" s="313"/>
      <c r="Y904" s="313"/>
      <c r="Z904" s="313"/>
      <c r="AA904" s="313"/>
    </row>
    <row r="905" spans="1:27" ht="14.25" customHeight="1" x14ac:dyDescent="0.2">
      <c r="A905" s="346">
        <v>43915</v>
      </c>
      <c r="B905" s="313">
        <v>246.78999300000001</v>
      </c>
      <c r="C905" s="313">
        <v>199.259995</v>
      </c>
      <c r="D905" s="345">
        <f t="shared" ref="D905:E905" si="914">B905/B904-1</f>
        <v>1.4970179271318607E-2</v>
      </c>
      <c r="E905" s="345">
        <f t="shared" si="914"/>
        <v>4.7248598365510208E-2</v>
      </c>
      <c r="F905" s="313"/>
      <c r="G905" s="313"/>
      <c r="H905" s="313"/>
      <c r="I905" s="313"/>
      <c r="J905" s="313"/>
      <c r="K905" s="313"/>
      <c r="L905" s="313"/>
      <c r="M905" s="313"/>
      <c r="N905" s="313"/>
      <c r="O905" s="313"/>
      <c r="P905" s="313"/>
      <c r="Q905" s="313"/>
      <c r="R905" s="313"/>
      <c r="S905" s="313"/>
      <c r="T905" s="313"/>
      <c r="U905" s="313"/>
      <c r="V905" s="313"/>
      <c r="W905" s="313"/>
      <c r="X905" s="313"/>
      <c r="Y905" s="313"/>
      <c r="Z905" s="313"/>
      <c r="AA905" s="313"/>
    </row>
    <row r="906" spans="1:27" ht="14.25" customHeight="1" x14ac:dyDescent="0.2">
      <c r="A906" s="346">
        <v>43916</v>
      </c>
      <c r="B906" s="313">
        <v>261.20001200000002</v>
      </c>
      <c r="C906" s="313">
        <v>222.199997</v>
      </c>
      <c r="D906" s="345">
        <f t="shared" ref="D906:E906" si="915">B906/B905-1</f>
        <v>5.8389802701602989E-2</v>
      </c>
      <c r="E906" s="345">
        <f t="shared" si="915"/>
        <v>0.11512597900045107</v>
      </c>
      <c r="F906" s="313"/>
      <c r="G906" s="313"/>
      <c r="H906" s="313"/>
      <c r="I906" s="313"/>
      <c r="J906" s="313"/>
      <c r="K906" s="313"/>
      <c r="L906" s="313"/>
      <c r="M906" s="313"/>
      <c r="N906" s="313"/>
      <c r="O906" s="313"/>
      <c r="P906" s="313"/>
      <c r="Q906" s="313"/>
      <c r="R906" s="313"/>
      <c r="S906" s="313"/>
      <c r="T906" s="313"/>
      <c r="U906" s="313"/>
      <c r="V906" s="313"/>
      <c r="W906" s="313"/>
      <c r="X906" s="313"/>
      <c r="Y906" s="313"/>
      <c r="Z906" s="313"/>
      <c r="AA906" s="313"/>
    </row>
    <row r="907" spans="1:27" ht="14.25" customHeight="1" x14ac:dyDescent="0.2">
      <c r="A907" s="346">
        <v>43917</v>
      </c>
      <c r="B907" s="313">
        <v>253.41999799999999</v>
      </c>
      <c r="C907" s="313">
        <v>218.479996</v>
      </c>
      <c r="D907" s="345">
        <f t="shared" ref="D907:E907" si="916">B907/B906-1</f>
        <v>-2.9785657130827481E-2</v>
      </c>
      <c r="E907" s="345">
        <f t="shared" si="916"/>
        <v>-1.674167889390199E-2</v>
      </c>
      <c r="F907" s="313"/>
      <c r="G907" s="313"/>
      <c r="H907" s="313"/>
      <c r="I907" s="313"/>
      <c r="J907" s="313"/>
      <c r="K907" s="313"/>
      <c r="L907" s="313"/>
      <c r="M907" s="313"/>
      <c r="N907" s="313"/>
      <c r="O907" s="313"/>
      <c r="P907" s="313"/>
      <c r="Q907" s="313"/>
      <c r="R907" s="313"/>
      <c r="S907" s="313"/>
      <c r="T907" s="313"/>
      <c r="U907" s="313"/>
      <c r="V907" s="313"/>
      <c r="W907" s="313"/>
      <c r="X907" s="313"/>
      <c r="Y907" s="313"/>
      <c r="Z907" s="313"/>
      <c r="AA907" s="313"/>
    </row>
    <row r="908" spans="1:27" ht="14.25" customHeight="1" x14ac:dyDescent="0.2">
      <c r="A908" s="346">
        <v>43920</v>
      </c>
      <c r="B908" s="313">
        <v>261.64999399999999</v>
      </c>
      <c r="C908" s="313">
        <v>230.58000200000001</v>
      </c>
      <c r="D908" s="345">
        <f t="shared" ref="D908:E908" si="917">B908/B907-1</f>
        <v>3.2475716458651327E-2</v>
      </c>
      <c r="E908" s="345">
        <f t="shared" si="917"/>
        <v>5.5382672196680138E-2</v>
      </c>
      <c r="F908" s="313"/>
      <c r="G908" s="313"/>
      <c r="H908" s="313"/>
      <c r="I908" s="313"/>
      <c r="J908" s="313"/>
      <c r="K908" s="313"/>
      <c r="L908" s="313"/>
      <c r="M908" s="313"/>
      <c r="N908" s="313"/>
      <c r="O908" s="313"/>
      <c r="P908" s="313"/>
      <c r="Q908" s="313"/>
      <c r="R908" s="313"/>
      <c r="S908" s="313"/>
      <c r="T908" s="313"/>
      <c r="U908" s="313"/>
      <c r="V908" s="313"/>
      <c r="W908" s="313"/>
      <c r="X908" s="313"/>
      <c r="Y908" s="313"/>
      <c r="Z908" s="313"/>
      <c r="AA908" s="313"/>
    </row>
    <row r="909" spans="1:27" ht="14.25" customHeight="1" x14ac:dyDescent="0.2">
      <c r="A909" s="346">
        <v>43921</v>
      </c>
      <c r="B909" s="313">
        <v>257.75</v>
      </c>
      <c r="C909" s="313">
        <v>217.75</v>
      </c>
      <c r="D909" s="345">
        <f t="shared" ref="D909:E909" si="918">B909/B908-1</f>
        <v>-1.490538539817432E-2</v>
      </c>
      <c r="E909" s="345">
        <f t="shared" si="918"/>
        <v>-5.5642301538361583E-2</v>
      </c>
      <c r="F909" s="313"/>
      <c r="G909" s="313"/>
      <c r="H909" s="313"/>
      <c r="I909" s="313"/>
      <c r="J909" s="313"/>
      <c r="K909" s="313"/>
      <c r="L909" s="313"/>
      <c r="M909" s="313"/>
      <c r="N909" s="313"/>
      <c r="O909" s="313"/>
      <c r="P909" s="313"/>
      <c r="Q909" s="313"/>
      <c r="R909" s="313"/>
      <c r="S909" s="313"/>
      <c r="T909" s="313"/>
      <c r="U909" s="313"/>
      <c r="V909" s="313"/>
      <c r="W909" s="313"/>
      <c r="X909" s="313"/>
      <c r="Y909" s="313"/>
      <c r="Z909" s="313"/>
      <c r="AA909" s="313"/>
    </row>
    <row r="910" spans="1:27" ht="14.25" customHeight="1" x14ac:dyDescent="0.2">
      <c r="A910" s="346">
        <v>43922</v>
      </c>
      <c r="B910" s="313">
        <v>246.14999399999999</v>
      </c>
      <c r="C910" s="313">
        <v>206.970001</v>
      </c>
      <c r="D910" s="345">
        <f t="shared" ref="D910:E910" si="919">B910/B909-1</f>
        <v>-4.5004872938894325E-2</v>
      </c>
      <c r="E910" s="345">
        <f t="shared" si="919"/>
        <v>-4.9506309988519015E-2</v>
      </c>
      <c r="F910" s="313"/>
      <c r="G910" s="313"/>
      <c r="H910" s="313"/>
      <c r="I910" s="313"/>
      <c r="J910" s="313"/>
      <c r="K910" s="313"/>
      <c r="L910" s="313"/>
      <c r="M910" s="313"/>
      <c r="N910" s="313"/>
      <c r="O910" s="313"/>
      <c r="P910" s="313"/>
      <c r="Q910" s="313"/>
      <c r="R910" s="313"/>
      <c r="S910" s="313"/>
      <c r="T910" s="313"/>
      <c r="U910" s="313"/>
      <c r="V910" s="313"/>
      <c r="W910" s="313"/>
      <c r="X910" s="313"/>
      <c r="Y910" s="313"/>
      <c r="Z910" s="313"/>
      <c r="AA910" s="313"/>
    </row>
    <row r="911" spans="1:27" ht="14.25" customHeight="1" x14ac:dyDescent="0.2">
      <c r="A911" s="346">
        <v>43923</v>
      </c>
      <c r="B911" s="313">
        <v>251.83000200000001</v>
      </c>
      <c r="C911" s="313">
        <v>220.75</v>
      </c>
      <c r="D911" s="345">
        <f t="shared" ref="D911:E911" si="920">B911/B910-1</f>
        <v>2.3075393615487938E-2</v>
      </c>
      <c r="E911" s="345">
        <f t="shared" si="920"/>
        <v>6.6579692387400691E-2</v>
      </c>
      <c r="F911" s="313"/>
      <c r="G911" s="313"/>
      <c r="H911" s="313"/>
      <c r="I911" s="313"/>
      <c r="J911" s="313"/>
      <c r="K911" s="313"/>
      <c r="L911" s="313"/>
      <c r="M911" s="313"/>
      <c r="N911" s="313"/>
      <c r="O911" s="313"/>
      <c r="P911" s="313"/>
      <c r="Q911" s="313"/>
      <c r="R911" s="313"/>
      <c r="S911" s="313"/>
      <c r="T911" s="313"/>
      <c r="U911" s="313"/>
      <c r="V911" s="313"/>
      <c r="W911" s="313"/>
      <c r="X911" s="313"/>
      <c r="Y911" s="313"/>
      <c r="Z911" s="313"/>
      <c r="AA911" s="313"/>
    </row>
    <row r="912" spans="1:27" ht="14.25" customHeight="1" x14ac:dyDescent="0.2">
      <c r="A912" s="346">
        <v>43924</v>
      </c>
      <c r="B912" s="313">
        <v>248.19000199999999</v>
      </c>
      <c r="C912" s="313">
        <v>222.800003</v>
      </c>
      <c r="D912" s="345">
        <f t="shared" ref="D912:E912" si="921">B912/B911-1</f>
        <v>-1.4454195175680473E-2</v>
      </c>
      <c r="E912" s="345">
        <f t="shared" si="921"/>
        <v>9.2865368063419496E-3</v>
      </c>
      <c r="F912" s="313"/>
      <c r="G912" s="313"/>
      <c r="H912" s="313"/>
      <c r="I912" s="313"/>
      <c r="J912" s="313"/>
      <c r="K912" s="313"/>
      <c r="L912" s="313"/>
      <c r="M912" s="313"/>
      <c r="N912" s="313"/>
      <c r="O912" s="313"/>
      <c r="P912" s="313"/>
      <c r="Q912" s="313"/>
      <c r="R912" s="313"/>
      <c r="S912" s="313"/>
      <c r="T912" s="313"/>
      <c r="U912" s="313"/>
      <c r="V912" s="313"/>
      <c r="W912" s="313"/>
      <c r="X912" s="313"/>
      <c r="Y912" s="313"/>
      <c r="Z912" s="313"/>
      <c r="AA912" s="313"/>
    </row>
    <row r="913" spans="1:27" ht="14.25" customHeight="1" x14ac:dyDescent="0.2">
      <c r="A913" s="346">
        <v>43927</v>
      </c>
      <c r="B913" s="313">
        <v>264.85998499999999</v>
      </c>
      <c r="C913" s="313">
        <v>235.179993</v>
      </c>
      <c r="D913" s="345">
        <f t="shared" ref="D913:E913" si="922">B913/B912-1</f>
        <v>6.7166214858243922E-2</v>
      </c>
      <c r="E913" s="345">
        <f t="shared" si="922"/>
        <v>5.5565483991488085E-2</v>
      </c>
      <c r="F913" s="313"/>
      <c r="G913" s="313"/>
      <c r="H913" s="313"/>
      <c r="I913" s="313"/>
      <c r="J913" s="313"/>
      <c r="K913" s="313"/>
      <c r="L913" s="313"/>
      <c r="M913" s="313"/>
      <c r="N913" s="313"/>
      <c r="O913" s="313"/>
      <c r="P913" s="313"/>
      <c r="Q913" s="313"/>
      <c r="R913" s="313"/>
      <c r="S913" s="313"/>
      <c r="T913" s="313"/>
      <c r="U913" s="313"/>
      <c r="V913" s="313"/>
      <c r="W913" s="313"/>
      <c r="X913" s="313"/>
      <c r="Y913" s="313"/>
      <c r="Z913" s="313"/>
      <c r="AA913" s="313"/>
    </row>
    <row r="914" spans="1:27" ht="14.25" customHeight="1" x14ac:dyDescent="0.2">
      <c r="A914" s="346">
        <v>43928</v>
      </c>
      <c r="B914" s="313">
        <v>265.13000499999998</v>
      </c>
      <c r="C914" s="313">
        <v>227.770004</v>
      </c>
      <c r="D914" s="345">
        <f t="shared" ref="D914:E914" si="923">B914/B913-1</f>
        <v>1.0194820482225531E-3</v>
      </c>
      <c r="E914" s="345">
        <f t="shared" si="923"/>
        <v>-3.1507735439043061E-2</v>
      </c>
      <c r="F914" s="313"/>
      <c r="G914" s="313"/>
      <c r="H914" s="313"/>
      <c r="I914" s="313"/>
      <c r="J914" s="313"/>
      <c r="K914" s="313"/>
      <c r="L914" s="313"/>
      <c r="M914" s="313"/>
      <c r="N914" s="313"/>
      <c r="O914" s="313"/>
      <c r="P914" s="313"/>
      <c r="Q914" s="313"/>
      <c r="R914" s="313"/>
      <c r="S914" s="313"/>
      <c r="T914" s="313"/>
      <c r="U914" s="313"/>
      <c r="V914" s="313"/>
      <c r="W914" s="313"/>
      <c r="X914" s="313"/>
      <c r="Y914" s="313"/>
      <c r="Z914" s="313"/>
      <c r="AA914" s="313"/>
    </row>
    <row r="915" spans="1:27" ht="14.25" customHeight="1" x14ac:dyDescent="0.2">
      <c r="A915" s="346">
        <v>43929</v>
      </c>
      <c r="B915" s="313">
        <v>274.02999899999998</v>
      </c>
      <c r="C915" s="313">
        <v>249.25</v>
      </c>
      <c r="D915" s="345">
        <f t="shared" ref="D915:E915" si="924">B915/B914-1</f>
        <v>3.3568414861230078E-2</v>
      </c>
      <c r="E915" s="345">
        <f t="shared" si="924"/>
        <v>9.4305639999900936E-2</v>
      </c>
      <c r="F915" s="313"/>
      <c r="G915" s="313"/>
      <c r="H915" s="313"/>
      <c r="I915" s="313"/>
      <c r="J915" s="313"/>
      <c r="K915" s="313"/>
      <c r="L915" s="313"/>
      <c r="M915" s="313"/>
      <c r="N915" s="313"/>
      <c r="O915" s="313"/>
      <c r="P915" s="313"/>
      <c r="Q915" s="313"/>
      <c r="R915" s="313"/>
      <c r="S915" s="313"/>
      <c r="T915" s="313"/>
      <c r="U915" s="313"/>
      <c r="V915" s="313"/>
      <c r="W915" s="313"/>
      <c r="X915" s="313"/>
      <c r="Y915" s="313"/>
      <c r="Z915" s="313"/>
      <c r="AA915" s="313"/>
    </row>
    <row r="916" spans="1:27" ht="14.25" customHeight="1" x14ac:dyDescent="0.2">
      <c r="A916" s="346">
        <v>43930</v>
      </c>
      <c r="B916" s="313">
        <v>278.20001200000002</v>
      </c>
      <c r="C916" s="313">
        <v>259.60000600000001</v>
      </c>
      <c r="D916" s="345">
        <f t="shared" ref="D916:E916" si="925">B916/B915-1</f>
        <v>1.5217359468734815E-2</v>
      </c>
      <c r="E916" s="345">
        <f t="shared" si="925"/>
        <v>4.1524597793380247E-2</v>
      </c>
      <c r="F916" s="313"/>
      <c r="G916" s="313"/>
      <c r="H916" s="313"/>
      <c r="I916" s="313"/>
      <c r="J916" s="313"/>
      <c r="K916" s="313"/>
      <c r="L916" s="313"/>
      <c r="M916" s="313"/>
      <c r="N916" s="313"/>
      <c r="O916" s="313"/>
      <c r="P916" s="313"/>
      <c r="Q916" s="313"/>
      <c r="R916" s="313"/>
      <c r="S916" s="313"/>
      <c r="T916" s="313"/>
      <c r="U916" s="313"/>
      <c r="V916" s="313"/>
      <c r="W916" s="313"/>
      <c r="X916" s="313"/>
      <c r="Y916" s="313"/>
      <c r="Z916" s="313"/>
      <c r="AA916" s="313"/>
    </row>
    <row r="917" spans="1:27" ht="14.25" customHeight="1" x14ac:dyDescent="0.2">
      <c r="A917" s="346">
        <v>43934</v>
      </c>
      <c r="B917" s="313">
        <v>275.66000400000001</v>
      </c>
      <c r="C917" s="313">
        <v>249.759995</v>
      </c>
      <c r="D917" s="345">
        <f t="shared" ref="D917:E917" si="926">B917/B916-1</f>
        <v>-9.1301505767008573E-3</v>
      </c>
      <c r="E917" s="345">
        <f t="shared" si="926"/>
        <v>-3.7904509909757134E-2</v>
      </c>
      <c r="F917" s="313"/>
      <c r="G917" s="313"/>
      <c r="H917" s="313"/>
      <c r="I917" s="313"/>
      <c r="J917" s="313"/>
      <c r="K917" s="313"/>
      <c r="L917" s="313"/>
      <c r="M917" s="313"/>
      <c r="N917" s="313"/>
      <c r="O917" s="313"/>
      <c r="P917" s="313"/>
      <c r="Q917" s="313"/>
      <c r="R917" s="313"/>
      <c r="S917" s="313"/>
      <c r="T917" s="313"/>
      <c r="U917" s="313"/>
      <c r="V917" s="313"/>
      <c r="W917" s="313"/>
      <c r="X917" s="313"/>
      <c r="Y917" s="313"/>
      <c r="Z917" s="313"/>
      <c r="AA917" s="313"/>
    </row>
    <row r="918" spans="1:27" ht="14.25" customHeight="1" x14ac:dyDescent="0.2">
      <c r="A918" s="346">
        <v>43935</v>
      </c>
      <c r="B918" s="313">
        <v>283.790009</v>
      </c>
      <c r="C918" s="313">
        <v>255.10000600000001</v>
      </c>
      <c r="D918" s="345">
        <f t="shared" ref="D918:E918" si="927">B918/B917-1</f>
        <v>2.9492871225526018E-2</v>
      </c>
      <c r="E918" s="345">
        <f t="shared" si="927"/>
        <v>2.1380569774595015E-2</v>
      </c>
      <c r="F918" s="313"/>
      <c r="G918" s="313"/>
      <c r="H918" s="313"/>
      <c r="I918" s="313"/>
      <c r="J918" s="313"/>
      <c r="K918" s="313"/>
      <c r="L918" s="313"/>
      <c r="M918" s="313"/>
      <c r="N918" s="313"/>
      <c r="O918" s="313"/>
      <c r="P918" s="313"/>
      <c r="Q918" s="313"/>
      <c r="R918" s="313"/>
      <c r="S918" s="313"/>
      <c r="T918" s="313"/>
      <c r="U918" s="313"/>
      <c r="V918" s="313"/>
      <c r="W918" s="313"/>
      <c r="X918" s="313"/>
      <c r="Y918" s="313"/>
      <c r="Z918" s="313"/>
      <c r="AA918" s="313"/>
    </row>
    <row r="919" spans="1:27" ht="14.25" customHeight="1" x14ac:dyDescent="0.2">
      <c r="A919" s="346">
        <v>43936</v>
      </c>
      <c r="B919" s="313">
        <v>277.76001000000002</v>
      </c>
      <c r="C919" s="313">
        <v>247.490005</v>
      </c>
      <c r="D919" s="345">
        <f t="shared" ref="D919:E919" si="928">B919/B918-1</f>
        <v>-2.124810179628267E-2</v>
      </c>
      <c r="E919" s="345">
        <f t="shared" si="928"/>
        <v>-2.98314418698995E-2</v>
      </c>
      <c r="F919" s="313"/>
      <c r="G919" s="313"/>
      <c r="H919" s="313"/>
      <c r="I919" s="313"/>
      <c r="J919" s="313"/>
      <c r="K919" s="313"/>
      <c r="L919" s="313"/>
      <c r="M919" s="313"/>
      <c r="N919" s="313"/>
      <c r="O919" s="313"/>
      <c r="P919" s="313"/>
      <c r="Q919" s="313"/>
      <c r="R919" s="313"/>
      <c r="S919" s="313"/>
      <c r="T919" s="313"/>
      <c r="U919" s="313"/>
      <c r="V919" s="313"/>
      <c r="W919" s="313"/>
      <c r="X919" s="313"/>
      <c r="Y919" s="313"/>
      <c r="Z919" s="313"/>
      <c r="AA919" s="313"/>
    </row>
    <row r="920" spans="1:27" ht="14.25" customHeight="1" x14ac:dyDescent="0.2">
      <c r="A920" s="346">
        <v>43937</v>
      </c>
      <c r="B920" s="313">
        <v>279.10000600000001</v>
      </c>
      <c r="C920" s="313">
        <v>251.779999</v>
      </c>
      <c r="D920" s="345">
        <f t="shared" ref="D920:E920" si="929">B920/B919-1</f>
        <v>4.8242941811529327E-3</v>
      </c>
      <c r="E920" s="345">
        <f t="shared" si="929"/>
        <v>1.7334009104731374E-2</v>
      </c>
      <c r="F920" s="313"/>
      <c r="G920" s="313"/>
      <c r="H920" s="313"/>
      <c r="I920" s="313"/>
      <c r="J920" s="313"/>
      <c r="K920" s="313"/>
      <c r="L920" s="313"/>
      <c r="M920" s="313"/>
      <c r="N920" s="313"/>
      <c r="O920" s="313"/>
      <c r="P920" s="313"/>
      <c r="Q920" s="313"/>
      <c r="R920" s="313"/>
      <c r="S920" s="313"/>
      <c r="T920" s="313"/>
      <c r="U920" s="313"/>
      <c r="V920" s="313"/>
      <c r="W920" s="313"/>
      <c r="X920" s="313"/>
      <c r="Y920" s="313"/>
      <c r="Z920" s="313"/>
      <c r="AA920" s="313"/>
    </row>
    <row r="921" spans="1:27" ht="14.25" customHeight="1" x14ac:dyDescent="0.2">
      <c r="A921" s="346">
        <v>43938</v>
      </c>
      <c r="B921" s="313">
        <v>286.64001500000001</v>
      </c>
      <c r="C921" s="313">
        <v>254.05999800000001</v>
      </c>
      <c r="D921" s="345">
        <f t="shared" ref="D921:E921" si="930">B921/B920-1</f>
        <v>2.7015438330015629E-2</v>
      </c>
      <c r="E921" s="345">
        <f t="shared" si="930"/>
        <v>9.0555207286342476E-3</v>
      </c>
      <c r="F921" s="313"/>
      <c r="G921" s="313"/>
      <c r="H921" s="313"/>
      <c r="I921" s="313"/>
      <c r="J921" s="313"/>
      <c r="K921" s="313"/>
      <c r="L921" s="313"/>
      <c r="M921" s="313"/>
      <c r="N921" s="313"/>
      <c r="O921" s="313"/>
      <c r="P921" s="313"/>
      <c r="Q921" s="313"/>
      <c r="R921" s="313"/>
      <c r="S921" s="313"/>
      <c r="T921" s="313"/>
      <c r="U921" s="313"/>
      <c r="V921" s="313"/>
      <c r="W921" s="313"/>
      <c r="X921" s="313"/>
      <c r="Y921" s="313"/>
      <c r="Z921" s="313"/>
      <c r="AA921" s="313"/>
    </row>
    <row r="922" spans="1:27" ht="14.25" customHeight="1" x14ac:dyDescent="0.2">
      <c r="A922" s="346">
        <v>43941</v>
      </c>
      <c r="B922" s="313">
        <v>281.58999599999999</v>
      </c>
      <c r="C922" s="313">
        <v>248.679993</v>
      </c>
      <c r="D922" s="345">
        <f t="shared" ref="D922:E922" si="931">B922/B921-1</f>
        <v>-1.7617983309134333E-2</v>
      </c>
      <c r="E922" s="345">
        <f t="shared" si="931"/>
        <v>-2.1176119980918839E-2</v>
      </c>
      <c r="F922" s="313"/>
      <c r="G922" s="313"/>
      <c r="H922" s="313"/>
      <c r="I922" s="313"/>
      <c r="J922" s="313"/>
      <c r="K922" s="313"/>
      <c r="L922" s="313"/>
      <c r="M922" s="313"/>
      <c r="N922" s="313"/>
      <c r="O922" s="313"/>
      <c r="P922" s="313"/>
      <c r="Q922" s="313"/>
      <c r="R922" s="313"/>
      <c r="S922" s="313"/>
      <c r="T922" s="313"/>
      <c r="U922" s="313"/>
      <c r="V922" s="313"/>
      <c r="W922" s="313"/>
      <c r="X922" s="313"/>
      <c r="Y922" s="313"/>
      <c r="Z922" s="313"/>
      <c r="AA922" s="313"/>
    </row>
    <row r="923" spans="1:27" ht="14.25" customHeight="1" x14ac:dyDescent="0.2">
      <c r="A923" s="346">
        <v>43942</v>
      </c>
      <c r="B923" s="313">
        <v>273.040009</v>
      </c>
      <c r="C923" s="313">
        <v>242</v>
      </c>
      <c r="D923" s="345">
        <f t="shared" ref="D923:E923" si="932">B923/B922-1</f>
        <v>-3.0363248415969935E-2</v>
      </c>
      <c r="E923" s="345">
        <f t="shared" si="932"/>
        <v>-2.686180307235253E-2</v>
      </c>
      <c r="F923" s="313"/>
      <c r="G923" s="313"/>
      <c r="H923" s="313"/>
      <c r="I923" s="313"/>
      <c r="J923" s="313"/>
      <c r="K923" s="313"/>
      <c r="L923" s="313"/>
      <c r="M923" s="313"/>
      <c r="N923" s="313"/>
      <c r="O923" s="313"/>
      <c r="P923" s="313"/>
      <c r="Q923" s="313"/>
      <c r="R923" s="313"/>
      <c r="S923" s="313"/>
      <c r="T923" s="313"/>
      <c r="U923" s="313"/>
      <c r="V923" s="313"/>
      <c r="W923" s="313"/>
      <c r="X923" s="313"/>
      <c r="Y923" s="313"/>
      <c r="Z923" s="313"/>
      <c r="AA923" s="313"/>
    </row>
    <row r="924" spans="1:27" ht="14.25" customHeight="1" x14ac:dyDescent="0.2">
      <c r="A924" s="346">
        <v>43943</v>
      </c>
      <c r="B924" s="313">
        <v>279.10000600000001</v>
      </c>
      <c r="C924" s="313">
        <v>252.979996</v>
      </c>
      <c r="D924" s="345">
        <f t="shared" ref="D924:E924" si="933">B924/B923-1</f>
        <v>2.2194538530065699E-2</v>
      </c>
      <c r="E924" s="345">
        <f t="shared" si="933"/>
        <v>4.5371884297520593E-2</v>
      </c>
      <c r="F924" s="313"/>
      <c r="G924" s="313"/>
      <c r="H924" s="313"/>
      <c r="I924" s="313"/>
      <c r="J924" s="313"/>
      <c r="K924" s="313"/>
      <c r="L924" s="313"/>
      <c r="M924" s="313"/>
      <c r="N924" s="313"/>
      <c r="O924" s="313"/>
      <c r="P924" s="313"/>
      <c r="Q924" s="313"/>
      <c r="R924" s="313"/>
      <c r="S924" s="313"/>
      <c r="T924" s="313"/>
      <c r="U924" s="313"/>
      <c r="V924" s="313"/>
      <c r="W924" s="313"/>
      <c r="X924" s="313"/>
      <c r="Y924" s="313"/>
      <c r="Z924" s="313"/>
      <c r="AA924" s="313"/>
    </row>
    <row r="925" spans="1:27" ht="14.25" customHeight="1" x14ac:dyDescent="0.2">
      <c r="A925" s="346">
        <v>43944</v>
      </c>
      <c r="B925" s="313">
        <v>279.07998700000002</v>
      </c>
      <c r="C925" s="313">
        <v>248.60000600000001</v>
      </c>
      <c r="D925" s="345">
        <f t="shared" ref="D925:E925" si="934">B925/B924-1</f>
        <v>-7.1726978035258071E-5</v>
      </c>
      <c r="E925" s="345">
        <f t="shared" si="934"/>
        <v>-1.7313582375106051E-2</v>
      </c>
      <c r="F925" s="313"/>
      <c r="G925" s="313"/>
      <c r="H925" s="313"/>
      <c r="I925" s="313"/>
      <c r="J925" s="313"/>
      <c r="K925" s="313"/>
      <c r="L925" s="313"/>
      <c r="M925" s="313"/>
      <c r="N925" s="313"/>
      <c r="O925" s="313"/>
      <c r="P925" s="313"/>
      <c r="Q925" s="313"/>
      <c r="R925" s="313"/>
      <c r="S925" s="313"/>
      <c r="T925" s="313"/>
      <c r="U925" s="313"/>
      <c r="V925" s="313"/>
      <c r="W925" s="313"/>
      <c r="X925" s="313"/>
      <c r="Y925" s="313"/>
      <c r="Z925" s="313"/>
      <c r="AA925" s="313"/>
    </row>
    <row r="926" spans="1:27" ht="14.25" customHeight="1" x14ac:dyDescent="0.2">
      <c r="A926" s="346">
        <v>43945</v>
      </c>
      <c r="B926" s="313">
        <v>282.97000100000002</v>
      </c>
      <c r="C926" s="313">
        <v>244.61000100000001</v>
      </c>
      <c r="D926" s="345">
        <f t="shared" ref="D926:E926" si="935">B926/B925-1</f>
        <v>1.393870639674355E-2</v>
      </c>
      <c r="E926" s="345">
        <f t="shared" si="935"/>
        <v>-1.604989904947951E-2</v>
      </c>
      <c r="F926" s="313"/>
      <c r="G926" s="313"/>
      <c r="H926" s="313"/>
      <c r="I926" s="313"/>
      <c r="J926" s="313"/>
      <c r="K926" s="313"/>
      <c r="L926" s="313"/>
      <c r="M926" s="313"/>
      <c r="N926" s="313"/>
      <c r="O926" s="313"/>
      <c r="P926" s="313"/>
      <c r="Q926" s="313"/>
      <c r="R926" s="313"/>
      <c r="S926" s="313"/>
      <c r="T926" s="313"/>
      <c r="U926" s="313"/>
      <c r="V926" s="313"/>
      <c r="W926" s="313"/>
      <c r="X926" s="313"/>
      <c r="Y926" s="313"/>
      <c r="Z926" s="313"/>
      <c r="AA926" s="313"/>
    </row>
    <row r="927" spans="1:27" ht="14.25" customHeight="1" x14ac:dyDescent="0.2">
      <c r="A927" s="346">
        <v>43948</v>
      </c>
      <c r="B927" s="313">
        <v>287.04998799999998</v>
      </c>
      <c r="C927" s="313">
        <v>250.220001</v>
      </c>
      <c r="D927" s="345">
        <f t="shared" ref="D927:E927" si="936">B927/B926-1</f>
        <v>1.44184436003163E-2</v>
      </c>
      <c r="E927" s="345">
        <f t="shared" si="936"/>
        <v>2.2934467017151849E-2</v>
      </c>
      <c r="F927" s="313"/>
      <c r="G927" s="313"/>
      <c r="H927" s="313"/>
      <c r="I927" s="313"/>
      <c r="J927" s="313"/>
      <c r="K927" s="313"/>
      <c r="L927" s="313"/>
      <c r="M927" s="313"/>
      <c r="N927" s="313"/>
      <c r="O927" s="313"/>
      <c r="P927" s="313"/>
      <c r="Q927" s="313"/>
      <c r="R927" s="313"/>
      <c r="S927" s="313"/>
      <c r="T927" s="313"/>
      <c r="U927" s="313"/>
      <c r="V927" s="313"/>
      <c r="W927" s="313"/>
      <c r="X927" s="313"/>
      <c r="Y927" s="313"/>
      <c r="Z927" s="313"/>
      <c r="AA927" s="313"/>
    </row>
    <row r="928" spans="1:27" ht="14.25" customHeight="1" x14ac:dyDescent="0.2">
      <c r="A928" s="346">
        <v>43949</v>
      </c>
      <c r="B928" s="313">
        <v>285.73001099999999</v>
      </c>
      <c r="C928" s="313">
        <v>243.529999</v>
      </c>
      <c r="D928" s="345">
        <f t="shared" ref="D928:E928" si="937">B928/B927-1</f>
        <v>-4.5984220699566425E-3</v>
      </c>
      <c r="E928" s="345">
        <f t="shared" si="937"/>
        <v>-2.6736479790838152E-2</v>
      </c>
      <c r="F928" s="313"/>
      <c r="G928" s="313"/>
      <c r="H928" s="313"/>
      <c r="I928" s="313"/>
      <c r="J928" s="313"/>
      <c r="K928" s="313"/>
      <c r="L928" s="313"/>
      <c r="M928" s="313"/>
      <c r="N928" s="313"/>
      <c r="O928" s="313"/>
      <c r="P928" s="313"/>
      <c r="Q928" s="313"/>
      <c r="R928" s="313"/>
      <c r="S928" s="313"/>
      <c r="T928" s="313"/>
      <c r="U928" s="313"/>
      <c r="V928" s="313"/>
      <c r="W928" s="313"/>
      <c r="X928" s="313"/>
      <c r="Y928" s="313"/>
      <c r="Z928" s="313"/>
      <c r="AA928" s="313"/>
    </row>
    <row r="929" spans="1:27" ht="14.25" customHeight="1" x14ac:dyDescent="0.2">
      <c r="A929" s="346">
        <v>43950</v>
      </c>
      <c r="B929" s="313">
        <v>293.209991</v>
      </c>
      <c r="C929" s="313">
        <v>236.80999800000001</v>
      </c>
      <c r="D929" s="345">
        <f t="shared" ref="D929:E929" si="938">B929/B928-1</f>
        <v>2.6178489175223474E-2</v>
      </c>
      <c r="E929" s="345">
        <f t="shared" si="938"/>
        <v>-2.7594140465627026E-2</v>
      </c>
      <c r="F929" s="313"/>
      <c r="G929" s="313"/>
      <c r="H929" s="313"/>
      <c r="I929" s="313"/>
      <c r="J929" s="313"/>
      <c r="K929" s="313"/>
      <c r="L929" s="313"/>
      <c r="M929" s="313"/>
      <c r="N929" s="313"/>
      <c r="O929" s="313"/>
      <c r="P929" s="313"/>
      <c r="Q929" s="313"/>
      <c r="R929" s="313"/>
      <c r="S929" s="313"/>
      <c r="T929" s="313"/>
      <c r="U929" s="313"/>
      <c r="V929" s="313"/>
      <c r="W929" s="313"/>
      <c r="X929" s="313"/>
      <c r="Y929" s="313"/>
      <c r="Z929" s="313"/>
      <c r="AA929" s="313"/>
    </row>
    <row r="930" spans="1:27" ht="14.25" customHeight="1" x14ac:dyDescent="0.2">
      <c r="A930" s="346">
        <v>43951</v>
      </c>
      <c r="B930" s="313">
        <v>290.48001099999999</v>
      </c>
      <c r="C930" s="313">
        <v>238</v>
      </c>
      <c r="D930" s="345">
        <f t="shared" ref="D930:E930" si="939">B930/B929-1</f>
        <v>-9.3106649970874367E-3</v>
      </c>
      <c r="E930" s="345">
        <f t="shared" si="939"/>
        <v>5.0251341161702268E-3</v>
      </c>
      <c r="F930" s="313"/>
      <c r="G930" s="313"/>
      <c r="H930" s="313"/>
      <c r="I930" s="313"/>
      <c r="J930" s="313"/>
      <c r="K930" s="313"/>
      <c r="L930" s="313"/>
      <c r="M930" s="313"/>
      <c r="N930" s="313"/>
      <c r="O930" s="313"/>
      <c r="P930" s="313"/>
      <c r="Q930" s="313"/>
      <c r="R930" s="313"/>
      <c r="S930" s="313"/>
      <c r="T930" s="313"/>
      <c r="U930" s="313"/>
      <c r="V930" s="313"/>
      <c r="W930" s="313"/>
      <c r="X930" s="313"/>
      <c r="Y930" s="313"/>
      <c r="Z930" s="313"/>
      <c r="AA930" s="313"/>
    </row>
    <row r="931" spans="1:27" ht="14.25" customHeight="1" x14ac:dyDescent="0.2">
      <c r="A931" s="346">
        <v>43952</v>
      </c>
      <c r="B931" s="313">
        <v>282.790009</v>
      </c>
      <c r="C931" s="313">
        <v>234.199997</v>
      </c>
      <c r="D931" s="345">
        <f t="shared" ref="D931:E931" si="940">B931/B930-1</f>
        <v>-2.6473429182016894E-2</v>
      </c>
      <c r="E931" s="345">
        <f t="shared" si="940"/>
        <v>-1.5966399159663913E-2</v>
      </c>
      <c r="F931" s="313"/>
      <c r="G931" s="313"/>
      <c r="H931" s="313"/>
      <c r="I931" s="313"/>
      <c r="J931" s="313"/>
      <c r="K931" s="313"/>
      <c r="L931" s="313"/>
      <c r="M931" s="313"/>
      <c r="N931" s="313"/>
      <c r="O931" s="313"/>
      <c r="P931" s="313"/>
      <c r="Q931" s="313"/>
      <c r="R931" s="313"/>
      <c r="S931" s="313"/>
      <c r="T931" s="313"/>
      <c r="U931" s="313"/>
      <c r="V931" s="313"/>
      <c r="W931" s="313"/>
      <c r="X931" s="313"/>
      <c r="Y931" s="313"/>
      <c r="Z931" s="313"/>
      <c r="AA931" s="313"/>
    </row>
    <row r="932" spans="1:27" ht="14.25" customHeight="1" x14ac:dyDescent="0.2">
      <c r="A932" s="346">
        <v>43955</v>
      </c>
      <c r="B932" s="313">
        <v>283.57000699999998</v>
      </c>
      <c r="C932" s="313">
        <v>236.63000500000001</v>
      </c>
      <c r="D932" s="345">
        <f t="shared" ref="D932:E932" si="941">B932/B931-1</f>
        <v>2.7582233288869773E-3</v>
      </c>
      <c r="E932" s="345">
        <f t="shared" si="941"/>
        <v>1.0375781516342331E-2</v>
      </c>
      <c r="F932" s="313"/>
      <c r="G932" s="313"/>
      <c r="H932" s="313"/>
      <c r="I932" s="313"/>
      <c r="J932" s="313"/>
      <c r="K932" s="313"/>
      <c r="L932" s="313"/>
      <c r="M932" s="313"/>
      <c r="N932" s="313"/>
      <c r="O932" s="313"/>
      <c r="P932" s="313"/>
      <c r="Q932" s="313"/>
      <c r="R932" s="313"/>
      <c r="S932" s="313"/>
      <c r="T932" s="313"/>
      <c r="U932" s="313"/>
      <c r="V932" s="313"/>
      <c r="W932" s="313"/>
      <c r="X932" s="313"/>
      <c r="Y932" s="313"/>
      <c r="Z932" s="313"/>
      <c r="AA932" s="313"/>
    </row>
    <row r="933" spans="1:27" ht="14.25" customHeight="1" x14ac:dyDescent="0.2">
      <c r="A933" s="346">
        <v>43956</v>
      </c>
      <c r="B933" s="313">
        <v>286.19000199999999</v>
      </c>
      <c r="C933" s="313">
        <v>240.259995</v>
      </c>
      <c r="D933" s="345">
        <f t="shared" ref="D933:E933" si="942">B933/B932-1</f>
        <v>9.2393233957215326E-3</v>
      </c>
      <c r="E933" s="345">
        <f t="shared" si="942"/>
        <v>1.5340362267245E-2</v>
      </c>
      <c r="F933" s="313"/>
      <c r="G933" s="313"/>
      <c r="H933" s="313"/>
      <c r="I933" s="313"/>
      <c r="J933" s="313"/>
      <c r="K933" s="313"/>
      <c r="L933" s="313"/>
      <c r="M933" s="313"/>
      <c r="N933" s="313"/>
      <c r="O933" s="313"/>
      <c r="P933" s="313"/>
      <c r="Q933" s="313"/>
      <c r="R933" s="313"/>
      <c r="S933" s="313"/>
      <c r="T933" s="313"/>
      <c r="U933" s="313"/>
      <c r="V933" s="313"/>
      <c r="W933" s="313"/>
      <c r="X933" s="313"/>
      <c r="Y933" s="313"/>
      <c r="Z933" s="313"/>
      <c r="AA933" s="313"/>
    </row>
    <row r="934" spans="1:27" ht="14.25" customHeight="1" x14ac:dyDescent="0.2">
      <c r="A934" s="346">
        <v>43957</v>
      </c>
      <c r="B934" s="313">
        <v>284.25</v>
      </c>
      <c r="C934" s="313">
        <v>237.259995</v>
      </c>
      <c r="D934" s="345">
        <f t="shared" ref="D934:E934" si="943">B934/B933-1</f>
        <v>-6.7787203831110032E-3</v>
      </c>
      <c r="E934" s="345">
        <f t="shared" si="943"/>
        <v>-1.2486473247450114E-2</v>
      </c>
      <c r="F934" s="313"/>
      <c r="G934" s="313"/>
      <c r="H934" s="313"/>
      <c r="I934" s="313"/>
      <c r="J934" s="313"/>
      <c r="K934" s="313"/>
      <c r="L934" s="313"/>
      <c r="M934" s="313"/>
      <c r="N934" s="313"/>
      <c r="O934" s="313"/>
      <c r="P934" s="313"/>
      <c r="Q934" s="313"/>
      <c r="R934" s="313"/>
      <c r="S934" s="313"/>
      <c r="T934" s="313"/>
      <c r="U934" s="313"/>
      <c r="V934" s="313"/>
      <c r="W934" s="313"/>
      <c r="X934" s="313"/>
      <c r="Y934" s="313"/>
      <c r="Z934" s="313"/>
      <c r="AA934" s="313"/>
    </row>
    <row r="935" spans="1:27" ht="14.25" customHeight="1" x14ac:dyDescent="0.2">
      <c r="A935" s="346">
        <v>43958</v>
      </c>
      <c r="B935" s="313">
        <v>287.67999300000002</v>
      </c>
      <c r="C935" s="313">
        <v>235.25</v>
      </c>
      <c r="D935" s="345">
        <f t="shared" ref="D935:E935" si="944">B935/B934-1</f>
        <v>1.2066817941952523E-2</v>
      </c>
      <c r="E935" s="345">
        <f t="shared" si="944"/>
        <v>-8.4716978941182797E-3</v>
      </c>
      <c r="F935" s="313"/>
      <c r="G935" s="313"/>
      <c r="H935" s="313"/>
      <c r="I935" s="313"/>
      <c r="J935" s="313"/>
      <c r="K935" s="313"/>
      <c r="L935" s="313"/>
      <c r="M935" s="313"/>
      <c r="N935" s="313"/>
      <c r="O935" s="313"/>
      <c r="P935" s="313"/>
      <c r="Q935" s="313"/>
      <c r="R935" s="313"/>
      <c r="S935" s="313"/>
      <c r="T935" s="313"/>
      <c r="U935" s="313"/>
      <c r="V935" s="313"/>
      <c r="W935" s="313"/>
      <c r="X935" s="313"/>
      <c r="Y935" s="313"/>
      <c r="Z935" s="313"/>
      <c r="AA935" s="313"/>
    </row>
    <row r="936" spans="1:27" ht="14.25" customHeight="1" x14ac:dyDescent="0.2">
      <c r="A936" s="346">
        <v>43959</v>
      </c>
      <c r="B936" s="313">
        <v>292.44000199999999</v>
      </c>
      <c r="C936" s="313">
        <v>238.36000100000001</v>
      </c>
      <c r="D936" s="345">
        <f t="shared" ref="D936:E936" si="945">B936/B935-1</f>
        <v>1.654619409004221E-2</v>
      </c>
      <c r="E936" s="345">
        <f t="shared" si="945"/>
        <v>1.3219982996812041E-2</v>
      </c>
      <c r="F936" s="313"/>
      <c r="G936" s="313"/>
      <c r="H936" s="313"/>
      <c r="I936" s="313"/>
      <c r="J936" s="313"/>
      <c r="K936" s="313"/>
      <c r="L936" s="313"/>
      <c r="M936" s="313"/>
      <c r="N936" s="313"/>
      <c r="O936" s="313"/>
      <c r="P936" s="313"/>
      <c r="Q936" s="313"/>
      <c r="R936" s="313"/>
      <c r="S936" s="313"/>
      <c r="T936" s="313"/>
      <c r="U936" s="313"/>
      <c r="V936" s="313"/>
      <c r="W936" s="313"/>
      <c r="X936" s="313"/>
      <c r="Y936" s="313"/>
      <c r="Z936" s="313"/>
      <c r="AA936" s="313"/>
    </row>
    <row r="937" spans="1:27" ht="14.25" customHeight="1" x14ac:dyDescent="0.2">
      <c r="A937" s="346">
        <v>43962</v>
      </c>
      <c r="B937" s="313">
        <v>292.5</v>
      </c>
      <c r="C937" s="313">
        <v>238.229996</v>
      </c>
      <c r="D937" s="345">
        <f t="shared" ref="D937:E937" si="946">B937/B936-1</f>
        <v>2.0516345092902455E-4</v>
      </c>
      <c r="E937" s="345">
        <f t="shared" si="946"/>
        <v>-5.4541449678890963E-4</v>
      </c>
      <c r="F937" s="313"/>
      <c r="G937" s="313"/>
      <c r="H937" s="313"/>
      <c r="I937" s="313"/>
      <c r="J937" s="313"/>
      <c r="K937" s="313"/>
      <c r="L937" s="313"/>
      <c r="M937" s="313"/>
      <c r="N937" s="313"/>
      <c r="O937" s="313"/>
      <c r="P937" s="313"/>
      <c r="Q937" s="313"/>
      <c r="R937" s="313"/>
      <c r="S937" s="313"/>
      <c r="T937" s="313"/>
      <c r="U937" s="313"/>
      <c r="V937" s="313"/>
      <c r="W937" s="313"/>
      <c r="X937" s="313"/>
      <c r="Y937" s="313"/>
      <c r="Z937" s="313"/>
      <c r="AA937" s="313"/>
    </row>
    <row r="938" spans="1:27" ht="14.25" customHeight="1" x14ac:dyDescent="0.2">
      <c r="A938" s="346">
        <v>43963</v>
      </c>
      <c r="B938" s="313">
        <v>286.67001299999998</v>
      </c>
      <c r="C938" s="313">
        <v>231.69000199999999</v>
      </c>
      <c r="D938" s="345">
        <f t="shared" ref="D938:E938" si="947">B938/B937-1</f>
        <v>-1.9931579487179496E-2</v>
      </c>
      <c r="E938" s="345">
        <f t="shared" si="947"/>
        <v>-2.7452437181756051E-2</v>
      </c>
      <c r="F938" s="313"/>
      <c r="G938" s="313"/>
      <c r="H938" s="313"/>
      <c r="I938" s="313"/>
      <c r="J938" s="313"/>
      <c r="K938" s="313"/>
      <c r="L938" s="313"/>
      <c r="M938" s="313"/>
      <c r="N938" s="313"/>
      <c r="O938" s="313"/>
      <c r="P938" s="313"/>
      <c r="Q938" s="313"/>
      <c r="R938" s="313"/>
      <c r="S938" s="313"/>
      <c r="T938" s="313"/>
      <c r="U938" s="313"/>
      <c r="V938" s="313"/>
      <c r="W938" s="313"/>
      <c r="X938" s="313"/>
      <c r="Y938" s="313"/>
      <c r="Z938" s="313"/>
      <c r="AA938" s="313"/>
    </row>
    <row r="939" spans="1:27" ht="14.25" customHeight="1" x14ac:dyDescent="0.2">
      <c r="A939" s="346">
        <v>43964</v>
      </c>
      <c r="B939" s="313">
        <v>281.60000600000001</v>
      </c>
      <c r="C939" s="313">
        <v>231.14999399999999</v>
      </c>
      <c r="D939" s="345">
        <f t="shared" ref="D939:E939" si="948">B939/B938-1</f>
        <v>-1.768586447861209E-2</v>
      </c>
      <c r="E939" s="345">
        <f t="shared" si="948"/>
        <v>-2.3307350137620197E-3</v>
      </c>
      <c r="F939" s="313"/>
      <c r="G939" s="313"/>
      <c r="H939" s="313"/>
      <c r="I939" s="313"/>
      <c r="J939" s="313"/>
      <c r="K939" s="313"/>
      <c r="L939" s="313"/>
      <c r="M939" s="313"/>
      <c r="N939" s="313"/>
      <c r="O939" s="313"/>
      <c r="P939" s="313"/>
      <c r="Q939" s="313"/>
      <c r="R939" s="313"/>
      <c r="S939" s="313"/>
      <c r="T939" s="313"/>
      <c r="U939" s="313"/>
      <c r="V939" s="313"/>
      <c r="W939" s="313"/>
      <c r="X939" s="313"/>
      <c r="Y939" s="313"/>
      <c r="Z939" s="313"/>
      <c r="AA939" s="313"/>
    </row>
    <row r="940" spans="1:27" ht="14.25" customHeight="1" x14ac:dyDescent="0.2">
      <c r="A940" s="346">
        <v>43965</v>
      </c>
      <c r="B940" s="313">
        <v>284.97000100000002</v>
      </c>
      <c r="C940" s="313">
        <v>229.61999499999999</v>
      </c>
      <c r="D940" s="345">
        <f t="shared" ref="D940:E940" si="949">B940/B939-1</f>
        <v>1.1967311534787362E-2</v>
      </c>
      <c r="E940" s="345">
        <f t="shared" si="949"/>
        <v>-6.6190743660585749E-3</v>
      </c>
      <c r="F940" s="313"/>
      <c r="G940" s="313"/>
      <c r="H940" s="313"/>
      <c r="I940" s="313"/>
      <c r="J940" s="313"/>
      <c r="K940" s="313"/>
      <c r="L940" s="313"/>
      <c r="M940" s="313"/>
      <c r="N940" s="313"/>
      <c r="O940" s="313"/>
      <c r="P940" s="313"/>
      <c r="Q940" s="313"/>
      <c r="R940" s="313"/>
      <c r="S940" s="313"/>
      <c r="T940" s="313"/>
      <c r="U940" s="313"/>
      <c r="V940" s="313"/>
      <c r="W940" s="313"/>
      <c r="X940" s="313"/>
      <c r="Y940" s="313"/>
      <c r="Z940" s="313"/>
      <c r="AA940" s="313"/>
    </row>
    <row r="941" spans="1:27" ht="14.25" customHeight="1" x14ac:dyDescent="0.2">
      <c r="A941" s="346">
        <v>43966</v>
      </c>
      <c r="B941" s="313">
        <v>286.27999899999998</v>
      </c>
      <c r="C941" s="313">
        <v>229.58000200000001</v>
      </c>
      <c r="D941" s="345">
        <f t="shared" ref="D941:E941" si="950">B941/B940-1</f>
        <v>4.5969680857738116E-3</v>
      </c>
      <c r="E941" s="345">
        <f t="shared" si="950"/>
        <v>-1.7417037222733356E-4</v>
      </c>
      <c r="F941" s="313"/>
      <c r="G941" s="313"/>
      <c r="H941" s="313"/>
      <c r="I941" s="313"/>
      <c r="J941" s="313"/>
      <c r="K941" s="313"/>
      <c r="L941" s="313"/>
      <c r="M941" s="313"/>
      <c r="N941" s="313"/>
      <c r="O941" s="313"/>
      <c r="P941" s="313"/>
      <c r="Q941" s="313"/>
      <c r="R941" s="313"/>
      <c r="S941" s="313"/>
      <c r="T941" s="313"/>
      <c r="U941" s="313"/>
      <c r="V941" s="313"/>
      <c r="W941" s="313"/>
      <c r="X941" s="313"/>
      <c r="Y941" s="313"/>
      <c r="Z941" s="313"/>
      <c r="AA941" s="313"/>
    </row>
    <row r="942" spans="1:27" ht="14.25" customHeight="1" x14ac:dyDescent="0.2">
      <c r="A942" s="346">
        <v>43969</v>
      </c>
      <c r="B942" s="313">
        <v>295</v>
      </c>
      <c r="C942" s="313">
        <v>236.029999</v>
      </c>
      <c r="D942" s="345">
        <f t="shared" ref="D942:E942" si="951">B942/B941-1</f>
        <v>3.0459693413650069E-2</v>
      </c>
      <c r="E942" s="345">
        <f t="shared" si="951"/>
        <v>2.8094768463326369E-2</v>
      </c>
      <c r="F942" s="313"/>
      <c r="G942" s="313"/>
      <c r="H942" s="313"/>
      <c r="I942" s="313"/>
      <c r="J942" s="313"/>
      <c r="K942" s="313"/>
      <c r="L942" s="313"/>
      <c r="M942" s="313"/>
      <c r="N942" s="313"/>
      <c r="O942" s="313"/>
      <c r="P942" s="313"/>
      <c r="Q942" s="313"/>
      <c r="R942" s="313"/>
      <c r="S942" s="313"/>
      <c r="T942" s="313"/>
      <c r="U942" s="313"/>
      <c r="V942" s="313"/>
      <c r="W942" s="313"/>
      <c r="X942" s="313"/>
      <c r="Y942" s="313"/>
      <c r="Z942" s="313"/>
      <c r="AA942" s="313"/>
    </row>
    <row r="943" spans="1:27" ht="14.25" customHeight="1" x14ac:dyDescent="0.2">
      <c r="A943" s="346">
        <v>43970</v>
      </c>
      <c r="B943" s="313">
        <v>291.97000100000002</v>
      </c>
      <c r="C943" s="313">
        <v>229.970001</v>
      </c>
      <c r="D943" s="345">
        <f t="shared" ref="D943:E943" si="952">B943/B942-1</f>
        <v>-1.0271183050847399E-2</v>
      </c>
      <c r="E943" s="345">
        <f t="shared" si="952"/>
        <v>-2.5674694003621101E-2</v>
      </c>
      <c r="F943" s="313"/>
      <c r="G943" s="313"/>
      <c r="H943" s="313"/>
      <c r="I943" s="313"/>
      <c r="J943" s="313"/>
      <c r="K943" s="313"/>
      <c r="L943" s="313"/>
      <c r="M943" s="313"/>
      <c r="N943" s="313"/>
      <c r="O943" s="313"/>
      <c r="P943" s="313"/>
      <c r="Q943" s="313"/>
      <c r="R943" s="313"/>
      <c r="S943" s="313"/>
      <c r="T943" s="313"/>
      <c r="U943" s="313"/>
      <c r="V943" s="313"/>
      <c r="W943" s="313"/>
      <c r="X943" s="313"/>
      <c r="Y943" s="313"/>
      <c r="Z943" s="313"/>
      <c r="AA943" s="313"/>
    </row>
    <row r="944" spans="1:27" ht="14.25" customHeight="1" x14ac:dyDescent="0.2">
      <c r="A944" s="346">
        <v>43971</v>
      </c>
      <c r="B944" s="313">
        <v>296.92999300000002</v>
      </c>
      <c r="C944" s="313">
        <v>230.13999899999999</v>
      </c>
      <c r="D944" s="345">
        <f t="shared" ref="D944:E944" si="953">B944/B943-1</f>
        <v>1.6988019258868947E-2</v>
      </c>
      <c r="E944" s="345">
        <f t="shared" si="953"/>
        <v>7.3921815567579152E-4</v>
      </c>
      <c r="F944" s="313"/>
      <c r="G944" s="313"/>
      <c r="H944" s="313"/>
      <c r="I944" s="313"/>
      <c r="J944" s="313"/>
      <c r="K944" s="313"/>
      <c r="L944" s="313"/>
      <c r="M944" s="313"/>
      <c r="N944" s="313"/>
      <c r="O944" s="313"/>
      <c r="P944" s="313"/>
      <c r="Q944" s="313"/>
      <c r="R944" s="313"/>
      <c r="S944" s="313"/>
      <c r="T944" s="313"/>
      <c r="U944" s="313"/>
      <c r="V944" s="313"/>
      <c r="W944" s="313"/>
      <c r="X944" s="313"/>
      <c r="Y944" s="313"/>
      <c r="Z944" s="313"/>
      <c r="AA944" s="313"/>
    </row>
    <row r="945" spans="1:27" ht="14.25" customHeight="1" x14ac:dyDescent="0.2">
      <c r="A945" s="346">
        <v>43972</v>
      </c>
      <c r="B945" s="313">
        <v>294.88000499999998</v>
      </c>
      <c r="C945" s="313">
        <v>228.16000399999999</v>
      </c>
      <c r="D945" s="345">
        <f t="shared" ref="D945:E945" si="954">B945/B944-1</f>
        <v>-6.9039438531898201E-3</v>
      </c>
      <c r="E945" s="345">
        <f t="shared" si="954"/>
        <v>-8.603437075707987E-3</v>
      </c>
      <c r="F945" s="313"/>
      <c r="G945" s="313"/>
      <c r="H945" s="313"/>
      <c r="I945" s="313"/>
      <c r="J945" s="313"/>
      <c r="K945" s="313"/>
      <c r="L945" s="313"/>
      <c r="M945" s="313"/>
      <c r="N945" s="313"/>
      <c r="O945" s="313"/>
      <c r="P945" s="313"/>
      <c r="Q945" s="313"/>
      <c r="R945" s="313"/>
      <c r="S945" s="313"/>
      <c r="T945" s="313"/>
      <c r="U945" s="313"/>
      <c r="V945" s="313"/>
      <c r="W945" s="313"/>
      <c r="X945" s="313"/>
      <c r="Y945" s="313"/>
      <c r="Z945" s="313"/>
      <c r="AA945" s="313"/>
    </row>
    <row r="946" spans="1:27" ht="14.25" customHeight="1" x14ac:dyDescent="0.2">
      <c r="A946" s="346">
        <v>43973</v>
      </c>
      <c r="B946" s="313">
        <v>295.44000199999999</v>
      </c>
      <c r="C946" s="313">
        <v>242.429993</v>
      </c>
      <c r="D946" s="345">
        <f t="shared" ref="D946:E946" si="955">B946/B945-1</f>
        <v>1.8990673850538542E-3</v>
      </c>
      <c r="E946" s="345">
        <f t="shared" si="955"/>
        <v>6.2543779583734693E-2</v>
      </c>
      <c r="F946" s="313"/>
      <c r="G946" s="313"/>
      <c r="H946" s="313"/>
      <c r="I946" s="313"/>
      <c r="J946" s="313"/>
      <c r="K946" s="313"/>
      <c r="L946" s="313"/>
      <c r="M946" s="313"/>
      <c r="N946" s="313"/>
      <c r="O946" s="313"/>
      <c r="P946" s="313"/>
      <c r="Q946" s="313"/>
      <c r="R946" s="313"/>
      <c r="S946" s="313"/>
      <c r="T946" s="313"/>
      <c r="U946" s="313"/>
      <c r="V946" s="313"/>
      <c r="W946" s="313"/>
      <c r="X946" s="313"/>
      <c r="Y946" s="313"/>
      <c r="Z946" s="313"/>
      <c r="AA946" s="313"/>
    </row>
    <row r="947" spans="1:27" ht="14.25" customHeight="1" x14ac:dyDescent="0.2">
      <c r="A947" s="346">
        <v>43977</v>
      </c>
      <c r="B947" s="313">
        <v>299.07998700000002</v>
      </c>
      <c r="C947" s="313">
        <v>243.929993</v>
      </c>
      <c r="D947" s="345">
        <f t="shared" ref="D947:E947" si="956">B947/B946-1</f>
        <v>1.2320555697802993E-2</v>
      </c>
      <c r="E947" s="345">
        <f t="shared" si="956"/>
        <v>6.1873532290206423E-3</v>
      </c>
      <c r="F947" s="313"/>
      <c r="G947" s="313"/>
      <c r="H947" s="313"/>
      <c r="I947" s="313"/>
      <c r="J947" s="313"/>
      <c r="K947" s="313"/>
      <c r="L947" s="313"/>
      <c r="M947" s="313"/>
      <c r="N947" s="313"/>
      <c r="O947" s="313"/>
      <c r="P947" s="313"/>
      <c r="Q947" s="313"/>
      <c r="R947" s="313"/>
      <c r="S947" s="313"/>
      <c r="T947" s="313"/>
      <c r="U947" s="313"/>
      <c r="V947" s="313"/>
      <c r="W947" s="313"/>
      <c r="X947" s="313"/>
      <c r="Y947" s="313"/>
      <c r="Z947" s="313"/>
      <c r="AA947" s="313"/>
    </row>
    <row r="948" spans="1:27" ht="14.25" customHeight="1" x14ac:dyDescent="0.2">
      <c r="A948" s="346">
        <v>43978</v>
      </c>
      <c r="B948" s="313">
        <v>303.52999899999998</v>
      </c>
      <c r="C948" s="313">
        <v>252.009995</v>
      </c>
      <c r="D948" s="345">
        <f t="shared" ref="D948:E948" si="957">B948/B947-1</f>
        <v>1.4879002920379136E-2</v>
      </c>
      <c r="E948" s="345">
        <f t="shared" si="957"/>
        <v>3.3124266108596201E-2</v>
      </c>
      <c r="F948" s="313"/>
      <c r="G948" s="313"/>
      <c r="H948" s="313"/>
      <c r="I948" s="313"/>
      <c r="J948" s="313"/>
      <c r="K948" s="313"/>
      <c r="L948" s="313"/>
      <c r="M948" s="313"/>
      <c r="N948" s="313"/>
      <c r="O948" s="313"/>
      <c r="P948" s="313"/>
      <c r="Q948" s="313"/>
      <c r="R948" s="313"/>
      <c r="S948" s="313"/>
      <c r="T948" s="313"/>
      <c r="U948" s="313"/>
      <c r="V948" s="313"/>
      <c r="W948" s="313"/>
      <c r="X948" s="313"/>
      <c r="Y948" s="313"/>
      <c r="Z948" s="313"/>
      <c r="AA948" s="313"/>
    </row>
    <row r="949" spans="1:27" ht="14.25" customHeight="1" x14ac:dyDescent="0.2">
      <c r="A949" s="346">
        <v>43979</v>
      </c>
      <c r="B949" s="313">
        <v>302.97000100000002</v>
      </c>
      <c r="C949" s="313">
        <v>258.11999500000002</v>
      </c>
      <c r="D949" s="345">
        <f t="shared" ref="D949:E949" si="958">B949/B948-1</f>
        <v>-1.8449510817543091E-3</v>
      </c>
      <c r="E949" s="345">
        <f t="shared" si="958"/>
        <v>2.4245070121127643E-2</v>
      </c>
      <c r="F949" s="313"/>
      <c r="G949" s="313"/>
      <c r="H949" s="313"/>
      <c r="I949" s="313"/>
      <c r="J949" s="313"/>
      <c r="K949" s="313"/>
      <c r="L949" s="313"/>
      <c r="M949" s="313"/>
      <c r="N949" s="313"/>
      <c r="O949" s="313"/>
      <c r="P949" s="313"/>
      <c r="Q949" s="313"/>
      <c r="R949" s="313"/>
      <c r="S949" s="313"/>
      <c r="T949" s="313"/>
      <c r="U949" s="313"/>
      <c r="V949" s="313"/>
      <c r="W949" s="313"/>
      <c r="X949" s="313"/>
      <c r="Y949" s="313"/>
      <c r="Z949" s="313"/>
      <c r="AA949" s="313"/>
    </row>
    <row r="950" spans="1:27" ht="14.25" customHeight="1" x14ac:dyDescent="0.2">
      <c r="A950" s="346">
        <v>43980</v>
      </c>
      <c r="B950" s="313">
        <v>304.32000699999998</v>
      </c>
      <c r="C950" s="313">
        <v>258.17001299999998</v>
      </c>
      <c r="D950" s="345">
        <f t="shared" ref="D950:E950" si="959">B950/B949-1</f>
        <v>4.4559065106910545E-3</v>
      </c>
      <c r="E950" s="345">
        <f t="shared" si="959"/>
        <v>1.9377809146470248E-4</v>
      </c>
      <c r="F950" s="313"/>
      <c r="G950" s="313"/>
      <c r="H950" s="313"/>
      <c r="I950" s="313"/>
      <c r="J950" s="313"/>
      <c r="K950" s="313"/>
      <c r="L950" s="313"/>
      <c r="M950" s="313"/>
      <c r="N950" s="313"/>
      <c r="O950" s="313"/>
      <c r="P950" s="313"/>
      <c r="Q950" s="313"/>
      <c r="R950" s="313"/>
      <c r="S950" s="313"/>
      <c r="T950" s="313"/>
      <c r="U950" s="313"/>
      <c r="V950" s="313"/>
      <c r="W950" s="313"/>
      <c r="X950" s="313"/>
      <c r="Y950" s="313"/>
      <c r="Z950" s="313"/>
      <c r="AA950" s="313"/>
    </row>
    <row r="951" spans="1:27" ht="14.25" customHeight="1" x14ac:dyDescent="0.2">
      <c r="A951" s="346">
        <v>43983</v>
      </c>
      <c r="B951" s="313">
        <v>305.54998799999998</v>
      </c>
      <c r="C951" s="313">
        <v>264.30999800000001</v>
      </c>
      <c r="D951" s="345">
        <f t="shared" ref="D951:E951" si="960">B951/B950-1</f>
        <v>4.0417355800075327E-3</v>
      </c>
      <c r="E951" s="345">
        <f t="shared" si="960"/>
        <v>2.3782719490353932E-2</v>
      </c>
      <c r="F951" s="313"/>
      <c r="G951" s="313"/>
      <c r="H951" s="313"/>
      <c r="I951" s="313"/>
      <c r="J951" s="313"/>
      <c r="K951" s="313"/>
      <c r="L951" s="313"/>
      <c r="M951" s="313"/>
      <c r="N951" s="313"/>
      <c r="O951" s="313"/>
      <c r="P951" s="313"/>
      <c r="Q951" s="313"/>
      <c r="R951" s="313"/>
      <c r="S951" s="313"/>
      <c r="T951" s="313"/>
      <c r="U951" s="313"/>
      <c r="V951" s="313"/>
      <c r="W951" s="313"/>
      <c r="X951" s="313"/>
      <c r="Y951" s="313"/>
      <c r="Z951" s="313"/>
      <c r="AA951" s="313"/>
    </row>
    <row r="952" spans="1:27" ht="14.25" customHeight="1" x14ac:dyDescent="0.2">
      <c r="A952" s="346">
        <v>43984</v>
      </c>
      <c r="B952" s="313">
        <v>308.07998700000002</v>
      </c>
      <c r="C952" s="313">
        <v>263.58999599999999</v>
      </c>
      <c r="D952" s="345">
        <f t="shared" ref="D952:E952" si="961">B952/B951-1</f>
        <v>8.2801476005949226E-3</v>
      </c>
      <c r="E952" s="345">
        <f t="shared" si="961"/>
        <v>-2.7240815914955085E-3</v>
      </c>
      <c r="F952" s="313"/>
      <c r="G952" s="313"/>
      <c r="H952" s="313"/>
      <c r="I952" s="313"/>
      <c r="J952" s="313"/>
      <c r="K952" s="313"/>
      <c r="L952" s="313"/>
      <c r="M952" s="313"/>
      <c r="N952" s="313"/>
      <c r="O952" s="313"/>
      <c r="P952" s="313"/>
      <c r="Q952" s="313"/>
      <c r="R952" s="313"/>
      <c r="S952" s="313"/>
      <c r="T952" s="313"/>
      <c r="U952" s="313"/>
      <c r="V952" s="313"/>
      <c r="W952" s="313"/>
      <c r="X952" s="313"/>
      <c r="Y952" s="313"/>
      <c r="Z952" s="313"/>
      <c r="AA952" s="313"/>
    </row>
    <row r="953" spans="1:27" ht="14.25" customHeight="1" x14ac:dyDescent="0.2">
      <c r="A953" s="346">
        <v>43985</v>
      </c>
      <c r="B953" s="313">
        <v>312.17999300000002</v>
      </c>
      <c r="C953" s="313">
        <v>267.39001500000001</v>
      </c>
      <c r="D953" s="345">
        <f t="shared" ref="D953:E953" si="962">B953/B952-1</f>
        <v>1.3308251665175463E-2</v>
      </c>
      <c r="E953" s="345">
        <f t="shared" si="962"/>
        <v>1.4416400689197806E-2</v>
      </c>
      <c r="F953" s="313"/>
      <c r="G953" s="313"/>
      <c r="H953" s="313"/>
      <c r="I953" s="313"/>
      <c r="J953" s="313"/>
      <c r="K953" s="313"/>
      <c r="L953" s="313"/>
      <c r="M953" s="313"/>
      <c r="N953" s="313"/>
      <c r="O953" s="313"/>
      <c r="P953" s="313"/>
      <c r="Q953" s="313"/>
      <c r="R953" s="313"/>
      <c r="S953" s="313"/>
      <c r="T953" s="313"/>
      <c r="U953" s="313"/>
      <c r="V953" s="313"/>
      <c r="W953" s="313"/>
      <c r="X953" s="313"/>
      <c r="Y953" s="313"/>
      <c r="Z953" s="313"/>
      <c r="AA953" s="313"/>
    </row>
    <row r="954" spans="1:27" ht="14.25" customHeight="1" x14ac:dyDescent="0.2">
      <c r="A954" s="346">
        <v>43986</v>
      </c>
      <c r="B954" s="313">
        <v>311.35998499999999</v>
      </c>
      <c r="C954" s="313">
        <v>259.72000100000002</v>
      </c>
      <c r="D954" s="345">
        <f t="shared" ref="D954:E954" si="963">B954/B953-1</f>
        <v>-2.6267154154239192E-3</v>
      </c>
      <c r="E954" s="345">
        <f t="shared" si="963"/>
        <v>-2.8684743519685973E-2</v>
      </c>
      <c r="F954" s="313"/>
      <c r="G954" s="313"/>
      <c r="H954" s="313"/>
      <c r="I954" s="313"/>
      <c r="J954" s="313"/>
      <c r="K954" s="313"/>
      <c r="L954" s="313"/>
      <c r="M954" s="313"/>
      <c r="N954" s="313"/>
      <c r="O954" s="313"/>
      <c r="P954" s="313"/>
      <c r="Q954" s="313"/>
      <c r="R954" s="313"/>
      <c r="S954" s="313"/>
      <c r="T954" s="313"/>
      <c r="U954" s="313"/>
      <c r="V954" s="313"/>
      <c r="W954" s="313"/>
      <c r="X954" s="313"/>
      <c r="Y954" s="313"/>
      <c r="Z954" s="313"/>
      <c r="AA954" s="313"/>
    </row>
    <row r="955" spans="1:27" ht="14.25" customHeight="1" x14ac:dyDescent="0.2">
      <c r="A955" s="346">
        <v>43987</v>
      </c>
      <c r="B955" s="313">
        <v>319.33999599999999</v>
      </c>
      <c r="C955" s="313">
        <v>264.89001500000001</v>
      </c>
      <c r="D955" s="345">
        <f t="shared" ref="D955:E955" si="964">B955/B954-1</f>
        <v>2.5629532966479296E-2</v>
      </c>
      <c r="E955" s="345">
        <f t="shared" si="964"/>
        <v>1.9906106499668397E-2</v>
      </c>
      <c r="F955" s="313"/>
      <c r="G955" s="313"/>
      <c r="H955" s="313"/>
      <c r="I955" s="313"/>
      <c r="J955" s="313"/>
      <c r="K955" s="313"/>
      <c r="L955" s="313"/>
      <c r="M955" s="313"/>
      <c r="N955" s="313"/>
      <c r="O955" s="313"/>
      <c r="P955" s="313"/>
      <c r="Q955" s="313"/>
      <c r="R955" s="313"/>
      <c r="S955" s="313"/>
      <c r="T955" s="313"/>
      <c r="U955" s="313"/>
      <c r="V955" s="313"/>
      <c r="W955" s="313"/>
      <c r="X955" s="313"/>
      <c r="Y955" s="313"/>
      <c r="Z955" s="313"/>
      <c r="AA955" s="313"/>
    </row>
    <row r="956" spans="1:27" ht="14.25" customHeight="1" x14ac:dyDescent="0.2">
      <c r="A956" s="346">
        <v>43990</v>
      </c>
      <c r="B956" s="313">
        <v>323.20001200000002</v>
      </c>
      <c r="C956" s="313">
        <v>266.88000499999998</v>
      </c>
      <c r="D956" s="345">
        <f t="shared" ref="D956:E956" si="965">B956/B955-1</f>
        <v>1.2087480579789478E-2</v>
      </c>
      <c r="E956" s="345">
        <f t="shared" si="965"/>
        <v>7.5125142033005687E-3</v>
      </c>
      <c r="F956" s="313"/>
      <c r="G956" s="313"/>
      <c r="H956" s="313"/>
      <c r="I956" s="313"/>
      <c r="J956" s="313"/>
      <c r="K956" s="313"/>
      <c r="L956" s="313"/>
      <c r="M956" s="313"/>
      <c r="N956" s="313"/>
      <c r="O956" s="313"/>
      <c r="P956" s="313"/>
      <c r="Q956" s="313"/>
      <c r="R956" s="313"/>
      <c r="S956" s="313"/>
      <c r="T956" s="313"/>
      <c r="U956" s="313"/>
      <c r="V956" s="313"/>
      <c r="W956" s="313"/>
      <c r="X956" s="313"/>
      <c r="Y956" s="313"/>
      <c r="Z956" s="313"/>
      <c r="AA956" s="313"/>
    </row>
    <row r="957" spans="1:27" ht="14.25" customHeight="1" x14ac:dyDescent="0.2">
      <c r="A957" s="346">
        <v>43991</v>
      </c>
      <c r="B957" s="313">
        <v>320.790009</v>
      </c>
      <c r="C957" s="313">
        <v>265.76001000000002</v>
      </c>
      <c r="D957" s="345">
        <f t="shared" ref="D957:E957" si="966">B957/B956-1</f>
        <v>-7.4566921736377578E-3</v>
      </c>
      <c r="E957" s="345">
        <f t="shared" si="966"/>
        <v>-4.1966238722154214E-3</v>
      </c>
      <c r="F957" s="313"/>
      <c r="G957" s="313"/>
      <c r="H957" s="313"/>
      <c r="I957" s="313"/>
      <c r="J957" s="313"/>
      <c r="K957" s="313"/>
      <c r="L957" s="313"/>
      <c r="M957" s="313"/>
      <c r="N957" s="313"/>
      <c r="O957" s="313"/>
      <c r="P957" s="313"/>
      <c r="Q957" s="313"/>
      <c r="R957" s="313"/>
      <c r="S957" s="313"/>
      <c r="T957" s="313"/>
      <c r="U957" s="313"/>
      <c r="V957" s="313"/>
      <c r="W957" s="313"/>
      <c r="X957" s="313"/>
      <c r="Y957" s="313"/>
      <c r="Z957" s="313"/>
      <c r="AA957" s="313"/>
    </row>
    <row r="958" spans="1:27" ht="14.25" customHeight="1" x14ac:dyDescent="0.2">
      <c r="A958" s="346">
        <v>43992</v>
      </c>
      <c r="B958" s="313">
        <v>319</v>
      </c>
      <c r="C958" s="313">
        <v>265.33999599999999</v>
      </c>
      <c r="D958" s="345">
        <f t="shared" ref="D958:E958" si="967">B958/B957-1</f>
        <v>-5.580002337292278E-3</v>
      </c>
      <c r="E958" s="345">
        <f t="shared" si="967"/>
        <v>-1.5804258887559541E-3</v>
      </c>
      <c r="F958" s="313"/>
      <c r="G958" s="313"/>
      <c r="H958" s="313"/>
      <c r="I958" s="313"/>
      <c r="J958" s="313"/>
      <c r="K958" s="313"/>
      <c r="L958" s="313"/>
      <c r="M958" s="313"/>
      <c r="N958" s="313"/>
      <c r="O958" s="313"/>
      <c r="P958" s="313"/>
      <c r="Q958" s="313"/>
      <c r="R958" s="313"/>
      <c r="S958" s="313"/>
      <c r="T958" s="313"/>
      <c r="U958" s="313"/>
      <c r="V958" s="313"/>
      <c r="W958" s="313"/>
      <c r="X958" s="313"/>
      <c r="Y958" s="313"/>
      <c r="Z958" s="313"/>
      <c r="AA958" s="313"/>
    </row>
    <row r="959" spans="1:27" ht="14.25" customHeight="1" x14ac:dyDescent="0.2">
      <c r="A959" s="346">
        <v>43993</v>
      </c>
      <c r="B959" s="313">
        <v>300.60998499999999</v>
      </c>
      <c r="C959" s="313">
        <v>251.509995</v>
      </c>
      <c r="D959" s="345">
        <f t="shared" ref="D959:E959" si="968">B959/B958-1</f>
        <v>-5.7648949843260189E-2</v>
      </c>
      <c r="E959" s="345">
        <f t="shared" si="968"/>
        <v>-5.2121810539259905E-2</v>
      </c>
      <c r="F959" s="313"/>
      <c r="G959" s="313"/>
      <c r="H959" s="313"/>
      <c r="I959" s="313"/>
      <c r="J959" s="313"/>
      <c r="K959" s="313"/>
      <c r="L959" s="313"/>
      <c r="M959" s="313"/>
      <c r="N959" s="313"/>
      <c r="O959" s="313"/>
      <c r="P959" s="313"/>
      <c r="Q959" s="313"/>
      <c r="R959" s="313"/>
      <c r="S959" s="313"/>
      <c r="T959" s="313"/>
      <c r="U959" s="313"/>
      <c r="V959" s="313"/>
      <c r="W959" s="313"/>
      <c r="X959" s="313"/>
      <c r="Y959" s="313"/>
      <c r="Z959" s="313"/>
      <c r="AA959" s="313"/>
    </row>
    <row r="960" spans="1:27" ht="14.25" customHeight="1" x14ac:dyDescent="0.2">
      <c r="A960" s="346">
        <v>43994</v>
      </c>
      <c r="B960" s="313">
        <v>304.209991</v>
      </c>
      <c r="C960" s="313">
        <v>258.07998700000002</v>
      </c>
      <c r="D960" s="345">
        <f t="shared" ref="D960:E960" si="969">B960/B959-1</f>
        <v>1.1975670069641842E-2</v>
      </c>
      <c r="E960" s="345">
        <f t="shared" si="969"/>
        <v>2.6122190491872921E-2</v>
      </c>
      <c r="F960" s="313"/>
      <c r="G960" s="313"/>
      <c r="H960" s="313"/>
      <c r="I960" s="313"/>
      <c r="J960" s="313"/>
      <c r="K960" s="313"/>
      <c r="L960" s="313"/>
      <c r="M960" s="313"/>
      <c r="N960" s="313"/>
      <c r="O960" s="313"/>
      <c r="P960" s="313"/>
      <c r="Q960" s="313"/>
      <c r="R960" s="313"/>
      <c r="S960" s="313"/>
      <c r="T960" s="313"/>
      <c r="U960" s="313"/>
      <c r="V960" s="313"/>
      <c r="W960" s="313"/>
      <c r="X960" s="313"/>
      <c r="Y960" s="313"/>
      <c r="Z960" s="313"/>
      <c r="AA960" s="313"/>
    </row>
    <row r="961" spans="1:27" ht="14.25" customHeight="1" x14ac:dyDescent="0.2">
      <c r="A961" s="346">
        <v>43997</v>
      </c>
      <c r="B961" s="313">
        <v>307.04998799999998</v>
      </c>
      <c r="C961" s="313">
        <v>262.48998999999998</v>
      </c>
      <c r="D961" s="345">
        <f t="shared" ref="D961:E961" si="970">B961/B960-1</f>
        <v>9.3356467046474823E-3</v>
      </c>
      <c r="E961" s="345">
        <f t="shared" si="970"/>
        <v>1.7087737221561206E-2</v>
      </c>
      <c r="F961" s="313"/>
      <c r="G961" s="313"/>
      <c r="H961" s="313"/>
      <c r="I961" s="313"/>
      <c r="J961" s="313"/>
      <c r="K961" s="313"/>
      <c r="L961" s="313"/>
      <c r="M961" s="313"/>
      <c r="N961" s="313"/>
      <c r="O961" s="313"/>
      <c r="P961" s="313"/>
      <c r="Q961" s="313"/>
      <c r="R961" s="313"/>
      <c r="S961" s="313"/>
      <c r="T961" s="313"/>
      <c r="U961" s="313"/>
      <c r="V961" s="313"/>
      <c r="W961" s="313"/>
      <c r="X961" s="313"/>
      <c r="Y961" s="313"/>
      <c r="Z961" s="313"/>
      <c r="AA961" s="313"/>
    </row>
    <row r="962" spans="1:27" ht="14.25" customHeight="1" x14ac:dyDescent="0.2">
      <c r="A962" s="346">
        <v>43998</v>
      </c>
      <c r="B962" s="313">
        <v>312.959991</v>
      </c>
      <c r="C962" s="313">
        <v>264.77999899999998</v>
      </c>
      <c r="D962" s="345">
        <f t="shared" ref="D962:E962" si="971">B962/B961-1</f>
        <v>1.9247690053646904E-2</v>
      </c>
      <c r="E962" s="345">
        <f t="shared" si="971"/>
        <v>8.724176491454072E-3</v>
      </c>
      <c r="F962" s="313"/>
      <c r="G962" s="313"/>
      <c r="H962" s="313"/>
      <c r="I962" s="313"/>
      <c r="J962" s="313"/>
      <c r="K962" s="313"/>
      <c r="L962" s="313"/>
      <c r="M962" s="313"/>
      <c r="N962" s="313"/>
      <c r="O962" s="313"/>
      <c r="P962" s="313"/>
      <c r="Q962" s="313"/>
      <c r="R962" s="313"/>
      <c r="S962" s="313"/>
      <c r="T962" s="313"/>
      <c r="U962" s="313"/>
      <c r="V962" s="313"/>
      <c r="W962" s="313"/>
      <c r="X962" s="313"/>
      <c r="Y962" s="313"/>
      <c r="Z962" s="313"/>
      <c r="AA962" s="313"/>
    </row>
    <row r="963" spans="1:27" ht="14.25" customHeight="1" x14ac:dyDescent="0.2">
      <c r="A963" s="346">
        <v>43999</v>
      </c>
      <c r="B963" s="313">
        <v>311.66000400000001</v>
      </c>
      <c r="C963" s="313">
        <v>263.97000100000002</v>
      </c>
      <c r="D963" s="345">
        <f t="shared" ref="D963:E963" si="972">B963/B962-1</f>
        <v>-4.1538440611725846E-3</v>
      </c>
      <c r="E963" s="345">
        <f t="shared" si="972"/>
        <v>-3.0591358979495942E-3</v>
      </c>
      <c r="F963" s="313"/>
      <c r="G963" s="313"/>
      <c r="H963" s="313"/>
      <c r="I963" s="313"/>
      <c r="J963" s="313"/>
      <c r="K963" s="313"/>
      <c r="L963" s="313"/>
      <c r="M963" s="313"/>
      <c r="N963" s="313"/>
      <c r="O963" s="313"/>
      <c r="P963" s="313"/>
      <c r="Q963" s="313"/>
      <c r="R963" s="313"/>
      <c r="S963" s="313"/>
      <c r="T963" s="313"/>
      <c r="U963" s="313"/>
      <c r="V963" s="313"/>
      <c r="W963" s="313"/>
      <c r="X963" s="313"/>
      <c r="Y963" s="313"/>
      <c r="Z963" s="313"/>
      <c r="AA963" s="313"/>
    </row>
    <row r="964" spans="1:27" ht="14.25" customHeight="1" x14ac:dyDescent="0.2">
      <c r="A964" s="346">
        <v>44000</v>
      </c>
      <c r="B964" s="313">
        <v>311.77999899999998</v>
      </c>
      <c r="C964" s="313">
        <v>257.60000600000001</v>
      </c>
      <c r="D964" s="345">
        <f t="shared" ref="D964:E964" si="973">B964/B963-1</f>
        <v>3.8501892594466902E-4</v>
      </c>
      <c r="E964" s="345">
        <f t="shared" si="973"/>
        <v>-2.4131511065153211E-2</v>
      </c>
      <c r="F964" s="313"/>
      <c r="G964" s="313"/>
      <c r="H964" s="313"/>
      <c r="I964" s="313"/>
      <c r="J964" s="313"/>
      <c r="K964" s="313"/>
      <c r="L964" s="313"/>
      <c r="M964" s="313"/>
      <c r="N964" s="313"/>
      <c r="O964" s="313"/>
      <c r="P964" s="313"/>
      <c r="Q964" s="313"/>
      <c r="R964" s="313"/>
      <c r="S964" s="313"/>
      <c r="T964" s="313"/>
      <c r="U964" s="313"/>
      <c r="V964" s="313"/>
      <c r="W964" s="313"/>
      <c r="X964" s="313"/>
      <c r="Y964" s="313"/>
      <c r="Z964" s="313"/>
      <c r="AA964" s="313"/>
    </row>
    <row r="965" spans="1:27" ht="14.25" customHeight="1" x14ac:dyDescent="0.2">
      <c r="A965" s="346">
        <v>44001</v>
      </c>
      <c r="B965" s="313">
        <v>308.64001500000001</v>
      </c>
      <c r="C965" s="313">
        <v>265.60000600000001</v>
      </c>
      <c r="D965" s="345">
        <f t="shared" ref="D965:E965" si="974">B965/B964-1</f>
        <v>-1.0071152768205582E-2</v>
      </c>
      <c r="E965" s="345">
        <f t="shared" si="974"/>
        <v>3.1055899897766359E-2</v>
      </c>
      <c r="F965" s="313"/>
      <c r="G965" s="313"/>
      <c r="H965" s="313"/>
      <c r="I965" s="313"/>
      <c r="J965" s="313"/>
      <c r="K965" s="313"/>
      <c r="L965" s="313"/>
      <c r="M965" s="313"/>
      <c r="N965" s="313"/>
      <c r="O965" s="313"/>
      <c r="P965" s="313"/>
      <c r="Q965" s="313"/>
      <c r="R965" s="313"/>
      <c r="S965" s="313"/>
      <c r="T965" s="313"/>
      <c r="U965" s="313"/>
      <c r="V965" s="313"/>
      <c r="W965" s="313"/>
      <c r="X965" s="313"/>
      <c r="Y965" s="313"/>
      <c r="Z965" s="313"/>
      <c r="AA965" s="313"/>
    </row>
    <row r="966" spans="1:27" ht="14.25" customHeight="1" x14ac:dyDescent="0.2">
      <c r="A966" s="346">
        <v>44004</v>
      </c>
      <c r="B966" s="313">
        <v>310.61999500000002</v>
      </c>
      <c r="C966" s="313">
        <v>264.60000600000001</v>
      </c>
      <c r="D966" s="345">
        <f t="shared" ref="D966:E966" si="975">B966/B965-1</f>
        <v>6.4151759453485724E-3</v>
      </c>
      <c r="E966" s="345">
        <f t="shared" si="975"/>
        <v>-3.7650601559098273E-3</v>
      </c>
      <c r="F966" s="313"/>
      <c r="G966" s="313"/>
      <c r="H966" s="313"/>
      <c r="I966" s="313"/>
      <c r="J966" s="313"/>
      <c r="K966" s="313"/>
      <c r="L966" s="313"/>
      <c r="M966" s="313"/>
      <c r="N966" s="313"/>
      <c r="O966" s="313"/>
      <c r="P966" s="313"/>
      <c r="Q966" s="313"/>
      <c r="R966" s="313"/>
      <c r="S966" s="313"/>
      <c r="T966" s="313"/>
      <c r="U966" s="313"/>
      <c r="V966" s="313"/>
      <c r="W966" s="313"/>
      <c r="X966" s="313"/>
      <c r="Y966" s="313"/>
      <c r="Z966" s="313"/>
      <c r="AA966" s="313"/>
    </row>
    <row r="967" spans="1:27" ht="14.25" customHeight="1" x14ac:dyDescent="0.2">
      <c r="A967" s="346">
        <v>44005</v>
      </c>
      <c r="B967" s="313">
        <v>312.04998799999998</v>
      </c>
      <c r="C967" s="313">
        <v>264.5</v>
      </c>
      <c r="D967" s="345">
        <f t="shared" ref="D967:E967" si="976">B967/B966-1</f>
        <v>4.6036733726686485E-3</v>
      </c>
      <c r="E967" s="345">
        <f t="shared" si="976"/>
        <v>-3.7795161652420806E-4</v>
      </c>
      <c r="F967" s="313"/>
      <c r="G967" s="313"/>
      <c r="H967" s="313"/>
      <c r="I967" s="313"/>
      <c r="J967" s="313"/>
      <c r="K967" s="313"/>
      <c r="L967" s="313"/>
      <c r="M967" s="313"/>
      <c r="N967" s="313"/>
      <c r="O967" s="313"/>
      <c r="P967" s="313"/>
      <c r="Q967" s="313"/>
      <c r="R967" s="313"/>
      <c r="S967" s="313"/>
      <c r="T967" s="313"/>
      <c r="U967" s="313"/>
      <c r="V967" s="313"/>
      <c r="W967" s="313"/>
      <c r="X967" s="313"/>
      <c r="Y967" s="313"/>
      <c r="Z967" s="313"/>
      <c r="AA967" s="313"/>
    </row>
    <row r="968" spans="1:27" ht="14.25" customHeight="1" x14ac:dyDescent="0.2">
      <c r="A968" s="346">
        <v>44006</v>
      </c>
      <c r="B968" s="313">
        <v>304.08999599999999</v>
      </c>
      <c r="C968" s="313">
        <v>254.179993</v>
      </c>
      <c r="D968" s="345">
        <f t="shared" ref="D968:E968" si="977">B968/B967-1</f>
        <v>-2.5508707918937668E-2</v>
      </c>
      <c r="E968" s="345">
        <f t="shared" si="977"/>
        <v>-3.9017039697542555E-2</v>
      </c>
      <c r="F968" s="313"/>
      <c r="G968" s="313"/>
      <c r="H968" s="313"/>
      <c r="I968" s="313"/>
      <c r="J968" s="313"/>
      <c r="K968" s="313"/>
      <c r="L968" s="313"/>
      <c r="M968" s="313"/>
      <c r="N968" s="313"/>
      <c r="O968" s="313"/>
      <c r="P968" s="313"/>
      <c r="Q968" s="313"/>
      <c r="R968" s="313"/>
      <c r="S968" s="313"/>
      <c r="T968" s="313"/>
      <c r="U968" s="313"/>
      <c r="V968" s="313"/>
      <c r="W968" s="313"/>
      <c r="X968" s="313"/>
      <c r="Y968" s="313"/>
      <c r="Z968" s="313"/>
      <c r="AA968" s="313"/>
    </row>
    <row r="969" spans="1:27" ht="14.25" customHeight="1" x14ac:dyDescent="0.2">
      <c r="A969" s="346">
        <v>44007</v>
      </c>
      <c r="B969" s="313">
        <v>307.35000600000001</v>
      </c>
      <c r="C969" s="313">
        <v>254.36000100000001</v>
      </c>
      <c r="D969" s="345">
        <f t="shared" ref="D969:E969" si="978">B969/B968-1</f>
        <v>1.0720543401237181E-2</v>
      </c>
      <c r="E969" s="345">
        <f t="shared" si="978"/>
        <v>7.0819106521891051E-4</v>
      </c>
      <c r="F969" s="313"/>
      <c r="G969" s="313"/>
      <c r="H969" s="313"/>
      <c r="I969" s="313"/>
      <c r="J969" s="313"/>
      <c r="K969" s="313"/>
      <c r="L969" s="313"/>
      <c r="M969" s="313"/>
      <c r="N969" s="313"/>
      <c r="O969" s="313"/>
      <c r="P969" s="313"/>
      <c r="Q969" s="313"/>
      <c r="R969" s="313"/>
      <c r="S969" s="313"/>
      <c r="T969" s="313"/>
      <c r="U969" s="313"/>
      <c r="V969" s="313"/>
      <c r="W969" s="313"/>
      <c r="X969" s="313"/>
      <c r="Y969" s="313"/>
      <c r="Z969" s="313"/>
      <c r="AA969" s="313"/>
    </row>
    <row r="970" spans="1:27" ht="14.25" customHeight="1" x14ac:dyDescent="0.2">
      <c r="A970" s="346">
        <v>44008</v>
      </c>
      <c r="B970" s="313">
        <v>300.04998799999998</v>
      </c>
      <c r="C970" s="313">
        <v>246.479996</v>
      </c>
      <c r="D970" s="345">
        <f t="shared" ref="D970:E970" si="979">B970/B969-1</f>
        <v>-2.3751481560081777E-2</v>
      </c>
      <c r="E970" s="345">
        <f t="shared" si="979"/>
        <v>-3.0979733326860659E-2</v>
      </c>
      <c r="F970" s="313"/>
      <c r="G970" s="313"/>
      <c r="H970" s="313"/>
      <c r="I970" s="313"/>
      <c r="J970" s="313"/>
      <c r="K970" s="313"/>
      <c r="L970" s="313"/>
      <c r="M970" s="313"/>
      <c r="N970" s="313"/>
      <c r="O970" s="313"/>
      <c r="P970" s="313"/>
      <c r="Q970" s="313"/>
      <c r="R970" s="313"/>
      <c r="S970" s="313"/>
      <c r="T970" s="313"/>
      <c r="U970" s="313"/>
      <c r="V970" s="313"/>
      <c r="W970" s="313"/>
      <c r="X970" s="313"/>
      <c r="Y970" s="313"/>
      <c r="Z970" s="313"/>
      <c r="AA970" s="313"/>
    </row>
    <row r="971" spans="1:27" ht="14.25" customHeight="1" x14ac:dyDescent="0.2">
      <c r="A971" s="346">
        <v>44011</v>
      </c>
      <c r="B971" s="313">
        <v>304.459991</v>
      </c>
      <c r="C971" s="313">
        <v>253.800003</v>
      </c>
      <c r="D971" s="345">
        <f t="shared" ref="D971:E971" si="980">B971/B970-1</f>
        <v>1.4697560994403336E-2</v>
      </c>
      <c r="E971" s="345">
        <f t="shared" si="980"/>
        <v>2.9698178833141409E-2</v>
      </c>
      <c r="F971" s="313"/>
      <c r="G971" s="313"/>
      <c r="H971" s="313"/>
      <c r="I971" s="313"/>
      <c r="J971" s="313"/>
      <c r="K971" s="313"/>
      <c r="L971" s="313"/>
      <c r="M971" s="313"/>
      <c r="N971" s="313"/>
      <c r="O971" s="313"/>
      <c r="P971" s="313"/>
      <c r="Q971" s="313"/>
      <c r="R971" s="313"/>
      <c r="S971" s="313"/>
      <c r="T971" s="313"/>
      <c r="U971" s="313"/>
      <c r="V971" s="313"/>
      <c r="W971" s="313"/>
      <c r="X971" s="313"/>
      <c r="Y971" s="313"/>
      <c r="Z971" s="313"/>
      <c r="AA971" s="313"/>
    </row>
    <row r="972" spans="1:27" ht="14.25" customHeight="1" x14ac:dyDescent="0.2">
      <c r="A972" s="346">
        <v>44012</v>
      </c>
      <c r="B972" s="313">
        <v>308.35998499999999</v>
      </c>
      <c r="C972" s="313">
        <v>258.540009</v>
      </c>
      <c r="D972" s="345">
        <f t="shared" ref="D972:E972" si="981">B972/B971-1</f>
        <v>1.2809545146442503E-2</v>
      </c>
      <c r="E972" s="345">
        <f t="shared" si="981"/>
        <v>1.8676146351345846E-2</v>
      </c>
      <c r="F972" s="313"/>
      <c r="G972" s="313"/>
      <c r="H972" s="313"/>
      <c r="I972" s="313"/>
      <c r="J972" s="313"/>
      <c r="K972" s="313"/>
      <c r="L972" s="313"/>
      <c r="M972" s="313"/>
      <c r="N972" s="313"/>
      <c r="O972" s="313"/>
      <c r="P972" s="313"/>
      <c r="Q972" s="313"/>
      <c r="R972" s="313"/>
      <c r="S972" s="313"/>
      <c r="T972" s="313"/>
      <c r="U972" s="313"/>
      <c r="V972" s="313"/>
      <c r="W972" s="313"/>
      <c r="X972" s="313"/>
      <c r="Y972" s="313"/>
      <c r="Z972" s="313"/>
      <c r="AA972" s="313"/>
    </row>
    <row r="973" spans="1:27" ht="14.25" customHeight="1" x14ac:dyDescent="0.2">
      <c r="A973" s="346">
        <v>44013</v>
      </c>
      <c r="B973" s="313">
        <v>310.51998900000001</v>
      </c>
      <c r="C973" s="313">
        <v>265.39001500000001</v>
      </c>
      <c r="D973" s="345">
        <f t="shared" ref="D973:E973" si="982">B973/B972-1</f>
        <v>7.0048128974971036E-3</v>
      </c>
      <c r="E973" s="345">
        <f t="shared" si="982"/>
        <v>2.6494955370717888E-2</v>
      </c>
      <c r="F973" s="313"/>
      <c r="G973" s="313"/>
      <c r="H973" s="313"/>
      <c r="I973" s="313"/>
      <c r="J973" s="313"/>
      <c r="K973" s="313"/>
      <c r="L973" s="313"/>
      <c r="M973" s="313"/>
      <c r="N973" s="313"/>
      <c r="O973" s="313"/>
      <c r="P973" s="313"/>
      <c r="Q973" s="313"/>
      <c r="R973" s="313"/>
      <c r="S973" s="313"/>
      <c r="T973" s="313"/>
      <c r="U973" s="313"/>
      <c r="V973" s="313"/>
      <c r="W973" s="313"/>
      <c r="X973" s="313"/>
      <c r="Y973" s="313"/>
      <c r="Z973" s="313"/>
      <c r="AA973" s="313"/>
    </row>
    <row r="974" spans="1:27" ht="14.25" customHeight="1" x14ac:dyDescent="0.2">
      <c r="A974" s="346">
        <v>44014</v>
      </c>
      <c r="B974" s="313">
        <v>312.23001099999999</v>
      </c>
      <c r="C974" s="313">
        <v>264.209991</v>
      </c>
      <c r="D974" s="345">
        <f t="shared" ref="D974:E974" si="983">B974/B973-1</f>
        <v>5.5069627095729601E-3</v>
      </c>
      <c r="E974" s="345">
        <f t="shared" si="983"/>
        <v>-4.4463767787193964E-3</v>
      </c>
      <c r="F974" s="313"/>
      <c r="G974" s="313"/>
      <c r="H974" s="313"/>
      <c r="I974" s="313"/>
      <c r="J974" s="313"/>
      <c r="K974" s="313"/>
      <c r="L974" s="313"/>
      <c r="M974" s="313"/>
      <c r="N974" s="313"/>
      <c r="O974" s="313"/>
      <c r="P974" s="313"/>
      <c r="Q974" s="313"/>
      <c r="R974" s="313"/>
      <c r="S974" s="313"/>
      <c r="T974" s="313"/>
      <c r="U974" s="313"/>
      <c r="V974" s="313"/>
      <c r="W974" s="313"/>
      <c r="X974" s="313"/>
      <c r="Y974" s="313"/>
      <c r="Z974" s="313"/>
      <c r="AA974" s="313"/>
    </row>
    <row r="975" spans="1:27" ht="14.25" customHeight="1" x14ac:dyDescent="0.2">
      <c r="A975" s="346">
        <v>44018</v>
      </c>
      <c r="B975" s="313">
        <v>317.04998799999998</v>
      </c>
      <c r="C975" s="313">
        <v>265.97000100000002</v>
      </c>
      <c r="D975" s="345">
        <f t="shared" ref="D975:E975" si="984">B975/B974-1</f>
        <v>1.5437263652404054E-2</v>
      </c>
      <c r="E975" s="345">
        <f t="shared" si="984"/>
        <v>6.6614059269243242E-3</v>
      </c>
      <c r="F975" s="313"/>
      <c r="G975" s="313"/>
      <c r="H975" s="313"/>
      <c r="I975" s="313"/>
      <c r="J975" s="313"/>
      <c r="K975" s="313"/>
      <c r="L975" s="313"/>
      <c r="M975" s="313"/>
      <c r="N975" s="313"/>
      <c r="O975" s="313"/>
      <c r="P975" s="313"/>
      <c r="Q975" s="313"/>
      <c r="R975" s="313"/>
      <c r="S975" s="313"/>
      <c r="T975" s="313"/>
      <c r="U975" s="313"/>
      <c r="V975" s="313"/>
      <c r="W975" s="313"/>
      <c r="X975" s="313"/>
      <c r="Y975" s="313"/>
      <c r="Z975" s="313"/>
      <c r="AA975" s="313"/>
    </row>
    <row r="976" spans="1:27" ht="14.25" customHeight="1" x14ac:dyDescent="0.2">
      <c r="A976" s="346">
        <v>44019</v>
      </c>
      <c r="B976" s="313">
        <v>313.77999899999998</v>
      </c>
      <c r="C976" s="313">
        <v>265.97000100000002</v>
      </c>
      <c r="D976" s="345">
        <f t="shared" ref="D976:E976" si="985">B976/B975-1</f>
        <v>-1.0313796321607227E-2</v>
      </c>
      <c r="E976" s="345">
        <f t="shared" si="985"/>
        <v>0</v>
      </c>
      <c r="F976" s="313"/>
      <c r="G976" s="313"/>
      <c r="H976" s="313"/>
      <c r="I976" s="313"/>
      <c r="J976" s="313"/>
      <c r="K976" s="313"/>
      <c r="L976" s="313"/>
      <c r="M976" s="313"/>
      <c r="N976" s="313"/>
      <c r="O976" s="313"/>
      <c r="P976" s="313"/>
      <c r="Q976" s="313"/>
      <c r="R976" s="313"/>
      <c r="S976" s="313"/>
      <c r="T976" s="313"/>
      <c r="U976" s="313"/>
      <c r="V976" s="313"/>
      <c r="W976" s="313"/>
      <c r="X976" s="313"/>
      <c r="Y976" s="313"/>
      <c r="Z976" s="313"/>
      <c r="AA976" s="313"/>
    </row>
    <row r="977" spans="1:27" ht="14.25" customHeight="1" x14ac:dyDescent="0.2">
      <c r="A977" s="346">
        <v>44020</v>
      </c>
      <c r="B977" s="313">
        <v>316.17999300000002</v>
      </c>
      <c r="C977" s="313">
        <v>264.70001200000002</v>
      </c>
      <c r="D977" s="345">
        <f t="shared" ref="D977:E977" si="986">B977/B976-1</f>
        <v>7.6486519461045344E-3</v>
      </c>
      <c r="E977" s="345">
        <f t="shared" si="986"/>
        <v>-4.7749332451970661E-3</v>
      </c>
      <c r="F977" s="313"/>
      <c r="G977" s="313"/>
      <c r="H977" s="313"/>
      <c r="I977" s="313"/>
      <c r="J977" s="313"/>
      <c r="K977" s="313"/>
      <c r="L977" s="313"/>
      <c r="M977" s="313"/>
      <c r="N977" s="313"/>
      <c r="O977" s="313"/>
      <c r="P977" s="313"/>
      <c r="Q977" s="313"/>
      <c r="R977" s="313"/>
      <c r="S977" s="313"/>
      <c r="T977" s="313"/>
      <c r="U977" s="313"/>
      <c r="V977" s="313"/>
      <c r="W977" s="313"/>
      <c r="X977" s="313"/>
      <c r="Y977" s="313"/>
      <c r="Z977" s="313"/>
      <c r="AA977" s="313"/>
    </row>
    <row r="978" spans="1:27" ht="14.25" customHeight="1" x14ac:dyDescent="0.2">
      <c r="A978" s="346">
        <v>44021</v>
      </c>
      <c r="B978" s="313">
        <v>314.38000499999998</v>
      </c>
      <c r="C978" s="313">
        <v>265.60000600000001</v>
      </c>
      <c r="D978" s="345">
        <f t="shared" ref="D978:E978" si="987">B978/B977-1</f>
        <v>-5.692921879468904E-3</v>
      </c>
      <c r="E978" s="345">
        <f t="shared" si="987"/>
        <v>3.4000527359250299E-3</v>
      </c>
      <c r="F978" s="313"/>
      <c r="G978" s="313"/>
      <c r="H978" s="313"/>
      <c r="I978" s="313"/>
      <c r="J978" s="313"/>
      <c r="K978" s="313"/>
      <c r="L978" s="313"/>
      <c r="M978" s="313"/>
      <c r="N978" s="313"/>
      <c r="O978" s="313"/>
      <c r="P978" s="313"/>
      <c r="Q978" s="313"/>
      <c r="R978" s="313"/>
      <c r="S978" s="313"/>
      <c r="T978" s="313"/>
      <c r="U978" s="313"/>
      <c r="V978" s="313"/>
      <c r="W978" s="313"/>
      <c r="X978" s="313"/>
      <c r="Y978" s="313"/>
      <c r="Z978" s="313"/>
      <c r="AA978" s="313"/>
    </row>
    <row r="979" spans="1:27" ht="14.25" customHeight="1" x14ac:dyDescent="0.2">
      <c r="A979" s="346">
        <v>44022</v>
      </c>
      <c r="B979" s="313">
        <v>317.58999599999999</v>
      </c>
      <c r="C979" s="313">
        <v>264.35000600000001</v>
      </c>
      <c r="D979" s="345">
        <f t="shared" ref="D979:E979" si="988">B979/B978-1</f>
        <v>1.0210544401511701E-2</v>
      </c>
      <c r="E979" s="345">
        <f t="shared" si="988"/>
        <v>-4.7063251948872287E-3</v>
      </c>
      <c r="F979" s="313"/>
      <c r="G979" s="313"/>
      <c r="H979" s="313"/>
      <c r="I979" s="313"/>
      <c r="J979" s="313"/>
      <c r="K979" s="313"/>
      <c r="L979" s="313"/>
      <c r="M979" s="313"/>
      <c r="N979" s="313"/>
      <c r="O979" s="313"/>
      <c r="P979" s="313"/>
      <c r="Q979" s="313"/>
      <c r="R979" s="313"/>
      <c r="S979" s="313"/>
      <c r="T979" s="313"/>
      <c r="U979" s="313"/>
      <c r="V979" s="313"/>
      <c r="W979" s="313"/>
      <c r="X979" s="313"/>
      <c r="Y979" s="313"/>
      <c r="Z979" s="313"/>
      <c r="AA979" s="313"/>
    </row>
    <row r="980" spans="1:27" ht="14.25" customHeight="1" x14ac:dyDescent="0.2">
      <c r="A980" s="346">
        <v>44025</v>
      </c>
      <c r="B980" s="313">
        <v>314.83999599999999</v>
      </c>
      <c r="C980" s="313">
        <v>255.929993</v>
      </c>
      <c r="D980" s="345">
        <f t="shared" ref="D980:E980" si="989">B980/B979-1</f>
        <v>-8.6589629227490361E-3</v>
      </c>
      <c r="E980" s="345">
        <f t="shared" si="989"/>
        <v>-3.1851760200073631E-2</v>
      </c>
      <c r="F980" s="313"/>
      <c r="G980" s="313"/>
      <c r="H980" s="313"/>
      <c r="I980" s="313"/>
      <c r="J980" s="313"/>
      <c r="K980" s="313"/>
      <c r="L980" s="313"/>
      <c r="M980" s="313"/>
      <c r="N980" s="313"/>
      <c r="O980" s="313"/>
      <c r="P980" s="313"/>
      <c r="Q980" s="313"/>
      <c r="R980" s="313"/>
      <c r="S980" s="313"/>
      <c r="T980" s="313"/>
      <c r="U980" s="313"/>
      <c r="V980" s="313"/>
      <c r="W980" s="313"/>
      <c r="X980" s="313"/>
      <c r="Y980" s="313"/>
      <c r="Z980" s="313"/>
      <c r="AA980" s="313"/>
    </row>
    <row r="981" spans="1:27" ht="14.25" customHeight="1" x14ac:dyDescent="0.2">
      <c r="A981" s="346">
        <v>44026</v>
      </c>
      <c r="B981" s="313">
        <v>318.92001299999998</v>
      </c>
      <c r="C981" s="313">
        <v>258.94000199999999</v>
      </c>
      <c r="D981" s="345">
        <f t="shared" ref="D981:E981" si="990">B981/B980-1</f>
        <v>1.2959017443260334E-2</v>
      </c>
      <c r="E981" s="345">
        <f t="shared" si="990"/>
        <v>1.1761063893749979E-2</v>
      </c>
      <c r="F981" s="313"/>
      <c r="G981" s="313"/>
      <c r="H981" s="313"/>
      <c r="I981" s="313"/>
      <c r="J981" s="313"/>
      <c r="K981" s="313"/>
      <c r="L981" s="313"/>
      <c r="M981" s="313"/>
      <c r="N981" s="313"/>
      <c r="O981" s="313"/>
      <c r="P981" s="313"/>
      <c r="Q981" s="313"/>
      <c r="R981" s="313"/>
      <c r="S981" s="313"/>
      <c r="T981" s="313"/>
      <c r="U981" s="313"/>
      <c r="V981" s="313"/>
      <c r="W981" s="313"/>
      <c r="X981" s="313"/>
      <c r="Y981" s="313"/>
      <c r="Z981" s="313"/>
      <c r="AA981" s="313"/>
    </row>
    <row r="982" spans="1:27" ht="14.25" customHeight="1" x14ac:dyDescent="0.2">
      <c r="A982" s="346">
        <v>44027</v>
      </c>
      <c r="B982" s="313">
        <v>321.85000600000001</v>
      </c>
      <c r="C982" s="313">
        <v>257.26998900000001</v>
      </c>
      <c r="D982" s="345">
        <f t="shared" ref="D982:E982" si="991">B982/B981-1</f>
        <v>9.1872346687758011E-3</v>
      </c>
      <c r="E982" s="345">
        <f t="shared" si="991"/>
        <v>-6.4494206654095443E-3</v>
      </c>
      <c r="F982" s="313"/>
      <c r="G982" s="313"/>
      <c r="H982" s="313"/>
      <c r="I982" s="313"/>
      <c r="J982" s="313"/>
      <c r="K982" s="313"/>
      <c r="L982" s="313"/>
      <c r="M982" s="313"/>
      <c r="N982" s="313"/>
      <c r="O982" s="313"/>
      <c r="P982" s="313"/>
      <c r="Q982" s="313"/>
      <c r="R982" s="313"/>
      <c r="S982" s="313"/>
      <c r="T982" s="313"/>
      <c r="U982" s="313"/>
      <c r="V982" s="313"/>
      <c r="W982" s="313"/>
      <c r="X982" s="313"/>
      <c r="Y982" s="313"/>
      <c r="Z982" s="313"/>
      <c r="AA982" s="313"/>
    </row>
    <row r="983" spans="1:27" ht="14.25" customHeight="1" x14ac:dyDescent="0.2">
      <c r="A983" s="346">
        <v>44028</v>
      </c>
      <c r="B983" s="313">
        <v>320.790009</v>
      </c>
      <c r="C983" s="313">
        <v>257.48001099999999</v>
      </c>
      <c r="D983" s="345">
        <f t="shared" ref="D983:E983" si="992">B983/B982-1</f>
        <v>-3.2934503036796681E-3</v>
      </c>
      <c r="E983" s="345">
        <f t="shared" si="992"/>
        <v>8.1634861810475634E-4</v>
      </c>
      <c r="F983" s="313"/>
      <c r="G983" s="313"/>
      <c r="H983" s="313"/>
      <c r="I983" s="313"/>
      <c r="J983" s="313"/>
      <c r="K983" s="313"/>
      <c r="L983" s="313"/>
      <c r="M983" s="313"/>
      <c r="N983" s="313"/>
      <c r="O983" s="313"/>
      <c r="P983" s="313"/>
      <c r="Q983" s="313"/>
      <c r="R983" s="313"/>
      <c r="S983" s="313"/>
      <c r="T983" s="313"/>
      <c r="U983" s="313"/>
      <c r="V983" s="313"/>
      <c r="W983" s="313"/>
      <c r="X983" s="313"/>
      <c r="Y983" s="313"/>
      <c r="Z983" s="313"/>
      <c r="AA983" s="313"/>
    </row>
    <row r="984" spans="1:27" ht="14.25" customHeight="1" x14ac:dyDescent="0.2">
      <c r="A984" s="346">
        <v>44029</v>
      </c>
      <c r="B984" s="313">
        <v>321.72000100000002</v>
      </c>
      <c r="C984" s="313">
        <v>259.10998499999999</v>
      </c>
      <c r="D984" s="345">
        <f t="shared" ref="D984:E984" si="993">B984/B983-1</f>
        <v>2.8990678447220475E-3</v>
      </c>
      <c r="E984" s="345">
        <f t="shared" si="993"/>
        <v>6.3304875344285527E-3</v>
      </c>
      <c r="F984" s="313"/>
      <c r="G984" s="313"/>
      <c r="H984" s="313"/>
      <c r="I984" s="313"/>
      <c r="J984" s="313"/>
      <c r="K984" s="313"/>
      <c r="L984" s="313"/>
      <c r="M984" s="313"/>
      <c r="N984" s="313"/>
      <c r="O984" s="313"/>
      <c r="P984" s="313"/>
      <c r="Q984" s="313"/>
      <c r="R984" s="313"/>
      <c r="S984" s="313"/>
      <c r="T984" s="313"/>
      <c r="U984" s="313"/>
      <c r="V984" s="313"/>
      <c r="W984" s="313"/>
      <c r="X984" s="313"/>
      <c r="Y984" s="313"/>
      <c r="Z984" s="313"/>
      <c r="AA984" s="313"/>
    </row>
    <row r="985" spans="1:27" ht="14.25" customHeight="1" x14ac:dyDescent="0.2">
      <c r="A985" s="346">
        <v>44032</v>
      </c>
      <c r="B985" s="313">
        <v>324.32000699999998</v>
      </c>
      <c r="C985" s="313">
        <v>260.52999899999998</v>
      </c>
      <c r="D985" s="345">
        <f t="shared" ref="D985:E985" si="994">B985/B984-1</f>
        <v>8.0815802310032492E-3</v>
      </c>
      <c r="E985" s="345">
        <f t="shared" si="994"/>
        <v>5.4803522913251523E-3</v>
      </c>
      <c r="F985" s="313"/>
      <c r="G985" s="313"/>
      <c r="H985" s="313"/>
      <c r="I985" s="313"/>
      <c r="J985" s="313"/>
      <c r="K985" s="313"/>
      <c r="L985" s="313"/>
      <c r="M985" s="313"/>
      <c r="N985" s="313"/>
      <c r="O985" s="313"/>
      <c r="P985" s="313"/>
      <c r="Q985" s="313"/>
      <c r="R985" s="313"/>
      <c r="S985" s="313"/>
      <c r="T985" s="313"/>
      <c r="U985" s="313"/>
      <c r="V985" s="313"/>
      <c r="W985" s="313"/>
      <c r="X985" s="313"/>
      <c r="Y985" s="313"/>
      <c r="Z985" s="313"/>
      <c r="AA985" s="313"/>
    </row>
    <row r="986" spans="1:27" ht="14.25" customHeight="1" x14ac:dyDescent="0.2">
      <c r="A986" s="346">
        <v>44033</v>
      </c>
      <c r="B986" s="313">
        <v>325.01001000000002</v>
      </c>
      <c r="C986" s="313">
        <v>259.209991</v>
      </c>
      <c r="D986" s="345">
        <f t="shared" ref="D986:E986" si="995">B986/B985-1</f>
        <v>2.1275375712483946E-3</v>
      </c>
      <c r="E986" s="345">
        <f t="shared" si="995"/>
        <v>-5.0666257439320184E-3</v>
      </c>
      <c r="F986" s="313"/>
      <c r="G986" s="313"/>
      <c r="H986" s="313"/>
      <c r="I986" s="313"/>
      <c r="J986" s="313"/>
      <c r="K986" s="313"/>
      <c r="L986" s="313"/>
      <c r="M986" s="313"/>
      <c r="N986" s="313"/>
      <c r="O986" s="313"/>
      <c r="P986" s="313"/>
      <c r="Q986" s="313"/>
      <c r="R986" s="313"/>
      <c r="S986" s="313"/>
      <c r="T986" s="313"/>
      <c r="U986" s="313"/>
      <c r="V986" s="313"/>
      <c r="W986" s="313"/>
      <c r="X986" s="313"/>
      <c r="Y986" s="313"/>
      <c r="Z986" s="313"/>
      <c r="AA986" s="313"/>
    </row>
    <row r="987" spans="1:27" ht="14.25" customHeight="1" x14ac:dyDescent="0.2">
      <c r="A987" s="346">
        <v>44034</v>
      </c>
      <c r="B987" s="313">
        <v>326.85998499999999</v>
      </c>
      <c r="C987" s="313">
        <v>259.040009</v>
      </c>
      <c r="D987" s="345">
        <f t="shared" ref="D987:E987" si="996">B987/B986-1</f>
        <v>5.6920554539225954E-3</v>
      </c>
      <c r="E987" s="345">
        <f t="shared" si="996"/>
        <v>-6.5576947610790359E-4</v>
      </c>
      <c r="F987" s="313"/>
      <c r="G987" s="313"/>
      <c r="H987" s="313"/>
      <c r="I987" s="313"/>
      <c r="J987" s="313"/>
      <c r="K987" s="313"/>
      <c r="L987" s="313"/>
      <c r="M987" s="313"/>
      <c r="N987" s="313"/>
      <c r="O987" s="313"/>
      <c r="P987" s="313"/>
      <c r="Q987" s="313"/>
      <c r="R987" s="313"/>
      <c r="S987" s="313"/>
      <c r="T987" s="313"/>
      <c r="U987" s="313"/>
      <c r="V987" s="313"/>
      <c r="W987" s="313"/>
      <c r="X987" s="313"/>
      <c r="Y987" s="313"/>
      <c r="Z987" s="313"/>
      <c r="AA987" s="313"/>
    </row>
    <row r="988" spans="1:27" ht="14.25" customHeight="1" x14ac:dyDescent="0.2">
      <c r="A988" s="346">
        <v>44035</v>
      </c>
      <c r="B988" s="313">
        <v>322.959991</v>
      </c>
      <c r="C988" s="313">
        <v>257.89999399999999</v>
      </c>
      <c r="D988" s="345">
        <f t="shared" ref="D988:E988" si="997">B988/B987-1</f>
        <v>-1.1931696074696907E-2</v>
      </c>
      <c r="E988" s="345">
        <f t="shared" si="997"/>
        <v>-4.4009224845263928E-3</v>
      </c>
      <c r="F988" s="313"/>
      <c r="G988" s="313"/>
      <c r="H988" s="313"/>
      <c r="I988" s="313"/>
      <c r="J988" s="313"/>
      <c r="K988" s="313"/>
      <c r="L988" s="313"/>
      <c r="M988" s="313"/>
      <c r="N988" s="313"/>
      <c r="O988" s="313"/>
      <c r="P988" s="313"/>
      <c r="Q988" s="313"/>
      <c r="R988" s="313"/>
      <c r="S988" s="313"/>
      <c r="T988" s="313"/>
      <c r="U988" s="313"/>
      <c r="V988" s="313"/>
      <c r="W988" s="313"/>
      <c r="X988" s="313"/>
      <c r="Y988" s="313"/>
      <c r="Z988" s="313"/>
      <c r="AA988" s="313"/>
    </row>
    <row r="989" spans="1:27" ht="14.25" customHeight="1" x14ac:dyDescent="0.2">
      <c r="A989" s="346">
        <v>44036</v>
      </c>
      <c r="B989" s="313">
        <v>320.88000499999998</v>
      </c>
      <c r="C989" s="313">
        <v>256.32998700000002</v>
      </c>
      <c r="D989" s="345">
        <f t="shared" ref="D989:E989" si="998">B989/B988-1</f>
        <v>-6.4403828894088466E-3</v>
      </c>
      <c r="E989" s="345">
        <f t="shared" si="998"/>
        <v>-6.0876581486076775E-3</v>
      </c>
      <c r="F989" s="313"/>
      <c r="G989" s="313"/>
      <c r="H989" s="313"/>
      <c r="I989" s="313"/>
      <c r="J989" s="313"/>
      <c r="K989" s="313"/>
      <c r="L989" s="313"/>
      <c r="M989" s="313"/>
      <c r="N989" s="313"/>
      <c r="O989" s="313"/>
      <c r="P989" s="313"/>
      <c r="Q989" s="313"/>
      <c r="R989" s="313"/>
      <c r="S989" s="313"/>
      <c r="T989" s="313"/>
      <c r="U989" s="313"/>
      <c r="V989" s="313"/>
      <c r="W989" s="313"/>
      <c r="X989" s="313"/>
      <c r="Y989" s="313"/>
      <c r="Z989" s="313"/>
      <c r="AA989" s="313"/>
    </row>
    <row r="990" spans="1:27" ht="14.25" customHeight="1" x14ac:dyDescent="0.2">
      <c r="A990" s="346">
        <v>44039</v>
      </c>
      <c r="B990" s="313">
        <v>323.22000100000002</v>
      </c>
      <c r="C990" s="313">
        <v>260.30999800000001</v>
      </c>
      <c r="D990" s="345">
        <f t="shared" ref="D990:E990" si="999">B990/B989-1</f>
        <v>7.2924331947703536E-3</v>
      </c>
      <c r="E990" s="345">
        <f t="shared" si="999"/>
        <v>1.5526903608043208E-2</v>
      </c>
      <c r="F990" s="313"/>
      <c r="G990" s="313"/>
      <c r="H990" s="313"/>
      <c r="I990" s="313"/>
      <c r="J990" s="313"/>
      <c r="K990" s="313"/>
      <c r="L990" s="313"/>
      <c r="M990" s="313"/>
      <c r="N990" s="313"/>
      <c r="O990" s="313"/>
      <c r="P990" s="313"/>
      <c r="Q990" s="313"/>
      <c r="R990" s="313"/>
      <c r="S990" s="313"/>
      <c r="T990" s="313"/>
      <c r="U990" s="313"/>
      <c r="V990" s="313"/>
      <c r="W990" s="313"/>
      <c r="X990" s="313"/>
      <c r="Y990" s="313"/>
      <c r="Z990" s="313"/>
      <c r="AA990" s="313"/>
    </row>
    <row r="991" spans="1:27" ht="14.25" customHeight="1" x14ac:dyDescent="0.2">
      <c r="A991" s="346">
        <v>44040</v>
      </c>
      <c r="B991" s="313">
        <v>321.17001299999998</v>
      </c>
      <c r="C991" s="313">
        <v>266.79998799999998</v>
      </c>
      <c r="D991" s="345">
        <f t="shared" ref="D991:E991" si="1000">B991/B990-1</f>
        <v>-6.3423921590793908E-3</v>
      </c>
      <c r="E991" s="345">
        <f t="shared" si="1000"/>
        <v>2.4931773846043281E-2</v>
      </c>
      <c r="F991" s="313"/>
      <c r="G991" s="313"/>
      <c r="H991" s="313"/>
      <c r="I991" s="313"/>
      <c r="J991" s="313"/>
      <c r="K991" s="313"/>
      <c r="L991" s="313"/>
      <c r="M991" s="313"/>
      <c r="N991" s="313"/>
      <c r="O991" s="313"/>
      <c r="P991" s="313"/>
      <c r="Q991" s="313"/>
      <c r="R991" s="313"/>
      <c r="S991" s="313"/>
      <c r="T991" s="313"/>
      <c r="U991" s="313"/>
      <c r="V991" s="313"/>
      <c r="W991" s="313"/>
      <c r="X991" s="313"/>
      <c r="Y991" s="313"/>
      <c r="Z991" s="313"/>
      <c r="AA991" s="313"/>
    </row>
    <row r="992" spans="1:27" ht="14.25" customHeight="1" x14ac:dyDescent="0.2">
      <c r="A992" s="346">
        <v>44041</v>
      </c>
      <c r="B992" s="313">
        <v>325.11999500000002</v>
      </c>
      <c r="C992" s="313">
        <v>271.290009</v>
      </c>
      <c r="D992" s="345">
        <f t="shared" ref="D992:E992" si="1001">B992/B991-1</f>
        <v>1.2298726033305174E-2</v>
      </c>
      <c r="E992" s="345">
        <f t="shared" si="1001"/>
        <v>1.6829164924849982E-2</v>
      </c>
      <c r="F992" s="313"/>
      <c r="G992" s="313"/>
      <c r="H992" s="313"/>
      <c r="I992" s="313"/>
      <c r="J992" s="313"/>
      <c r="K992" s="313"/>
      <c r="L992" s="313"/>
      <c r="M992" s="313"/>
      <c r="N992" s="313"/>
      <c r="O992" s="313"/>
      <c r="P992" s="313"/>
      <c r="Q992" s="313"/>
      <c r="R992" s="313"/>
      <c r="S992" s="313"/>
      <c r="T992" s="313"/>
      <c r="U992" s="313"/>
      <c r="V992" s="313"/>
      <c r="W992" s="313"/>
      <c r="X992" s="313"/>
      <c r="Y992" s="313"/>
      <c r="Z992" s="313"/>
      <c r="AA992" s="313"/>
    </row>
    <row r="993" spans="1:27" ht="14.25" customHeight="1" x14ac:dyDescent="0.2">
      <c r="A993" s="346">
        <v>44042</v>
      </c>
      <c r="B993" s="313">
        <v>323.959991</v>
      </c>
      <c r="C993" s="313">
        <v>262.48998999999998</v>
      </c>
      <c r="D993" s="345">
        <f t="shared" ref="D993:E993" si="1002">B993/B992-1</f>
        <v>-3.5679257438473444E-3</v>
      </c>
      <c r="E993" s="345">
        <f t="shared" si="1002"/>
        <v>-3.2437681846219535E-2</v>
      </c>
      <c r="F993" s="313"/>
      <c r="G993" s="313"/>
      <c r="H993" s="313"/>
      <c r="I993" s="313"/>
      <c r="J993" s="313"/>
      <c r="K993" s="313"/>
      <c r="L993" s="313"/>
      <c r="M993" s="313"/>
      <c r="N993" s="313"/>
      <c r="O993" s="313"/>
      <c r="P993" s="313"/>
      <c r="Q993" s="313"/>
      <c r="R993" s="313"/>
      <c r="S993" s="313"/>
      <c r="T993" s="313"/>
      <c r="U993" s="313"/>
      <c r="V993" s="313"/>
      <c r="W993" s="313"/>
      <c r="X993" s="313"/>
      <c r="Y993" s="313"/>
      <c r="Z993" s="313"/>
      <c r="AA993" s="313"/>
    </row>
    <row r="994" spans="1:27" ht="14.25" customHeight="1" x14ac:dyDescent="0.2">
      <c r="A994" s="346">
        <v>44043</v>
      </c>
      <c r="B994" s="313">
        <v>326.51998900000001</v>
      </c>
      <c r="C994" s="313">
        <v>261.39001500000001</v>
      </c>
      <c r="D994" s="345">
        <f t="shared" ref="D994:E994" si="1003">B994/B993-1</f>
        <v>7.9022041953322741E-3</v>
      </c>
      <c r="E994" s="345">
        <f t="shared" si="1003"/>
        <v>-4.190540751668137E-3</v>
      </c>
      <c r="F994" s="313"/>
      <c r="G994" s="313"/>
      <c r="H994" s="313"/>
      <c r="I994" s="313"/>
      <c r="J994" s="313"/>
      <c r="K994" s="313"/>
      <c r="L994" s="313"/>
      <c r="M994" s="313"/>
      <c r="N994" s="313"/>
      <c r="O994" s="313"/>
      <c r="P994" s="313"/>
      <c r="Q994" s="313"/>
      <c r="R994" s="313"/>
      <c r="S994" s="313"/>
      <c r="T994" s="313"/>
      <c r="U994" s="313"/>
      <c r="V994" s="313"/>
      <c r="W994" s="313"/>
      <c r="X994" s="313"/>
      <c r="Y994" s="313"/>
      <c r="Z994" s="313"/>
      <c r="AA994" s="313"/>
    </row>
    <row r="995" spans="1:27" ht="14.25" customHeight="1" x14ac:dyDescent="0.2">
      <c r="A995" s="346">
        <v>44046</v>
      </c>
      <c r="B995" s="313">
        <v>328.790009</v>
      </c>
      <c r="C995" s="313">
        <v>256.57998700000002</v>
      </c>
      <c r="D995" s="345">
        <f t="shared" ref="D995:E995" si="1004">B995/B994-1</f>
        <v>6.9521624294799356E-3</v>
      </c>
      <c r="E995" s="345">
        <f t="shared" si="1004"/>
        <v>-1.8401728160886255E-2</v>
      </c>
      <c r="F995" s="313"/>
      <c r="G995" s="313"/>
      <c r="H995" s="313"/>
      <c r="I995" s="313"/>
      <c r="J995" s="313"/>
      <c r="K995" s="313"/>
      <c r="L995" s="313"/>
      <c r="M995" s="313"/>
      <c r="N995" s="313"/>
      <c r="O995" s="313"/>
      <c r="P995" s="313"/>
      <c r="Q995" s="313"/>
      <c r="R995" s="313"/>
      <c r="S995" s="313"/>
      <c r="T995" s="313"/>
      <c r="U995" s="313"/>
      <c r="V995" s="313"/>
      <c r="W995" s="313"/>
      <c r="X995" s="313"/>
      <c r="Y995" s="313"/>
      <c r="Z995" s="313"/>
      <c r="AA995" s="313"/>
    </row>
    <row r="996" spans="1:27" ht="14.25" customHeight="1" x14ac:dyDescent="0.2">
      <c r="A996" s="346">
        <v>44047</v>
      </c>
      <c r="B996" s="313">
        <v>330.05999800000001</v>
      </c>
      <c r="C996" s="313">
        <v>260.17001299999998</v>
      </c>
      <c r="D996" s="345">
        <f t="shared" ref="D996:E996" si="1005">B996/B995-1</f>
        <v>3.8626143290139137E-3</v>
      </c>
      <c r="E996" s="345">
        <f t="shared" si="1005"/>
        <v>1.3991839511629411E-2</v>
      </c>
      <c r="F996" s="313"/>
      <c r="G996" s="313"/>
      <c r="H996" s="313"/>
      <c r="I996" s="313"/>
      <c r="J996" s="313"/>
      <c r="K996" s="313"/>
      <c r="L996" s="313"/>
      <c r="M996" s="313"/>
      <c r="N996" s="313"/>
      <c r="O996" s="313"/>
      <c r="P996" s="313"/>
      <c r="Q996" s="313"/>
      <c r="R996" s="313"/>
      <c r="S996" s="313"/>
      <c r="T996" s="313"/>
      <c r="U996" s="313"/>
      <c r="V996" s="313"/>
      <c r="W996" s="313"/>
      <c r="X996" s="313"/>
      <c r="Y996" s="313"/>
      <c r="Z996" s="313"/>
      <c r="AA996" s="313"/>
    </row>
    <row r="997" spans="1:27" ht="14.25" customHeight="1" x14ac:dyDescent="0.2">
      <c r="A997" s="346">
        <v>44048</v>
      </c>
      <c r="B997" s="313">
        <v>332.10998499999999</v>
      </c>
      <c r="C997" s="313">
        <v>255.28999300000001</v>
      </c>
      <c r="D997" s="345">
        <f t="shared" ref="D997:E997" si="1006">B997/B996-1</f>
        <v>6.2109525917162234E-3</v>
      </c>
      <c r="E997" s="345">
        <f t="shared" si="1006"/>
        <v>-1.8757042534336854E-2</v>
      </c>
      <c r="F997" s="313"/>
      <c r="G997" s="313"/>
      <c r="H997" s="313"/>
      <c r="I997" s="313"/>
      <c r="J997" s="313"/>
      <c r="K997" s="313"/>
      <c r="L997" s="313"/>
      <c r="M997" s="313"/>
      <c r="N997" s="313"/>
      <c r="O997" s="313"/>
      <c r="P997" s="313"/>
      <c r="Q997" s="313"/>
      <c r="R997" s="313"/>
      <c r="S997" s="313"/>
      <c r="T997" s="313"/>
      <c r="U997" s="313"/>
      <c r="V997" s="313"/>
      <c r="W997" s="313"/>
      <c r="X997" s="313"/>
      <c r="Y997" s="313"/>
      <c r="Z997" s="313"/>
      <c r="AA997" s="313"/>
    </row>
    <row r="998" spans="1:27" ht="14.25" customHeight="1" x14ac:dyDescent="0.2">
      <c r="A998" s="346">
        <v>44049</v>
      </c>
      <c r="B998" s="313">
        <v>334.32998700000002</v>
      </c>
      <c r="C998" s="313">
        <v>255.509995</v>
      </c>
      <c r="D998" s="345">
        <f t="shared" ref="D998:E998" si="1007">B998/B997-1</f>
        <v>6.6845385573095495E-3</v>
      </c>
      <c r="E998" s="345">
        <f t="shared" si="1007"/>
        <v>8.6177290936739759E-4</v>
      </c>
      <c r="F998" s="313"/>
      <c r="G998" s="313"/>
      <c r="H998" s="313"/>
      <c r="I998" s="313"/>
      <c r="J998" s="313"/>
      <c r="K998" s="313"/>
      <c r="L998" s="313"/>
      <c r="M998" s="313"/>
      <c r="N998" s="313"/>
      <c r="O998" s="313"/>
      <c r="P998" s="313"/>
      <c r="Q998" s="313"/>
      <c r="R998" s="313"/>
      <c r="S998" s="313"/>
      <c r="T998" s="313"/>
      <c r="U998" s="313"/>
      <c r="V998" s="313"/>
      <c r="W998" s="313"/>
      <c r="X998" s="313"/>
      <c r="Y998" s="313"/>
      <c r="Z998" s="313"/>
      <c r="AA998" s="313"/>
    </row>
    <row r="999" spans="1:27" ht="14.25" customHeight="1" x14ac:dyDescent="0.2">
      <c r="A999" s="346">
        <v>44050</v>
      </c>
      <c r="B999" s="313">
        <v>334.57000699999998</v>
      </c>
      <c r="C999" s="313">
        <v>257.60998499999999</v>
      </c>
      <c r="D999" s="345">
        <f t="shared" ref="D999:E999" si="1008">B999/B998-1</f>
        <v>7.1791346673300005E-4</v>
      </c>
      <c r="E999" s="345">
        <f t="shared" si="1008"/>
        <v>8.2188174282575854E-3</v>
      </c>
      <c r="F999" s="313"/>
      <c r="G999" s="313"/>
      <c r="H999" s="313"/>
      <c r="I999" s="313"/>
      <c r="J999" s="313"/>
      <c r="K999" s="313"/>
      <c r="L999" s="313"/>
      <c r="M999" s="313"/>
      <c r="N999" s="313"/>
      <c r="O999" s="313"/>
      <c r="P999" s="313"/>
      <c r="Q999" s="313"/>
      <c r="R999" s="313"/>
      <c r="S999" s="313"/>
      <c r="T999" s="313"/>
      <c r="U999" s="313"/>
      <c r="V999" s="313"/>
      <c r="W999" s="313"/>
      <c r="X999" s="313"/>
      <c r="Y999" s="313"/>
      <c r="Z999" s="313"/>
      <c r="AA999" s="313"/>
    </row>
    <row r="1000" spans="1:27" ht="14.25" customHeight="1" x14ac:dyDescent="0.2">
      <c r="A1000" s="346">
        <v>44053</v>
      </c>
      <c r="B1000" s="313">
        <v>335.57000699999998</v>
      </c>
      <c r="C1000" s="313">
        <v>253.41000399999999</v>
      </c>
      <c r="D1000" s="345">
        <f t="shared" ref="D1000:E1000" si="1009">B1000/B999-1</f>
        <v>2.9889110771366134E-3</v>
      </c>
      <c r="E1000" s="345">
        <f t="shared" si="1009"/>
        <v>-1.6303642112319605E-2</v>
      </c>
      <c r="F1000" s="313"/>
      <c r="G1000" s="313"/>
      <c r="H1000" s="313"/>
      <c r="I1000" s="313"/>
      <c r="J1000" s="313"/>
      <c r="K1000" s="313"/>
      <c r="L1000" s="313"/>
      <c r="M1000" s="313"/>
      <c r="N1000" s="313"/>
      <c r="O1000" s="313"/>
      <c r="P1000" s="313"/>
      <c r="Q1000" s="313"/>
      <c r="R1000" s="313"/>
      <c r="S1000" s="313"/>
      <c r="T1000" s="313"/>
      <c r="U1000" s="313"/>
      <c r="V1000" s="313"/>
      <c r="W1000" s="313"/>
      <c r="X1000" s="313"/>
      <c r="Y1000" s="313"/>
      <c r="Z1000" s="313"/>
      <c r="AA1000" s="313"/>
    </row>
    <row r="1001" spans="1:27" ht="14.25" customHeight="1" x14ac:dyDescent="0.2">
      <c r="A1001" s="346">
        <v>44054</v>
      </c>
      <c r="B1001" s="313">
        <v>332.79998799999998</v>
      </c>
      <c r="C1001" s="313">
        <v>246.199997</v>
      </c>
      <c r="D1001" s="345">
        <f t="shared" ref="D1001:E1001" si="1010">B1001/B1000-1</f>
        <v>-8.2546680043428244E-3</v>
      </c>
      <c r="E1001" s="345">
        <f t="shared" si="1010"/>
        <v>-2.8451943041680305E-2</v>
      </c>
      <c r="F1001" s="313"/>
      <c r="G1001" s="313"/>
      <c r="H1001" s="313"/>
      <c r="I1001" s="313"/>
      <c r="J1001" s="313"/>
      <c r="K1001" s="313"/>
      <c r="L1001" s="313"/>
      <c r="M1001" s="313"/>
      <c r="N1001" s="313"/>
      <c r="O1001" s="313"/>
      <c r="P1001" s="313"/>
      <c r="Q1001" s="313"/>
      <c r="R1001" s="313"/>
      <c r="S1001" s="313"/>
      <c r="T1001" s="313"/>
      <c r="U1001" s="313"/>
      <c r="V1001" s="313"/>
      <c r="W1001" s="313"/>
      <c r="X1001" s="313"/>
      <c r="Y1001" s="313"/>
      <c r="Z1001" s="313"/>
      <c r="AA1001" s="313"/>
    </row>
    <row r="1002" spans="1:27" ht="14.25" customHeight="1" x14ac:dyDescent="0.2">
      <c r="A1002" s="346">
        <v>44055</v>
      </c>
      <c r="B1002" s="313">
        <v>337.44000199999999</v>
      </c>
      <c r="C1002" s="313">
        <v>251.300003</v>
      </c>
      <c r="D1002" s="345">
        <f t="shared" ref="D1002:E1002" si="1011">B1002/B1001-1</f>
        <v>1.3942350262344361E-2</v>
      </c>
      <c r="E1002" s="345">
        <f t="shared" si="1011"/>
        <v>2.071489058547793E-2</v>
      </c>
      <c r="F1002" s="313"/>
      <c r="G1002" s="313"/>
      <c r="H1002" s="313"/>
      <c r="I1002" s="313"/>
      <c r="J1002" s="313"/>
      <c r="K1002" s="313"/>
      <c r="L1002" s="313"/>
      <c r="M1002" s="313"/>
      <c r="N1002" s="313"/>
      <c r="O1002" s="313"/>
      <c r="P1002" s="313"/>
      <c r="Q1002" s="313"/>
      <c r="R1002" s="313"/>
      <c r="S1002" s="313"/>
      <c r="T1002" s="313"/>
      <c r="U1002" s="313"/>
      <c r="V1002" s="313"/>
      <c r="W1002" s="313"/>
      <c r="X1002" s="313"/>
      <c r="Y1002" s="313"/>
      <c r="Z1002" s="313"/>
      <c r="AA1002" s="313"/>
    </row>
    <row r="1003" spans="1:27" ht="14.25" customHeight="1" x14ac:dyDescent="0.2">
      <c r="A1003" s="346">
        <v>44056</v>
      </c>
      <c r="B1003" s="313">
        <v>336.82998700000002</v>
      </c>
      <c r="C1003" s="313">
        <v>250.729996</v>
      </c>
      <c r="D1003" s="345">
        <f t="shared" ref="D1003:E1003" si="1012">B1003/B1002-1</f>
        <v>-1.8077732230453725E-3</v>
      </c>
      <c r="E1003" s="345">
        <f t="shared" si="1012"/>
        <v>-2.2682331603474104E-3</v>
      </c>
      <c r="F1003" s="313"/>
      <c r="G1003" s="313"/>
      <c r="H1003" s="313"/>
      <c r="I1003" s="313"/>
      <c r="J1003" s="313"/>
      <c r="K1003" s="313"/>
      <c r="L1003" s="313"/>
      <c r="M1003" s="313"/>
      <c r="N1003" s="313"/>
      <c r="O1003" s="313"/>
      <c r="P1003" s="313"/>
      <c r="Q1003" s="313"/>
      <c r="R1003" s="313"/>
      <c r="S1003" s="313"/>
      <c r="T1003" s="313"/>
      <c r="U1003" s="313"/>
      <c r="V1003" s="313"/>
      <c r="W1003" s="313"/>
      <c r="X1003" s="313"/>
      <c r="Y1003" s="313"/>
      <c r="Z1003" s="313"/>
      <c r="AA1003" s="313"/>
    </row>
    <row r="1004" spans="1:27" ht="14.25" customHeight="1" x14ac:dyDescent="0.2">
      <c r="A1004" s="346">
        <v>44057</v>
      </c>
      <c r="B1004" s="313">
        <v>336.83999599999999</v>
      </c>
      <c r="C1004" s="313">
        <v>250.11999499999999</v>
      </c>
      <c r="D1004" s="345">
        <f t="shared" ref="D1004:E1004" si="1013">B1004/B1003-1</f>
        <v>2.9715287789944256E-5</v>
      </c>
      <c r="E1004" s="345">
        <f t="shared" si="1013"/>
        <v>-2.4328999710110377E-3</v>
      </c>
      <c r="F1004" s="313"/>
      <c r="G1004" s="313"/>
      <c r="H1004" s="313"/>
      <c r="I1004" s="313"/>
      <c r="J1004" s="313"/>
      <c r="K1004" s="313"/>
      <c r="L1004" s="313"/>
      <c r="M1004" s="313"/>
      <c r="N1004" s="313"/>
      <c r="O1004" s="313"/>
      <c r="P1004" s="313"/>
      <c r="Q1004" s="313"/>
      <c r="R1004" s="313"/>
      <c r="S1004" s="313"/>
      <c r="T1004" s="313"/>
      <c r="U1004" s="313"/>
      <c r="V1004" s="313"/>
      <c r="W1004" s="313"/>
      <c r="X1004" s="313"/>
      <c r="Y1004" s="313"/>
      <c r="Z1004" s="313"/>
      <c r="AA1004" s="313"/>
    </row>
    <row r="1005" spans="1:27" ht="14.25" customHeight="1" x14ac:dyDescent="0.2">
      <c r="A1005" s="346">
        <v>44060</v>
      </c>
      <c r="B1005" s="313">
        <v>337.91000400000001</v>
      </c>
      <c r="C1005" s="313">
        <v>250.91000399999999</v>
      </c>
      <c r="D1005" s="345">
        <f t="shared" ref="D1005:E1005" si="1014">B1005/B1004-1</f>
        <v>3.1766061415106073E-3</v>
      </c>
      <c r="E1005" s="345">
        <f t="shared" si="1014"/>
        <v>3.1585199735830738E-3</v>
      </c>
      <c r="F1005" s="313"/>
      <c r="G1005" s="313"/>
      <c r="H1005" s="313"/>
      <c r="I1005" s="313"/>
      <c r="J1005" s="313"/>
      <c r="K1005" s="313"/>
      <c r="L1005" s="313"/>
      <c r="M1005" s="313"/>
      <c r="N1005" s="313"/>
      <c r="O1005" s="313"/>
      <c r="P1005" s="313"/>
      <c r="Q1005" s="313"/>
      <c r="R1005" s="313"/>
      <c r="S1005" s="313"/>
      <c r="T1005" s="313"/>
      <c r="U1005" s="313"/>
      <c r="V1005" s="313"/>
      <c r="W1005" s="313"/>
      <c r="X1005" s="313"/>
      <c r="Y1005" s="313"/>
      <c r="Z1005" s="313"/>
      <c r="AA1005" s="313"/>
    </row>
    <row r="1006" spans="1:27" ht="14.25" customHeight="1" x14ac:dyDescent="0.2">
      <c r="A1006" s="346">
        <v>44061</v>
      </c>
      <c r="B1006" s="313">
        <v>338.64001500000001</v>
      </c>
      <c r="C1006" s="313">
        <v>252.550003</v>
      </c>
      <c r="D1006" s="345">
        <f t="shared" ref="D1006:E1006" si="1015">B1006/B1005-1</f>
        <v>2.1603710791586739E-3</v>
      </c>
      <c r="E1006" s="345">
        <f t="shared" si="1015"/>
        <v>6.5362041124514825E-3</v>
      </c>
      <c r="F1006" s="313"/>
      <c r="G1006" s="313"/>
      <c r="H1006" s="313"/>
      <c r="I1006" s="313"/>
      <c r="J1006" s="313"/>
      <c r="K1006" s="313"/>
      <c r="L1006" s="313"/>
      <c r="M1006" s="313"/>
      <c r="N1006" s="313"/>
      <c r="O1006" s="313"/>
      <c r="P1006" s="313"/>
      <c r="Q1006" s="313"/>
      <c r="R1006" s="313"/>
      <c r="S1006" s="313"/>
      <c r="T1006" s="313"/>
      <c r="U1006" s="313"/>
      <c r="V1006" s="313"/>
      <c r="W1006" s="313"/>
      <c r="X1006" s="313"/>
      <c r="Y1006" s="313"/>
      <c r="Z1006" s="313"/>
      <c r="AA1006" s="313"/>
    </row>
    <row r="1007" spans="1:27" ht="14.25" customHeight="1" x14ac:dyDescent="0.2">
      <c r="A1007" s="346">
        <v>44062</v>
      </c>
      <c r="B1007" s="313">
        <v>337.23001099999999</v>
      </c>
      <c r="C1007" s="313">
        <v>245.229996</v>
      </c>
      <c r="D1007" s="345">
        <f t="shared" ref="D1007:E1007" si="1016">B1007/B1006-1</f>
        <v>-4.1637253057645873E-3</v>
      </c>
      <c r="E1007" s="345">
        <f t="shared" si="1016"/>
        <v>-2.8984386905748782E-2</v>
      </c>
      <c r="F1007" s="313"/>
      <c r="G1007" s="313"/>
      <c r="H1007" s="313"/>
      <c r="I1007" s="313"/>
      <c r="J1007" s="313"/>
      <c r="K1007" s="313"/>
      <c r="L1007" s="313"/>
      <c r="M1007" s="313"/>
      <c r="N1007" s="313"/>
      <c r="O1007" s="313"/>
      <c r="P1007" s="313"/>
      <c r="Q1007" s="313"/>
      <c r="R1007" s="313"/>
      <c r="S1007" s="313"/>
      <c r="T1007" s="313"/>
      <c r="U1007" s="313"/>
      <c r="V1007" s="313"/>
      <c r="W1007" s="313"/>
      <c r="X1007" s="313"/>
      <c r="Y1007" s="313"/>
      <c r="Z1007" s="313"/>
      <c r="AA1007" s="313"/>
    </row>
    <row r="1008" spans="1:27" ht="14.25" customHeight="1" x14ac:dyDescent="0.2">
      <c r="A1008" s="346">
        <v>44063</v>
      </c>
      <c r="B1008" s="313">
        <v>338.27999899999998</v>
      </c>
      <c r="C1008" s="313">
        <v>247.679993</v>
      </c>
      <c r="D1008" s="345">
        <f t="shared" ref="D1008:E1008" si="1017">B1008/B1007-1</f>
        <v>3.1135663071220065E-3</v>
      </c>
      <c r="E1008" s="345">
        <f t="shared" si="1017"/>
        <v>9.9906089791723662E-3</v>
      </c>
      <c r="F1008" s="313"/>
      <c r="G1008" s="313"/>
      <c r="H1008" s="313"/>
      <c r="I1008" s="313"/>
      <c r="J1008" s="313"/>
      <c r="K1008" s="313"/>
      <c r="L1008" s="313"/>
      <c r="M1008" s="313"/>
      <c r="N1008" s="313"/>
      <c r="O1008" s="313"/>
      <c r="P1008" s="313"/>
      <c r="Q1008" s="313"/>
      <c r="R1008" s="313"/>
      <c r="S1008" s="313"/>
      <c r="T1008" s="313"/>
      <c r="U1008" s="313"/>
      <c r="V1008" s="313"/>
      <c r="W1008" s="313"/>
      <c r="X1008" s="313"/>
      <c r="Y1008" s="313"/>
      <c r="Z1008" s="313"/>
      <c r="AA1008" s="313"/>
    </row>
    <row r="1009" spans="1:27" ht="14.25" customHeight="1" x14ac:dyDescent="0.2">
      <c r="A1009" s="346">
        <v>44064</v>
      </c>
      <c r="B1009" s="313">
        <v>339.48001099999999</v>
      </c>
      <c r="C1009" s="313">
        <v>249.33999600000001</v>
      </c>
      <c r="D1009" s="345">
        <f t="shared" ref="D1009:E1009" si="1018">B1009/B1008-1</f>
        <v>3.5473927029308072E-3</v>
      </c>
      <c r="E1009" s="345">
        <f t="shared" si="1018"/>
        <v>6.7022086842518647E-3</v>
      </c>
      <c r="F1009" s="313"/>
      <c r="G1009" s="313"/>
      <c r="H1009" s="313"/>
      <c r="I1009" s="313"/>
      <c r="J1009" s="313"/>
      <c r="K1009" s="313"/>
      <c r="L1009" s="313"/>
      <c r="M1009" s="313"/>
      <c r="N1009" s="313"/>
      <c r="O1009" s="313"/>
      <c r="P1009" s="313"/>
      <c r="Q1009" s="313"/>
      <c r="R1009" s="313"/>
      <c r="S1009" s="313"/>
      <c r="T1009" s="313"/>
      <c r="U1009" s="313"/>
      <c r="V1009" s="313"/>
      <c r="W1009" s="313"/>
      <c r="X1009" s="313"/>
      <c r="Y1009" s="313"/>
      <c r="Z1009" s="313"/>
      <c r="AA1009" s="313"/>
    </row>
    <row r="1010" spans="1:27" ht="14.25" customHeight="1" x14ac:dyDescent="0.2">
      <c r="A1010" s="346">
        <v>44067</v>
      </c>
      <c r="B1010" s="313">
        <v>342.92001299999998</v>
      </c>
      <c r="C1010" s="313">
        <v>245.44000199999999</v>
      </c>
      <c r="D1010" s="345">
        <f t="shared" ref="D1010:E1010" si="1019">B1010/B1009-1</f>
        <v>1.013315037273288E-2</v>
      </c>
      <c r="E1010" s="345">
        <f t="shared" si="1019"/>
        <v>-1.564126920095088E-2</v>
      </c>
      <c r="F1010" s="313"/>
      <c r="G1010" s="313"/>
      <c r="H1010" s="313"/>
      <c r="I1010" s="313"/>
      <c r="J1010" s="313"/>
      <c r="K1010" s="313"/>
      <c r="L1010" s="313"/>
      <c r="M1010" s="313"/>
      <c r="N1010" s="313"/>
      <c r="O1010" s="313"/>
      <c r="P1010" s="313"/>
      <c r="Q1010" s="313"/>
      <c r="R1010" s="313"/>
      <c r="S1010" s="313"/>
      <c r="T1010" s="313"/>
      <c r="U1010" s="313"/>
      <c r="V1010" s="313"/>
      <c r="W1010" s="313"/>
      <c r="X1010" s="313"/>
      <c r="Y1010" s="313"/>
      <c r="Z1010" s="313"/>
      <c r="AA1010" s="313"/>
    </row>
    <row r="1011" spans="1:27" ht="14.25" customHeight="1" x14ac:dyDescent="0.2">
      <c r="A1011" s="346">
        <v>44068</v>
      </c>
      <c r="B1011" s="313">
        <v>344.11999500000002</v>
      </c>
      <c r="C1011" s="313">
        <v>246.41000399999999</v>
      </c>
      <c r="D1011" s="345">
        <f t="shared" ref="D1011:E1011" si="1020">B1011/B1010-1</f>
        <v>3.4993058279162437E-3</v>
      </c>
      <c r="E1011" s="345">
        <f t="shared" si="1020"/>
        <v>3.9520941659705322E-3</v>
      </c>
      <c r="F1011" s="313"/>
      <c r="G1011" s="313"/>
      <c r="H1011" s="313"/>
      <c r="I1011" s="313"/>
      <c r="J1011" s="313"/>
      <c r="K1011" s="313"/>
      <c r="L1011" s="313"/>
      <c r="M1011" s="313"/>
      <c r="N1011" s="313"/>
      <c r="O1011" s="313"/>
      <c r="P1011" s="313"/>
      <c r="Q1011" s="313"/>
      <c r="R1011" s="313"/>
      <c r="S1011" s="313"/>
      <c r="T1011" s="313"/>
      <c r="U1011" s="313"/>
      <c r="V1011" s="313"/>
      <c r="W1011" s="313"/>
      <c r="X1011" s="313"/>
      <c r="Y1011" s="313"/>
      <c r="Z1011" s="313"/>
      <c r="AA1011" s="313"/>
    </row>
    <row r="1012" spans="1:27" ht="14.25" customHeight="1" x14ac:dyDescent="0.2">
      <c r="A1012" s="346">
        <v>44069</v>
      </c>
      <c r="B1012" s="313">
        <v>347.57000699999998</v>
      </c>
      <c r="C1012" s="313">
        <v>246.970001</v>
      </c>
      <c r="D1012" s="345">
        <f t="shared" ref="D1012:E1012" si="1021">B1012/B1011-1</f>
        <v>1.0025607491944699E-2</v>
      </c>
      <c r="E1012" s="345">
        <f t="shared" si="1021"/>
        <v>2.2726228274401183E-3</v>
      </c>
      <c r="F1012" s="313"/>
      <c r="G1012" s="313"/>
      <c r="H1012" s="313"/>
      <c r="I1012" s="313"/>
      <c r="J1012" s="313"/>
      <c r="K1012" s="313"/>
      <c r="L1012" s="313"/>
      <c r="M1012" s="313"/>
      <c r="N1012" s="313"/>
      <c r="O1012" s="313"/>
      <c r="P1012" s="313"/>
      <c r="Q1012" s="313"/>
      <c r="R1012" s="313"/>
      <c r="S1012" s="313"/>
      <c r="T1012" s="313"/>
      <c r="U1012" s="313"/>
      <c r="V1012" s="313"/>
      <c r="W1012" s="313"/>
      <c r="X1012" s="313"/>
      <c r="Y1012" s="313"/>
      <c r="Z1012" s="313"/>
      <c r="AA1012" s="313"/>
    </row>
    <row r="1013" spans="1:27" ht="14.25" customHeight="1" x14ac:dyDescent="0.2">
      <c r="A1013" s="346">
        <v>44070</v>
      </c>
      <c r="B1013" s="313">
        <v>348.32998700000002</v>
      </c>
      <c r="C1013" s="313">
        <v>247.970001</v>
      </c>
      <c r="D1013" s="345">
        <f t="shared" ref="D1013:E1013" si="1022">B1013/B1012-1</f>
        <v>2.1865523051303182E-3</v>
      </c>
      <c r="E1013" s="345">
        <f t="shared" si="1022"/>
        <v>4.0490747700163698E-3</v>
      </c>
      <c r="F1013" s="313"/>
      <c r="G1013" s="313"/>
      <c r="H1013" s="313"/>
      <c r="I1013" s="313"/>
      <c r="J1013" s="313"/>
      <c r="K1013" s="313"/>
      <c r="L1013" s="313"/>
      <c r="M1013" s="313"/>
      <c r="N1013" s="313"/>
      <c r="O1013" s="313"/>
      <c r="P1013" s="313"/>
      <c r="Q1013" s="313"/>
      <c r="R1013" s="313"/>
      <c r="S1013" s="313"/>
      <c r="T1013" s="313"/>
      <c r="U1013" s="313"/>
      <c r="V1013" s="313"/>
      <c r="W1013" s="313"/>
      <c r="X1013" s="313"/>
      <c r="Y1013" s="313"/>
      <c r="Z1013" s="313"/>
      <c r="AA1013" s="313"/>
    </row>
    <row r="1014" spans="1:27" ht="14.25" customHeight="1" x14ac:dyDescent="0.2">
      <c r="A1014" s="346">
        <v>44071</v>
      </c>
      <c r="B1014" s="313">
        <v>350.57998700000002</v>
      </c>
      <c r="C1014" s="313">
        <v>249.58999600000001</v>
      </c>
      <c r="D1014" s="345">
        <f t="shared" ref="D1014:E1014" si="1023">B1014/B1013-1</f>
        <v>6.459392196974445E-3</v>
      </c>
      <c r="E1014" s="345">
        <f t="shared" si="1023"/>
        <v>6.5330281625477493E-3</v>
      </c>
      <c r="F1014" s="313"/>
      <c r="G1014" s="313"/>
      <c r="H1014" s="313"/>
      <c r="I1014" s="313"/>
      <c r="J1014" s="313"/>
      <c r="K1014" s="313"/>
      <c r="L1014" s="313"/>
      <c r="M1014" s="313"/>
      <c r="N1014" s="313"/>
      <c r="O1014" s="313"/>
      <c r="P1014" s="313"/>
      <c r="Q1014" s="313"/>
      <c r="R1014" s="313"/>
      <c r="S1014" s="313"/>
      <c r="T1014" s="313"/>
      <c r="U1014" s="313"/>
      <c r="V1014" s="313"/>
      <c r="W1014" s="313"/>
      <c r="X1014" s="313"/>
      <c r="Y1014" s="313"/>
      <c r="Z1014" s="313"/>
      <c r="AA1014" s="313"/>
    </row>
    <row r="1015" spans="1:27" ht="14.25" customHeight="1" x14ac:dyDescent="0.2">
      <c r="A1015" s="346">
        <v>44074</v>
      </c>
      <c r="B1015" s="313">
        <v>349.30999800000001</v>
      </c>
      <c r="C1015" s="313">
        <v>249.14999399999999</v>
      </c>
      <c r="D1015" s="345">
        <f t="shared" ref="D1015:E1015" si="1024">B1015/B1014-1</f>
        <v>-3.6225370731159945E-3</v>
      </c>
      <c r="E1015" s="345">
        <f t="shared" si="1024"/>
        <v>-1.7628991828663176E-3</v>
      </c>
      <c r="F1015" s="313"/>
      <c r="G1015" s="313"/>
      <c r="H1015" s="313"/>
      <c r="I1015" s="313"/>
      <c r="J1015" s="313"/>
      <c r="K1015" s="313"/>
      <c r="L1015" s="313"/>
      <c r="M1015" s="313"/>
      <c r="N1015" s="313"/>
      <c r="O1015" s="313"/>
      <c r="P1015" s="313"/>
      <c r="Q1015" s="313"/>
      <c r="R1015" s="313"/>
      <c r="S1015" s="313"/>
      <c r="T1015" s="313"/>
      <c r="U1015" s="313"/>
      <c r="V1015" s="313"/>
      <c r="W1015" s="313"/>
      <c r="X1015" s="313"/>
      <c r="Y1015" s="313"/>
      <c r="Z1015" s="313"/>
      <c r="AA1015" s="313"/>
    </row>
    <row r="1016" spans="1:27" ht="14.25" customHeight="1" x14ac:dyDescent="0.2">
      <c r="A1016" s="346">
        <v>44075</v>
      </c>
      <c r="B1016" s="313">
        <v>352.60000600000001</v>
      </c>
      <c r="C1016" s="313">
        <v>248.029999</v>
      </c>
      <c r="D1016" s="345">
        <f t="shared" ref="D1016:E1016" si="1025">B1016/B1015-1</f>
        <v>9.4185909903443665E-3</v>
      </c>
      <c r="E1016" s="345">
        <f t="shared" si="1025"/>
        <v>-4.4952640055050397E-3</v>
      </c>
      <c r="F1016" s="313"/>
      <c r="G1016" s="313"/>
      <c r="H1016" s="313"/>
      <c r="I1016" s="313"/>
      <c r="J1016" s="313"/>
      <c r="K1016" s="313"/>
      <c r="L1016" s="313"/>
      <c r="M1016" s="313"/>
      <c r="N1016" s="313"/>
      <c r="O1016" s="313"/>
      <c r="P1016" s="313"/>
      <c r="Q1016" s="313"/>
      <c r="R1016" s="313"/>
      <c r="S1016" s="313"/>
      <c r="T1016" s="313"/>
      <c r="U1016" s="313"/>
      <c r="V1016" s="313"/>
      <c r="W1016" s="313"/>
      <c r="X1016" s="313"/>
      <c r="Y1016" s="313"/>
      <c r="Z1016" s="313"/>
      <c r="AA1016" s="313"/>
    </row>
    <row r="1017" spans="1:27" ht="14.25" customHeight="1" x14ac:dyDescent="0.2">
      <c r="A1017" s="346">
        <v>44076</v>
      </c>
      <c r="B1017" s="313">
        <v>357.70001200000002</v>
      </c>
      <c r="C1017" s="313">
        <v>256.5</v>
      </c>
      <c r="D1017" s="345">
        <f t="shared" ref="D1017:E1017" si="1026">B1017/B1016-1</f>
        <v>1.4463998619444141E-2</v>
      </c>
      <c r="E1017" s="345">
        <f t="shared" si="1026"/>
        <v>3.4149099037007913E-2</v>
      </c>
      <c r="F1017" s="313"/>
      <c r="G1017" s="313"/>
      <c r="H1017" s="313"/>
      <c r="I1017" s="313"/>
      <c r="J1017" s="313"/>
      <c r="K1017" s="313"/>
      <c r="L1017" s="313"/>
      <c r="M1017" s="313"/>
      <c r="N1017" s="313"/>
      <c r="O1017" s="313"/>
      <c r="P1017" s="313"/>
      <c r="Q1017" s="313"/>
      <c r="R1017" s="313"/>
      <c r="S1017" s="313"/>
      <c r="T1017" s="313"/>
      <c r="U1017" s="313"/>
      <c r="V1017" s="313"/>
      <c r="W1017" s="313"/>
      <c r="X1017" s="313"/>
      <c r="Y1017" s="313"/>
      <c r="Z1017" s="313"/>
      <c r="AA1017" s="313"/>
    </row>
    <row r="1018" spans="1:27" ht="14.25" customHeight="1" x14ac:dyDescent="0.2">
      <c r="A1018" s="346">
        <v>44077</v>
      </c>
      <c r="B1018" s="313">
        <v>345.39001500000001</v>
      </c>
      <c r="C1018" s="313">
        <v>252.320007</v>
      </c>
      <c r="D1018" s="345">
        <f t="shared" ref="D1018:E1018" si="1027">B1018/B1017-1</f>
        <v>-3.4414304129237849E-2</v>
      </c>
      <c r="E1018" s="345">
        <f t="shared" si="1027"/>
        <v>-1.6296269005847908E-2</v>
      </c>
      <c r="F1018" s="313"/>
      <c r="G1018" s="313"/>
      <c r="H1018" s="313"/>
      <c r="I1018" s="313"/>
      <c r="J1018" s="313"/>
      <c r="K1018" s="313"/>
      <c r="L1018" s="313"/>
      <c r="M1018" s="313"/>
      <c r="N1018" s="313"/>
      <c r="O1018" s="313"/>
      <c r="P1018" s="313"/>
      <c r="Q1018" s="313"/>
      <c r="R1018" s="313"/>
      <c r="S1018" s="313"/>
      <c r="T1018" s="313"/>
      <c r="U1018" s="313"/>
      <c r="V1018" s="313"/>
      <c r="W1018" s="313"/>
      <c r="X1018" s="313"/>
      <c r="Y1018" s="313"/>
      <c r="Z1018" s="313"/>
      <c r="AA1018" s="313"/>
    </row>
    <row r="1019" spans="1:27" ht="14.25" customHeight="1" x14ac:dyDescent="0.2">
      <c r="A1019" s="346">
        <v>44078</v>
      </c>
      <c r="B1019" s="313">
        <v>342.57000699999998</v>
      </c>
      <c r="C1019" s="313">
        <v>249.979996</v>
      </c>
      <c r="D1019" s="345">
        <f t="shared" ref="D1019:E1019" si="1028">B1019/B1018-1</f>
        <v>-8.1647062090084432E-3</v>
      </c>
      <c r="E1019" s="345">
        <f t="shared" si="1028"/>
        <v>-9.2739811948404638E-3</v>
      </c>
      <c r="F1019" s="313"/>
      <c r="G1019" s="313"/>
      <c r="H1019" s="313"/>
      <c r="I1019" s="313"/>
      <c r="J1019" s="313"/>
      <c r="K1019" s="313"/>
      <c r="L1019" s="313"/>
      <c r="M1019" s="313"/>
      <c r="N1019" s="313"/>
      <c r="O1019" s="313"/>
      <c r="P1019" s="313"/>
      <c r="Q1019" s="313"/>
      <c r="R1019" s="313"/>
      <c r="S1019" s="313"/>
      <c r="T1019" s="313"/>
      <c r="U1019" s="313"/>
      <c r="V1019" s="313"/>
      <c r="W1019" s="313"/>
      <c r="X1019" s="313"/>
      <c r="Y1019" s="313"/>
      <c r="Z1019" s="313"/>
      <c r="AA1019" s="313"/>
    </row>
    <row r="1020" spans="1:27" ht="14.25" customHeight="1" x14ac:dyDescent="0.2">
      <c r="A1020" s="346">
        <v>44082</v>
      </c>
      <c r="B1020" s="313">
        <v>333.209991</v>
      </c>
      <c r="C1020" s="313">
        <v>246.80999800000001</v>
      </c>
      <c r="D1020" s="345">
        <f t="shared" ref="D1020:E1020" si="1029">B1020/B1019-1</f>
        <v>-2.7322929061912804E-2</v>
      </c>
      <c r="E1020" s="345">
        <f t="shared" si="1029"/>
        <v>-1.2681006683430751E-2</v>
      </c>
      <c r="F1020" s="313"/>
      <c r="G1020" s="313"/>
      <c r="H1020" s="313"/>
      <c r="I1020" s="313"/>
      <c r="J1020" s="313"/>
      <c r="K1020" s="313"/>
      <c r="L1020" s="313"/>
      <c r="M1020" s="313"/>
      <c r="N1020" s="313"/>
      <c r="O1020" s="313"/>
      <c r="P1020" s="313"/>
      <c r="Q1020" s="313"/>
      <c r="R1020" s="313"/>
      <c r="S1020" s="313"/>
      <c r="T1020" s="313"/>
      <c r="U1020" s="313"/>
      <c r="V1020" s="313"/>
      <c r="W1020" s="313"/>
      <c r="X1020" s="313"/>
      <c r="Y1020" s="313"/>
      <c r="Z1020" s="313"/>
      <c r="AA1020" s="313"/>
    </row>
    <row r="1021" spans="1:27" ht="14.25" customHeight="1" x14ac:dyDescent="0.2">
      <c r="A1021" s="346">
        <v>44083</v>
      </c>
      <c r="B1021" s="313">
        <v>339.790009</v>
      </c>
      <c r="C1021" s="313">
        <v>252.41999799999999</v>
      </c>
      <c r="D1021" s="345">
        <f t="shared" ref="D1021:E1021" si="1030">B1021/B1020-1</f>
        <v>1.9747361056769774E-2</v>
      </c>
      <c r="E1021" s="345">
        <f t="shared" si="1030"/>
        <v>2.2730035433977891E-2</v>
      </c>
      <c r="F1021" s="313"/>
      <c r="G1021" s="313"/>
      <c r="H1021" s="313"/>
      <c r="I1021" s="313"/>
      <c r="J1021" s="313"/>
      <c r="K1021" s="313"/>
      <c r="L1021" s="313"/>
      <c r="M1021" s="313"/>
      <c r="N1021" s="313"/>
      <c r="O1021" s="313"/>
      <c r="P1021" s="313"/>
      <c r="Q1021" s="313"/>
      <c r="R1021" s="313"/>
      <c r="S1021" s="313"/>
      <c r="T1021" s="313"/>
      <c r="U1021" s="313"/>
      <c r="V1021" s="313"/>
      <c r="W1021" s="313"/>
      <c r="X1021" s="313"/>
      <c r="Y1021" s="313"/>
      <c r="Z1021" s="313"/>
      <c r="AA1021" s="313"/>
    </row>
    <row r="1022" spans="1:27" ht="14.25" customHeight="1" x14ac:dyDescent="0.2">
      <c r="A1022" s="346">
        <v>44084</v>
      </c>
      <c r="B1022" s="313">
        <v>333.89001500000001</v>
      </c>
      <c r="C1022" s="313">
        <v>248.38000500000001</v>
      </c>
      <c r="D1022" s="345">
        <f t="shared" ref="D1022:E1022" si="1031">B1022/B1021-1</f>
        <v>-1.7363647675703087E-2</v>
      </c>
      <c r="E1022" s="345">
        <f t="shared" si="1031"/>
        <v>-1.6005043308811029E-2</v>
      </c>
      <c r="F1022" s="313"/>
      <c r="G1022" s="313"/>
      <c r="H1022" s="313"/>
      <c r="I1022" s="313"/>
      <c r="J1022" s="313"/>
      <c r="K1022" s="313"/>
      <c r="L1022" s="313"/>
      <c r="M1022" s="313"/>
      <c r="N1022" s="313"/>
      <c r="O1022" s="313"/>
      <c r="P1022" s="313"/>
      <c r="Q1022" s="313"/>
      <c r="R1022" s="313"/>
      <c r="S1022" s="313"/>
      <c r="T1022" s="313"/>
      <c r="U1022" s="313"/>
      <c r="V1022" s="313"/>
      <c r="W1022" s="313"/>
      <c r="X1022" s="313"/>
      <c r="Y1022" s="313"/>
      <c r="Z1022" s="313"/>
      <c r="AA1022" s="313"/>
    </row>
    <row r="1023" spans="1:27" ht="14.25" customHeight="1" x14ac:dyDescent="0.2">
      <c r="A1023" s="346">
        <v>44085</v>
      </c>
      <c r="B1023" s="313">
        <v>334.05999800000001</v>
      </c>
      <c r="C1023" s="313">
        <v>249.78999300000001</v>
      </c>
      <c r="D1023" s="345">
        <f t="shared" ref="D1023:E1023" si="1032">B1023/B1022-1</f>
        <v>5.0909878212435089E-4</v>
      </c>
      <c r="E1023" s="345">
        <f t="shared" si="1032"/>
        <v>5.6767371431529767E-3</v>
      </c>
      <c r="F1023" s="313"/>
      <c r="G1023" s="313"/>
      <c r="H1023" s="313"/>
      <c r="I1023" s="313"/>
      <c r="J1023" s="313"/>
      <c r="K1023" s="313"/>
      <c r="L1023" s="313"/>
      <c r="M1023" s="313"/>
      <c r="N1023" s="313"/>
      <c r="O1023" s="313"/>
      <c r="P1023" s="313"/>
      <c r="Q1023" s="313"/>
      <c r="R1023" s="313"/>
      <c r="S1023" s="313"/>
      <c r="T1023" s="313"/>
      <c r="U1023" s="313"/>
      <c r="V1023" s="313"/>
      <c r="W1023" s="313"/>
      <c r="X1023" s="313"/>
      <c r="Y1023" s="313"/>
      <c r="Z1023" s="313"/>
      <c r="AA1023" s="313"/>
    </row>
    <row r="1024" spans="1:27" ht="14.25" customHeight="1" x14ac:dyDescent="0.2">
      <c r="A1024" s="346">
        <v>44088</v>
      </c>
      <c r="B1024" s="313">
        <v>338.459991</v>
      </c>
      <c r="C1024" s="313">
        <v>253.89999399999999</v>
      </c>
      <c r="D1024" s="345">
        <f t="shared" ref="D1024:E1024" si="1033">B1024/B1023-1</f>
        <v>1.3171265719758463E-2</v>
      </c>
      <c r="E1024" s="345">
        <f t="shared" si="1033"/>
        <v>1.6453825674273448E-2</v>
      </c>
      <c r="F1024" s="313"/>
      <c r="G1024" s="313"/>
      <c r="H1024" s="313"/>
      <c r="I1024" s="313"/>
      <c r="J1024" s="313"/>
      <c r="K1024" s="313"/>
      <c r="L1024" s="313"/>
      <c r="M1024" s="313"/>
      <c r="N1024" s="313"/>
      <c r="O1024" s="313"/>
      <c r="P1024" s="313"/>
      <c r="Q1024" s="313"/>
      <c r="R1024" s="313"/>
      <c r="S1024" s="313"/>
      <c r="T1024" s="313"/>
      <c r="U1024" s="313"/>
      <c r="V1024" s="313"/>
      <c r="W1024" s="313"/>
      <c r="X1024" s="313"/>
      <c r="Y1024" s="313"/>
      <c r="Z1024" s="313"/>
      <c r="AA1024" s="313"/>
    </row>
    <row r="1025" spans="1:27" ht="14.25" customHeight="1" x14ac:dyDescent="0.2">
      <c r="A1025" s="346">
        <v>44089</v>
      </c>
      <c r="B1025" s="313">
        <v>340.17001299999998</v>
      </c>
      <c r="C1025" s="313">
        <v>263.75</v>
      </c>
      <c r="D1025" s="345">
        <f t="shared" ref="D1025:E1025" si="1034">B1025/B1024-1</f>
        <v>5.0523608268959741E-3</v>
      </c>
      <c r="E1025" s="345">
        <f t="shared" si="1034"/>
        <v>3.8794825650921405E-2</v>
      </c>
      <c r="F1025" s="313"/>
      <c r="G1025" s="313"/>
      <c r="H1025" s="313"/>
      <c r="I1025" s="313"/>
      <c r="J1025" s="313"/>
      <c r="K1025" s="313"/>
      <c r="L1025" s="313"/>
      <c r="M1025" s="313"/>
      <c r="N1025" s="313"/>
      <c r="O1025" s="313"/>
      <c r="P1025" s="313"/>
      <c r="Q1025" s="313"/>
      <c r="R1025" s="313"/>
      <c r="S1025" s="313"/>
      <c r="T1025" s="313"/>
      <c r="U1025" s="313"/>
      <c r="V1025" s="313"/>
      <c r="W1025" s="313"/>
      <c r="X1025" s="313"/>
      <c r="Y1025" s="313"/>
      <c r="Z1025" s="313"/>
      <c r="AA1025" s="313"/>
    </row>
    <row r="1026" spans="1:27" ht="14.25" customHeight="1" x14ac:dyDescent="0.2">
      <c r="A1026" s="346">
        <v>44090</v>
      </c>
      <c r="B1026" s="313">
        <v>338.82000699999998</v>
      </c>
      <c r="C1026" s="313">
        <v>263.290009</v>
      </c>
      <c r="D1026" s="345">
        <f t="shared" ref="D1026:E1026" si="1035">B1026/B1025-1</f>
        <v>-3.968621419901619E-3</v>
      </c>
      <c r="E1026" s="345">
        <f t="shared" si="1035"/>
        <v>-1.7440417061611591E-3</v>
      </c>
      <c r="F1026" s="313"/>
      <c r="G1026" s="313"/>
      <c r="H1026" s="313"/>
      <c r="I1026" s="313"/>
      <c r="J1026" s="313"/>
      <c r="K1026" s="313"/>
      <c r="L1026" s="313"/>
      <c r="M1026" s="313"/>
      <c r="N1026" s="313"/>
      <c r="O1026" s="313"/>
      <c r="P1026" s="313"/>
      <c r="Q1026" s="313"/>
      <c r="R1026" s="313"/>
      <c r="S1026" s="313"/>
      <c r="T1026" s="313"/>
      <c r="U1026" s="313"/>
      <c r="V1026" s="313"/>
      <c r="W1026" s="313"/>
      <c r="X1026" s="313"/>
      <c r="Y1026" s="313"/>
      <c r="Z1026" s="313"/>
      <c r="AA1026" s="313"/>
    </row>
    <row r="1027" spans="1:27" ht="14.25" customHeight="1" x14ac:dyDescent="0.2">
      <c r="A1027" s="346">
        <v>44091</v>
      </c>
      <c r="B1027" s="313">
        <v>335.83999599999999</v>
      </c>
      <c r="C1027" s="313">
        <v>250.729996</v>
      </c>
      <c r="D1027" s="345">
        <f t="shared" ref="D1027:E1027" si="1036">B1027/B1026-1</f>
        <v>-8.795262789779712E-3</v>
      </c>
      <c r="E1027" s="345">
        <f t="shared" si="1036"/>
        <v>-4.7704100310164033E-2</v>
      </c>
      <c r="F1027" s="313"/>
      <c r="G1027" s="313"/>
      <c r="H1027" s="313"/>
      <c r="I1027" s="313"/>
      <c r="J1027" s="313"/>
      <c r="K1027" s="313"/>
      <c r="L1027" s="313"/>
      <c r="M1027" s="313"/>
      <c r="N1027" s="313"/>
      <c r="O1027" s="313"/>
      <c r="P1027" s="313"/>
      <c r="Q1027" s="313"/>
      <c r="R1027" s="313"/>
      <c r="S1027" s="313"/>
      <c r="T1027" s="313"/>
      <c r="U1027" s="313"/>
      <c r="V1027" s="313"/>
      <c r="W1027" s="313"/>
      <c r="X1027" s="313"/>
      <c r="Y1027" s="313"/>
      <c r="Z1027" s="313"/>
      <c r="AA1027" s="313"/>
    </row>
    <row r="1028" spans="1:27" ht="14.25" customHeight="1" x14ac:dyDescent="0.2">
      <c r="A1028" s="346">
        <v>44092</v>
      </c>
      <c r="B1028" s="313">
        <v>330.64999399999999</v>
      </c>
      <c r="C1028" s="313">
        <v>245.5</v>
      </c>
      <c r="D1028" s="345">
        <f t="shared" ref="D1028:E1028" si="1037">B1028/B1027-1</f>
        <v>-1.5453793657143833E-2</v>
      </c>
      <c r="E1028" s="345">
        <f t="shared" si="1037"/>
        <v>-2.0859075832314833E-2</v>
      </c>
      <c r="F1028" s="313"/>
      <c r="G1028" s="313"/>
      <c r="H1028" s="313"/>
      <c r="I1028" s="313"/>
      <c r="J1028" s="313"/>
      <c r="K1028" s="313"/>
      <c r="L1028" s="313"/>
      <c r="M1028" s="313"/>
      <c r="N1028" s="313"/>
      <c r="O1028" s="313"/>
      <c r="P1028" s="313"/>
      <c r="Q1028" s="313"/>
      <c r="R1028" s="313"/>
      <c r="S1028" s="313"/>
      <c r="T1028" s="313"/>
      <c r="U1028" s="313"/>
      <c r="V1028" s="313"/>
      <c r="W1028" s="313"/>
      <c r="X1028" s="313"/>
      <c r="Y1028" s="313"/>
      <c r="Z1028" s="313"/>
      <c r="AA1028" s="313"/>
    </row>
    <row r="1029" spans="1:27" ht="14.25" customHeight="1" x14ac:dyDescent="0.2">
      <c r="A1029" s="346">
        <v>44095</v>
      </c>
      <c r="B1029" s="313">
        <v>326.97000100000002</v>
      </c>
      <c r="C1029" s="313">
        <v>240.970001</v>
      </c>
      <c r="D1029" s="345">
        <f t="shared" ref="D1029:E1029" si="1038">B1029/B1028-1</f>
        <v>-1.1129572257001064E-2</v>
      </c>
      <c r="E1029" s="345">
        <f t="shared" si="1038"/>
        <v>-1.8452134419551958E-2</v>
      </c>
      <c r="F1029" s="313"/>
      <c r="G1029" s="313"/>
      <c r="H1029" s="313"/>
      <c r="I1029" s="313"/>
      <c r="J1029" s="313"/>
      <c r="K1029" s="313"/>
      <c r="L1029" s="313"/>
      <c r="M1029" s="313"/>
      <c r="N1029" s="313"/>
      <c r="O1029" s="313"/>
      <c r="P1029" s="313"/>
      <c r="Q1029" s="313"/>
      <c r="R1029" s="313"/>
      <c r="S1029" s="313"/>
      <c r="T1029" s="313"/>
      <c r="U1029" s="313"/>
      <c r="V1029" s="313"/>
      <c r="W1029" s="313"/>
      <c r="X1029" s="313"/>
      <c r="Y1029" s="313"/>
      <c r="Z1029" s="313"/>
      <c r="AA1029" s="313"/>
    </row>
    <row r="1030" spans="1:27" ht="14.25" customHeight="1" x14ac:dyDescent="0.2">
      <c r="A1030" s="346">
        <v>44096</v>
      </c>
      <c r="B1030" s="313">
        <v>330.29998799999998</v>
      </c>
      <c r="C1030" s="313">
        <v>241.94000199999999</v>
      </c>
      <c r="D1030" s="345">
        <f t="shared" ref="D1030:E1030" si="1039">B1030/B1029-1</f>
        <v>1.0184380798897719E-2</v>
      </c>
      <c r="E1030" s="345">
        <f t="shared" si="1039"/>
        <v>4.0254014855567455E-3</v>
      </c>
      <c r="F1030" s="313"/>
      <c r="G1030" s="313"/>
      <c r="H1030" s="313"/>
      <c r="I1030" s="313"/>
      <c r="J1030" s="313"/>
      <c r="K1030" s="313"/>
      <c r="L1030" s="313"/>
      <c r="M1030" s="313"/>
      <c r="N1030" s="313"/>
      <c r="O1030" s="313"/>
      <c r="P1030" s="313"/>
      <c r="Q1030" s="313"/>
      <c r="R1030" s="313"/>
      <c r="S1030" s="313"/>
      <c r="T1030" s="313"/>
      <c r="U1030" s="313"/>
      <c r="V1030" s="313"/>
      <c r="W1030" s="313"/>
      <c r="X1030" s="313"/>
      <c r="Y1030" s="313"/>
      <c r="Z1030" s="313"/>
      <c r="AA1030" s="313"/>
    </row>
    <row r="1031" spans="1:27" ht="14.25" customHeight="1" x14ac:dyDescent="0.2">
      <c r="A1031" s="346">
        <v>44097</v>
      </c>
      <c r="B1031" s="313">
        <v>322.64001500000001</v>
      </c>
      <c r="C1031" s="313">
        <v>235.71000699999999</v>
      </c>
      <c r="D1031" s="345">
        <f t="shared" ref="D1031:E1031" si="1040">B1031/B1030-1</f>
        <v>-2.3190957548566371E-2</v>
      </c>
      <c r="E1031" s="345">
        <f t="shared" si="1040"/>
        <v>-2.575016511738315E-2</v>
      </c>
      <c r="F1031" s="313"/>
      <c r="G1031" s="313"/>
      <c r="H1031" s="313"/>
      <c r="I1031" s="313"/>
      <c r="J1031" s="313"/>
      <c r="K1031" s="313"/>
      <c r="L1031" s="313"/>
      <c r="M1031" s="313"/>
      <c r="N1031" s="313"/>
      <c r="O1031" s="313"/>
      <c r="P1031" s="313"/>
      <c r="Q1031" s="313"/>
      <c r="R1031" s="313"/>
      <c r="S1031" s="313"/>
      <c r="T1031" s="313"/>
      <c r="U1031" s="313"/>
      <c r="V1031" s="313"/>
      <c r="W1031" s="313"/>
      <c r="X1031" s="313"/>
      <c r="Y1031" s="313"/>
      <c r="Z1031" s="313"/>
      <c r="AA1031" s="313"/>
    </row>
    <row r="1032" spans="1:27" ht="14.25" customHeight="1" x14ac:dyDescent="0.2">
      <c r="A1032" s="346">
        <v>44098</v>
      </c>
      <c r="B1032" s="313">
        <v>323.5</v>
      </c>
      <c r="C1032" s="313">
        <v>236.179993</v>
      </c>
      <c r="D1032" s="345">
        <f t="shared" ref="D1032:E1032" si="1041">B1032/B1031-1</f>
        <v>2.6654629308766609E-3</v>
      </c>
      <c r="E1032" s="345">
        <f t="shared" si="1041"/>
        <v>1.9939161938085093E-3</v>
      </c>
      <c r="F1032" s="313"/>
      <c r="G1032" s="313"/>
      <c r="H1032" s="313"/>
      <c r="I1032" s="313"/>
      <c r="J1032" s="313"/>
      <c r="K1032" s="313"/>
      <c r="L1032" s="313"/>
      <c r="M1032" s="313"/>
      <c r="N1032" s="313"/>
      <c r="O1032" s="313"/>
      <c r="P1032" s="313"/>
      <c r="Q1032" s="313"/>
      <c r="R1032" s="313"/>
      <c r="S1032" s="313"/>
      <c r="T1032" s="313"/>
      <c r="U1032" s="313"/>
      <c r="V1032" s="313"/>
      <c r="W1032" s="313"/>
      <c r="X1032" s="313"/>
      <c r="Y1032" s="313"/>
      <c r="Z1032" s="313"/>
      <c r="AA1032" s="313"/>
    </row>
    <row r="1033" spans="1:27" ht="14.25" customHeight="1" x14ac:dyDescent="0.2">
      <c r="A1033" s="346">
        <v>44099</v>
      </c>
      <c r="B1033" s="313">
        <v>328.73001099999999</v>
      </c>
      <c r="C1033" s="313">
        <v>239.80999800000001</v>
      </c>
      <c r="D1033" s="345">
        <f t="shared" ref="D1033:E1033" si="1042">B1033/B1032-1</f>
        <v>1.616695826893344E-2</v>
      </c>
      <c r="E1033" s="345">
        <f t="shared" si="1042"/>
        <v>1.5369654956336687E-2</v>
      </c>
      <c r="F1033" s="313"/>
      <c r="G1033" s="313"/>
      <c r="H1033" s="313"/>
      <c r="I1033" s="313"/>
      <c r="J1033" s="313"/>
      <c r="K1033" s="313"/>
      <c r="L1033" s="313"/>
      <c r="M1033" s="313"/>
      <c r="N1033" s="313"/>
      <c r="O1033" s="313"/>
      <c r="P1033" s="313"/>
      <c r="Q1033" s="313"/>
      <c r="R1033" s="313"/>
      <c r="S1033" s="313"/>
      <c r="T1033" s="313"/>
      <c r="U1033" s="313"/>
      <c r="V1033" s="313"/>
      <c r="W1033" s="313"/>
      <c r="X1033" s="313"/>
      <c r="Y1033" s="313"/>
      <c r="Z1033" s="313"/>
      <c r="AA1033" s="313"/>
    </row>
    <row r="1034" spans="1:27" ht="14.25" customHeight="1" x14ac:dyDescent="0.2">
      <c r="A1034" s="346">
        <v>44102</v>
      </c>
      <c r="B1034" s="313">
        <v>334.19000199999999</v>
      </c>
      <c r="C1034" s="313">
        <v>240</v>
      </c>
      <c r="D1034" s="345">
        <f t="shared" ref="D1034:E1034" si="1043">B1034/B1033-1</f>
        <v>1.6609347541438835E-2</v>
      </c>
      <c r="E1034" s="345">
        <f t="shared" si="1043"/>
        <v>7.9230224588044962E-4</v>
      </c>
      <c r="F1034" s="313"/>
      <c r="G1034" s="313"/>
      <c r="H1034" s="313"/>
      <c r="I1034" s="313"/>
      <c r="J1034" s="313"/>
      <c r="K1034" s="313"/>
      <c r="L1034" s="313"/>
      <c r="M1034" s="313"/>
      <c r="N1034" s="313"/>
      <c r="O1034" s="313"/>
      <c r="P1034" s="313"/>
      <c r="Q1034" s="313"/>
      <c r="R1034" s="313"/>
      <c r="S1034" s="313"/>
      <c r="T1034" s="313"/>
      <c r="U1034" s="313"/>
      <c r="V1034" s="313"/>
      <c r="W1034" s="313"/>
      <c r="X1034" s="313"/>
      <c r="Y1034" s="313"/>
      <c r="Z1034" s="313"/>
      <c r="AA1034" s="313"/>
    </row>
    <row r="1035" spans="1:27" ht="14.25" customHeight="1" x14ac:dyDescent="0.2">
      <c r="A1035" s="346">
        <v>44103</v>
      </c>
      <c r="B1035" s="313">
        <v>332.36999500000002</v>
      </c>
      <c r="C1035" s="313">
        <v>240.11999499999999</v>
      </c>
      <c r="D1035" s="345">
        <f t="shared" ref="D1035:E1035" si="1044">B1035/B1034-1</f>
        <v>-5.4460246838862192E-3</v>
      </c>
      <c r="E1035" s="345">
        <f t="shared" si="1044"/>
        <v>4.999791666666642E-4</v>
      </c>
      <c r="F1035" s="313"/>
      <c r="G1035" s="313"/>
      <c r="H1035" s="313"/>
      <c r="I1035" s="313"/>
      <c r="J1035" s="313"/>
      <c r="K1035" s="313"/>
      <c r="L1035" s="313"/>
      <c r="M1035" s="313"/>
      <c r="N1035" s="313"/>
      <c r="O1035" s="313"/>
      <c r="P1035" s="313"/>
      <c r="Q1035" s="313"/>
      <c r="R1035" s="313"/>
      <c r="S1035" s="313"/>
      <c r="T1035" s="313"/>
      <c r="U1035" s="313"/>
      <c r="V1035" s="313"/>
      <c r="W1035" s="313"/>
      <c r="X1035" s="313"/>
      <c r="Y1035" s="313"/>
      <c r="Z1035" s="313"/>
      <c r="AA1035" s="313"/>
    </row>
    <row r="1036" spans="1:27" ht="14.25" customHeight="1" x14ac:dyDescent="0.2">
      <c r="A1036" s="346">
        <v>44104</v>
      </c>
      <c r="B1036" s="313">
        <v>334.89001500000001</v>
      </c>
      <c r="C1036" s="313">
        <v>241.729996</v>
      </c>
      <c r="D1036" s="345">
        <f t="shared" ref="D1036:E1036" si="1045">B1036/B1035-1</f>
        <v>7.5819720128467161E-3</v>
      </c>
      <c r="E1036" s="345">
        <f t="shared" si="1045"/>
        <v>6.7049851471137067E-3</v>
      </c>
      <c r="F1036" s="313"/>
      <c r="G1036" s="313"/>
      <c r="H1036" s="313"/>
      <c r="I1036" s="313"/>
      <c r="J1036" s="313"/>
      <c r="K1036" s="313"/>
      <c r="L1036" s="313"/>
      <c r="M1036" s="313"/>
      <c r="N1036" s="313"/>
      <c r="O1036" s="313"/>
      <c r="P1036" s="313"/>
      <c r="Q1036" s="313"/>
      <c r="R1036" s="313"/>
      <c r="S1036" s="313"/>
      <c r="T1036" s="313"/>
      <c r="U1036" s="313"/>
      <c r="V1036" s="313"/>
      <c r="W1036" s="313"/>
      <c r="X1036" s="313"/>
      <c r="Y1036" s="313"/>
      <c r="Z1036" s="313"/>
      <c r="AA1036" s="313"/>
    </row>
    <row r="1037" spans="1:27" ht="14.25" customHeight="1" x14ac:dyDescent="0.2">
      <c r="A1037" s="346">
        <v>44105</v>
      </c>
      <c r="B1037" s="313">
        <v>337.040009</v>
      </c>
      <c r="C1037" s="313">
        <v>242.14999399999999</v>
      </c>
      <c r="D1037" s="345">
        <f t="shared" ref="D1037:E1037" si="1046">B1037/B1036-1</f>
        <v>6.4200003096539504E-3</v>
      </c>
      <c r="E1037" s="345">
        <f t="shared" si="1046"/>
        <v>1.737467451081276E-3</v>
      </c>
      <c r="F1037" s="313"/>
      <c r="G1037" s="313"/>
      <c r="H1037" s="313"/>
      <c r="I1037" s="313"/>
      <c r="J1037" s="313"/>
      <c r="K1037" s="313"/>
      <c r="L1037" s="313"/>
      <c r="M1037" s="313"/>
      <c r="N1037" s="313"/>
      <c r="O1037" s="313"/>
      <c r="P1037" s="313"/>
      <c r="Q1037" s="313"/>
      <c r="R1037" s="313"/>
      <c r="S1037" s="313"/>
      <c r="T1037" s="313"/>
      <c r="U1037" s="313"/>
      <c r="V1037" s="313"/>
      <c r="W1037" s="313"/>
      <c r="X1037" s="313"/>
      <c r="Y1037" s="313"/>
      <c r="Z1037" s="313"/>
      <c r="AA1037" s="313"/>
    </row>
    <row r="1038" spans="1:27" ht="14.25" customHeight="1" x14ac:dyDescent="0.2">
      <c r="A1038" s="346">
        <v>44106</v>
      </c>
      <c r="B1038" s="313">
        <v>333.83999599999999</v>
      </c>
      <c r="C1038" s="313">
        <v>243.300003</v>
      </c>
      <c r="D1038" s="345">
        <f t="shared" ref="D1038:E1038" si="1047">B1038/B1037-1</f>
        <v>-9.494460344617428E-3</v>
      </c>
      <c r="E1038" s="345">
        <f t="shared" si="1047"/>
        <v>4.7491597294857524E-3</v>
      </c>
      <c r="F1038" s="313"/>
      <c r="G1038" s="313"/>
      <c r="H1038" s="313"/>
      <c r="I1038" s="313"/>
      <c r="J1038" s="313"/>
      <c r="K1038" s="313"/>
      <c r="L1038" s="313"/>
      <c r="M1038" s="313"/>
      <c r="N1038" s="313"/>
      <c r="O1038" s="313"/>
      <c r="P1038" s="313"/>
      <c r="Q1038" s="313"/>
      <c r="R1038" s="313"/>
      <c r="S1038" s="313"/>
      <c r="T1038" s="313"/>
      <c r="U1038" s="313"/>
      <c r="V1038" s="313"/>
      <c r="W1038" s="313"/>
      <c r="X1038" s="313"/>
      <c r="Y1038" s="313"/>
      <c r="Z1038" s="313"/>
      <c r="AA1038" s="313"/>
    </row>
    <row r="1039" spans="1:27" ht="14.25" customHeight="1" x14ac:dyDescent="0.2">
      <c r="A1039" s="346">
        <v>44109</v>
      </c>
      <c r="B1039" s="313">
        <v>339.76001000000002</v>
      </c>
      <c r="C1039" s="313">
        <v>243.33000200000001</v>
      </c>
      <c r="D1039" s="345">
        <f t="shared" ref="D1039:E1039" si="1048">B1039/B1038-1</f>
        <v>1.7733087919159951E-2</v>
      </c>
      <c r="E1039" s="345">
        <f t="shared" si="1048"/>
        <v>1.2330045059649741E-4</v>
      </c>
      <c r="F1039" s="313"/>
      <c r="G1039" s="313"/>
      <c r="H1039" s="313"/>
      <c r="I1039" s="313"/>
      <c r="J1039" s="313"/>
      <c r="K1039" s="313"/>
      <c r="L1039" s="313"/>
      <c r="M1039" s="313"/>
      <c r="N1039" s="313"/>
      <c r="O1039" s="313"/>
      <c r="P1039" s="313"/>
      <c r="Q1039" s="313"/>
      <c r="R1039" s="313"/>
      <c r="S1039" s="313"/>
      <c r="T1039" s="313"/>
      <c r="U1039" s="313"/>
      <c r="V1039" s="313"/>
      <c r="W1039" s="313"/>
      <c r="X1039" s="313"/>
      <c r="Y1039" s="313"/>
      <c r="Z1039" s="313"/>
      <c r="AA1039" s="313"/>
    </row>
    <row r="1040" spans="1:27" ht="14.25" customHeight="1" x14ac:dyDescent="0.2">
      <c r="A1040" s="346">
        <v>44110</v>
      </c>
      <c r="B1040" s="313">
        <v>334.92999300000002</v>
      </c>
      <c r="C1040" s="313">
        <v>241.009995</v>
      </c>
      <c r="D1040" s="345">
        <f t="shared" ref="D1040:E1040" si="1049">B1040/B1039-1</f>
        <v>-1.4215966734872687E-2</v>
      </c>
      <c r="E1040" s="345">
        <f t="shared" si="1049"/>
        <v>-9.5344058724003977E-3</v>
      </c>
      <c r="F1040" s="313"/>
      <c r="G1040" s="313"/>
      <c r="H1040" s="313"/>
      <c r="I1040" s="313"/>
      <c r="J1040" s="313"/>
      <c r="K1040" s="313"/>
      <c r="L1040" s="313"/>
      <c r="M1040" s="313"/>
      <c r="N1040" s="313"/>
      <c r="O1040" s="313"/>
      <c r="P1040" s="313"/>
      <c r="Q1040" s="313"/>
      <c r="R1040" s="313"/>
      <c r="S1040" s="313"/>
      <c r="T1040" s="313"/>
      <c r="U1040" s="313"/>
      <c r="V1040" s="313"/>
      <c r="W1040" s="313"/>
      <c r="X1040" s="313"/>
      <c r="Y1040" s="313"/>
      <c r="Z1040" s="313"/>
      <c r="AA1040" s="313"/>
    </row>
    <row r="1041" spans="1:27" ht="14.25" customHeight="1" x14ac:dyDescent="0.2">
      <c r="A1041" s="346">
        <v>44111</v>
      </c>
      <c r="B1041" s="313">
        <v>340.76001000000002</v>
      </c>
      <c r="C1041" s="313">
        <v>241.770004</v>
      </c>
      <c r="D1041" s="345">
        <f t="shared" ref="D1041:E1041" si="1050">B1041/B1040-1</f>
        <v>1.7406673399954276E-2</v>
      </c>
      <c r="E1041" s="345">
        <f t="shared" si="1050"/>
        <v>3.1534335329121976E-3</v>
      </c>
      <c r="F1041" s="313"/>
      <c r="G1041" s="313"/>
      <c r="H1041" s="313"/>
      <c r="I1041" s="313"/>
      <c r="J1041" s="313"/>
      <c r="K1041" s="313"/>
      <c r="L1041" s="313"/>
      <c r="M1041" s="313"/>
      <c r="N1041" s="313"/>
      <c r="O1041" s="313"/>
      <c r="P1041" s="313"/>
      <c r="Q1041" s="313"/>
      <c r="R1041" s="313"/>
      <c r="S1041" s="313"/>
      <c r="T1041" s="313"/>
      <c r="U1041" s="313"/>
      <c r="V1041" s="313"/>
      <c r="W1041" s="313"/>
      <c r="X1041" s="313"/>
      <c r="Y1041" s="313"/>
      <c r="Z1041" s="313"/>
      <c r="AA1041" s="313"/>
    </row>
    <row r="1042" spans="1:27" ht="14.25" customHeight="1" x14ac:dyDescent="0.2">
      <c r="A1042" s="346">
        <v>44112</v>
      </c>
      <c r="B1042" s="313">
        <v>343.77999899999998</v>
      </c>
      <c r="C1042" s="313">
        <v>243.55999800000001</v>
      </c>
      <c r="D1042" s="345">
        <f t="shared" ref="D1042:E1042" si="1051">B1042/B1041-1</f>
        <v>8.8625100110777399E-3</v>
      </c>
      <c r="E1042" s="345">
        <f t="shared" si="1051"/>
        <v>7.4037058790801247E-3</v>
      </c>
      <c r="F1042" s="313"/>
      <c r="G1042" s="313"/>
      <c r="H1042" s="313"/>
      <c r="I1042" s="313"/>
      <c r="J1042" s="313"/>
      <c r="K1042" s="313"/>
      <c r="L1042" s="313"/>
      <c r="M1042" s="313"/>
      <c r="N1042" s="313"/>
      <c r="O1042" s="313"/>
      <c r="P1042" s="313"/>
      <c r="Q1042" s="313"/>
      <c r="R1042" s="313"/>
      <c r="S1042" s="313"/>
      <c r="T1042" s="313"/>
      <c r="U1042" s="313"/>
      <c r="V1042" s="313"/>
      <c r="W1042" s="313"/>
      <c r="X1042" s="313"/>
      <c r="Y1042" s="313"/>
      <c r="Z1042" s="313"/>
      <c r="AA1042" s="313"/>
    </row>
    <row r="1043" spans="1:27" ht="14.25" customHeight="1" x14ac:dyDescent="0.2">
      <c r="A1043" s="346">
        <v>44113</v>
      </c>
      <c r="B1043" s="313">
        <v>346.85000600000001</v>
      </c>
      <c r="C1043" s="313">
        <v>244.679993</v>
      </c>
      <c r="D1043" s="345">
        <f t="shared" ref="D1043:E1043" si="1052">B1043/B1042-1</f>
        <v>8.9301501219680723E-3</v>
      </c>
      <c r="E1043" s="345">
        <f t="shared" si="1052"/>
        <v>4.598435741488105E-3</v>
      </c>
      <c r="F1043" s="313"/>
      <c r="G1043" s="313"/>
      <c r="H1043" s="313"/>
      <c r="I1043" s="313"/>
      <c r="J1043" s="313"/>
      <c r="K1043" s="313"/>
      <c r="L1043" s="313"/>
      <c r="M1043" s="313"/>
      <c r="N1043" s="313"/>
      <c r="O1043" s="313"/>
      <c r="P1043" s="313"/>
      <c r="Q1043" s="313"/>
      <c r="R1043" s="313"/>
      <c r="S1043" s="313"/>
      <c r="T1043" s="313"/>
      <c r="U1043" s="313"/>
      <c r="V1043" s="313"/>
      <c r="W1043" s="313"/>
      <c r="X1043" s="313"/>
      <c r="Y1043" s="313"/>
      <c r="Z1043" s="313"/>
      <c r="AA1043" s="313"/>
    </row>
    <row r="1044" spans="1:27" ht="14.25" customHeight="1" x14ac:dyDescent="0.2">
      <c r="A1044" s="346">
        <v>44116</v>
      </c>
      <c r="B1044" s="313">
        <v>352.42999300000002</v>
      </c>
      <c r="C1044" s="313">
        <v>246.38000500000001</v>
      </c>
      <c r="D1044" s="345">
        <f t="shared" ref="D1044:E1044" si="1053">B1044/B1043-1</f>
        <v>1.6087608197994374E-2</v>
      </c>
      <c r="E1044" s="345">
        <f t="shared" si="1053"/>
        <v>6.9478994958120932E-3</v>
      </c>
      <c r="F1044" s="313"/>
      <c r="G1044" s="313"/>
      <c r="H1044" s="313"/>
      <c r="I1044" s="313"/>
      <c r="J1044" s="313"/>
      <c r="K1044" s="313"/>
      <c r="L1044" s="313"/>
      <c r="M1044" s="313"/>
      <c r="N1044" s="313"/>
      <c r="O1044" s="313"/>
      <c r="P1044" s="313"/>
      <c r="Q1044" s="313"/>
      <c r="R1044" s="313"/>
      <c r="S1044" s="313"/>
      <c r="T1044" s="313"/>
      <c r="U1044" s="313"/>
      <c r="V1044" s="313"/>
      <c r="W1044" s="313"/>
      <c r="X1044" s="313"/>
      <c r="Y1044" s="313"/>
      <c r="Z1044" s="313"/>
      <c r="AA1044" s="313"/>
    </row>
    <row r="1045" spans="1:27" ht="14.25" customHeight="1" x14ac:dyDescent="0.2">
      <c r="A1045" s="346">
        <v>44117</v>
      </c>
      <c r="B1045" s="313">
        <v>350.13000499999998</v>
      </c>
      <c r="C1045" s="313">
        <v>242.41000399999999</v>
      </c>
      <c r="D1045" s="345">
        <f t="shared" ref="D1045:E1045" si="1054">B1045/B1044-1</f>
        <v>-6.5260847421690915E-3</v>
      </c>
      <c r="E1045" s="345">
        <f t="shared" si="1054"/>
        <v>-1.6113324618205249E-2</v>
      </c>
      <c r="F1045" s="313"/>
      <c r="G1045" s="313"/>
      <c r="H1045" s="313"/>
      <c r="I1045" s="313"/>
      <c r="J1045" s="313"/>
      <c r="K1045" s="313"/>
      <c r="L1045" s="313"/>
      <c r="M1045" s="313"/>
      <c r="N1045" s="313"/>
      <c r="O1045" s="313"/>
      <c r="P1045" s="313"/>
      <c r="Q1045" s="313"/>
      <c r="R1045" s="313"/>
      <c r="S1045" s="313"/>
      <c r="T1045" s="313"/>
      <c r="U1045" s="313"/>
      <c r="V1045" s="313"/>
      <c r="W1045" s="313"/>
      <c r="X1045" s="313"/>
      <c r="Y1045" s="313"/>
      <c r="Z1045" s="313"/>
      <c r="AA1045" s="313"/>
    </row>
    <row r="1046" spans="1:27" ht="14.25" customHeight="1" x14ac:dyDescent="0.2">
      <c r="A1046" s="346">
        <v>44118</v>
      </c>
      <c r="B1046" s="313">
        <v>347.92999300000002</v>
      </c>
      <c r="C1046" s="313">
        <v>238.5</v>
      </c>
      <c r="D1046" s="345">
        <f t="shared" ref="D1046:E1046" si="1055">B1046/B1045-1</f>
        <v>-6.2834146419412651E-3</v>
      </c>
      <c r="E1046" s="345">
        <f t="shared" si="1055"/>
        <v>-1.6129713854548644E-2</v>
      </c>
      <c r="F1046" s="313"/>
      <c r="G1046" s="313"/>
      <c r="H1046" s="313"/>
      <c r="I1046" s="313"/>
      <c r="J1046" s="313"/>
      <c r="K1046" s="313"/>
      <c r="L1046" s="313"/>
      <c r="M1046" s="313"/>
      <c r="N1046" s="313"/>
      <c r="O1046" s="313"/>
      <c r="P1046" s="313"/>
      <c r="Q1046" s="313"/>
      <c r="R1046" s="313"/>
      <c r="S1046" s="313"/>
      <c r="T1046" s="313"/>
      <c r="U1046" s="313"/>
      <c r="V1046" s="313"/>
      <c r="W1046" s="313"/>
      <c r="X1046" s="313"/>
      <c r="Y1046" s="313"/>
      <c r="Z1046" s="313"/>
      <c r="AA1046" s="313"/>
    </row>
    <row r="1047" spans="1:27" ht="14.25" customHeight="1" x14ac:dyDescent="0.2">
      <c r="A1047" s="346">
        <v>44119</v>
      </c>
      <c r="B1047" s="313">
        <v>347.5</v>
      </c>
      <c r="C1047" s="313">
        <v>239.60000600000001</v>
      </c>
      <c r="D1047" s="345">
        <f t="shared" ref="D1047:E1047" si="1056">B1047/B1046-1</f>
        <v>-1.2358606864917299E-3</v>
      </c>
      <c r="E1047" s="345">
        <f t="shared" si="1056"/>
        <v>4.6121844863731276E-3</v>
      </c>
      <c r="F1047" s="313"/>
      <c r="G1047" s="313"/>
      <c r="H1047" s="313"/>
      <c r="I1047" s="313"/>
      <c r="J1047" s="313"/>
      <c r="K1047" s="313"/>
      <c r="L1047" s="313"/>
      <c r="M1047" s="313"/>
      <c r="N1047" s="313"/>
      <c r="O1047" s="313"/>
      <c r="P1047" s="313"/>
      <c r="Q1047" s="313"/>
      <c r="R1047" s="313"/>
      <c r="S1047" s="313"/>
      <c r="T1047" s="313"/>
      <c r="U1047" s="313"/>
      <c r="V1047" s="313"/>
      <c r="W1047" s="313"/>
      <c r="X1047" s="313"/>
      <c r="Y1047" s="313"/>
      <c r="Z1047" s="313"/>
      <c r="AA1047" s="313"/>
    </row>
    <row r="1048" spans="1:27" ht="14.25" customHeight="1" x14ac:dyDescent="0.2">
      <c r="A1048" s="346">
        <v>44120</v>
      </c>
      <c r="B1048" s="313">
        <v>347.290009</v>
      </c>
      <c r="C1048" s="313">
        <v>242.720001</v>
      </c>
      <c r="D1048" s="345">
        <f t="shared" ref="D1048:E1048" si="1057">B1048/B1047-1</f>
        <v>-6.0429064748201977E-4</v>
      </c>
      <c r="E1048" s="345">
        <f t="shared" si="1057"/>
        <v>1.3021681643864413E-2</v>
      </c>
      <c r="F1048" s="313"/>
      <c r="G1048" s="313"/>
      <c r="H1048" s="313"/>
      <c r="I1048" s="313"/>
      <c r="J1048" s="313"/>
      <c r="K1048" s="313"/>
      <c r="L1048" s="313"/>
      <c r="M1048" s="313"/>
      <c r="N1048" s="313"/>
      <c r="O1048" s="313"/>
      <c r="P1048" s="313"/>
      <c r="Q1048" s="313"/>
      <c r="R1048" s="313"/>
      <c r="S1048" s="313"/>
      <c r="T1048" s="313"/>
      <c r="U1048" s="313"/>
      <c r="V1048" s="313"/>
      <c r="W1048" s="313"/>
      <c r="X1048" s="313"/>
      <c r="Y1048" s="313"/>
      <c r="Z1048" s="313"/>
      <c r="AA1048" s="313"/>
    </row>
    <row r="1049" spans="1:27" ht="14.25" customHeight="1" x14ac:dyDescent="0.2">
      <c r="A1049" s="346">
        <v>44123</v>
      </c>
      <c r="B1049" s="313">
        <v>342.01001000000002</v>
      </c>
      <c r="C1049" s="313">
        <v>239.60000600000001</v>
      </c>
      <c r="D1049" s="345">
        <f t="shared" ref="D1049:E1049" si="1058">B1049/B1048-1</f>
        <v>-1.5203429016583003E-2</v>
      </c>
      <c r="E1049" s="345">
        <f t="shared" si="1058"/>
        <v>-1.285429707953889E-2</v>
      </c>
      <c r="F1049" s="313"/>
      <c r="G1049" s="313"/>
      <c r="H1049" s="313"/>
      <c r="I1049" s="313"/>
      <c r="J1049" s="313"/>
      <c r="K1049" s="313"/>
      <c r="L1049" s="313"/>
      <c r="M1049" s="313"/>
      <c r="N1049" s="313"/>
      <c r="O1049" s="313"/>
      <c r="P1049" s="313"/>
      <c r="Q1049" s="313"/>
      <c r="R1049" s="313"/>
      <c r="S1049" s="313"/>
      <c r="T1049" s="313"/>
      <c r="U1049" s="313"/>
      <c r="V1049" s="313"/>
      <c r="W1049" s="313"/>
      <c r="X1049" s="313"/>
      <c r="Y1049" s="313"/>
      <c r="Z1049" s="313"/>
      <c r="AA1049" s="313"/>
    </row>
    <row r="1050" spans="1:27" ht="14.25" customHeight="1" x14ac:dyDescent="0.2">
      <c r="A1050" s="346">
        <v>44124</v>
      </c>
      <c r="B1050" s="313">
        <v>343.38000499999998</v>
      </c>
      <c r="C1050" s="313">
        <v>243.800003</v>
      </c>
      <c r="D1050" s="345">
        <f t="shared" ref="D1050:E1050" si="1059">B1050/B1049-1</f>
        <v>4.0057160900055511E-3</v>
      </c>
      <c r="E1050" s="345">
        <f t="shared" si="1059"/>
        <v>1.7529202399101829E-2</v>
      </c>
      <c r="F1050" s="313"/>
      <c r="G1050" s="313"/>
      <c r="H1050" s="313"/>
      <c r="I1050" s="313"/>
      <c r="J1050" s="313"/>
      <c r="K1050" s="313"/>
      <c r="L1050" s="313"/>
      <c r="M1050" s="313"/>
      <c r="N1050" s="313"/>
      <c r="O1050" s="313"/>
      <c r="P1050" s="313"/>
      <c r="Q1050" s="313"/>
      <c r="R1050" s="313"/>
      <c r="S1050" s="313"/>
      <c r="T1050" s="313"/>
      <c r="U1050" s="313"/>
      <c r="V1050" s="313"/>
      <c r="W1050" s="313"/>
      <c r="X1050" s="313"/>
      <c r="Y1050" s="313"/>
      <c r="Z1050" s="313"/>
      <c r="AA1050" s="313"/>
    </row>
    <row r="1051" spans="1:27" ht="14.25" customHeight="1" x14ac:dyDescent="0.2">
      <c r="A1051" s="346">
        <v>44125</v>
      </c>
      <c r="B1051" s="313">
        <v>342.73001099999999</v>
      </c>
      <c r="C1051" s="313">
        <v>241.740005</v>
      </c>
      <c r="D1051" s="345">
        <f t="shared" ref="D1051:E1051" si="1060">B1051/B1050-1</f>
        <v>-1.8929290888676231E-3</v>
      </c>
      <c r="E1051" s="345">
        <f t="shared" si="1060"/>
        <v>-8.4495405030819981E-3</v>
      </c>
      <c r="F1051" s="313"/>
      <c r="G1051" s="313"/>
      <c r="H1051" s="313"/>
      <c r="I1051" s="313"/>
      <c r="J1051" s="313"/>
      <c r="K1051" s="313"/>
      <c r="L1051" s="313"/>
      <c r="M1051" s="313"/>
      <c r="N1051" s="313"/>
      <c r="O1051" s="313"/>
      <c r="P1051" s="313"/>
      <c r="Q1051" s="313"/>
      <c r="R1051" s="313"/>
      <c r="S1051" s="313"/>
      <c r="T1051" s="313"/>
      <c r="U1051" s="313"/>
      <c r="V1051" s="313"/>
      <c r="W1051" s="313"/>
      <c r="X1051" s="313"/>
      <c r="Y1051" s="313"/>
      <c r="Z1051" s="313"/>
      <c r="AA1051" s="313"/>
    </row>
    <row r="1052" spans="1:27" ht="14.25" customHeight="1" x14ac:dyDescent="0.2">
      <c r="A1052" s="346">
        <v>44126</v>
      </c>
      <c r="B1052" s="313">
        <v>344.60998499999999</v>
      </c>
      <c r="C1052" s="313">
        <v>235.770004</v>
      </c>
      <c r="D1052" s="345">
        <f t="shared" ref="D1052:E1052" si="1061">B1052/B1051-1</f>
        <v>5.48529145292731E-3</v>
      </c>
      <c r="E1052" s="345">
        <f t="shared" si="1061"/>
        <v>-2.4695957956979431E-2</v>
      </c>
      <c r="F1052" s="313"/>
      <c r="G1052" s="313"/>
      <c r="H1052" s="313"/>
      <c r="I1052" s="313"/>
      <c r="J1052" s="313"/>
      <c r="K1052" s="313"/>
      <c r="L1052" s="313"/>
      <c r="M1052" s="313"/>
      <c r="N1052" s="313"/>
      <c r="O1052" s="313"/>
      <c r="P1052" s="313"/>
      <c r="Q1052" s="313"/>
      <c r="R1052" s="313"/>
      <c r="S1052" s="313"/>
      <c r="T1052" s="313"/>
      <c r="U1052" s="313"/>
      <c r="V1052" s="313"/>
      <c r="W1052" s="313"/>
      <c r="X1052" s="313"/>
      <c r="Y1052" s="313"/>
      <c r="Z1052" s="313"/>
      <c r="AA1052" s="313"/>
    </row>
    <row r="1053" spans="1:27" ht="14.25" customHeight="1" x14ac:dyDescent="0.2">
      <c r="A1053" s="346">
        <v>44127</v>
      </c>
      <c r="B1053" s="313">
        <v>345.77999899999998</v>
      </c>
      <c r="C1053" s="313">
        <v>237.720001</v>
      </c>
      <c r="D1053" s="345">
        <f t="shared" ref="D1053:E1053" si="1062">B1053/B1052-1</f>
        <v>3.3951831082317252E-3</v>
      </c>
      <c r="E1053" s="345">
        <f t="shared" si="1062"/>
        <v>8.2707594983117971E-3</v>
      </c>
      <c r="F1053" s="313"/>
      <c r="G1053" s="313"/>
      <c r="H1053" s="313"/>
      <c r="I1053" s="313"/>
      <c r="J1053" s="313"/>
      <c r="K1053" s="313"/>
      <c r="L1053" s="313"/>
      <c r="M1053" s="313"/>
      <c r="N1053" s="313"/>
      <c r="O1053" s="313"/>
      <c r="P1053" s="313"/>
      <c r="Q1053" s="313"/>
      <c r="R1053" s="313"/>
      <c r="S1053" s="313"/>
      <c r="T1053" s="313"/>
      <c r="U1053" s="313"/>
      <c r="V1053" s="313"/>
      <c r="W1053" s="313"/>
      <c r="X1053" s="313"/>
      <c r="Y1053" s="313"/>
      <c r="Z1053" s="313"/>
      <c r="AA1053" s="313"/>
    </row>
    <row r="1054" spans="1:27" ht="14.25" customHeight="1" x14ac:dyDescent="0.2">
      <c r="A1054" s="346">
        <v>44130</v>
      </c>
      <c r="B1054" s="313">
        <v>339.39001500000001</v>
      </c>
      <c r="C1054" s="313">
        <v>237.11999499999999</v>
      </c>
      <c r="D1054" s="345">
        <f t="shared" ref="D1054:E1054" si="1063">B1054/B1053-1</f>
        <v>-1.8479912136271315E-2</v>
      </c>
      <c r="E1054" s="345">
        <f t="shared" si="1063"/>
        <v>-2.5240030181558071E-3</v>
      </c>
      <c r="F1054" s="313"/>
      <c r="G1054" s="313"/>
      <c r="H1054" s="313"/>
      <c r="I1054" s="313"/>
      <c r="J1054" s="313"/>
      <c r="K1054" s="313"/>
      <c r="L1054" s="313"/>
      <c r="M1054" s="313"/>
      <c r="N1054" s="313"/>
      <c r="O1054" s="313"/>
      <c r="P1054" s="313"/>
      <c r="Q1054" s="313"/>
      <c r="R1054" s="313"/>
      <c r="S1054" s="313"/>
      <c r="T1054" s="313"/>
      <c r="U1054" s="313"/>
      <c r="V1054" s="313"/>
      <c r="W1054" s="313"/>
      <c r="X1054" s="313"/>
      <c r="Y1054" s="313"/>
      <c r="Z1054" s="313"/>
      <c r="AA1054" s="313"/>
    </row>
    <row r="1055" spans="1:27" ht="14.25" customHeight="1" x14ac:dyDescent="0.2">
      <c r="A1055" s="346">
        <v>44131</v>
      </c>
      <c r="B1055" s="313">
        <v>338.22000100000002</v>
      </c>
      <c r="C1055" s="313">
        <v>236.16000399999999</v>
      </c>
      <c r="D1055" s="345">
        <f t="shared" ref="D1055:E1055" si="1064">B1055/B1054-1</f>
        <v>-3.4474025407023046E-3</v>
      </c>
      <c r="E1055" s="345">
        <f t="shared" si="1064"/>
        <v>-4.0485451258549521E-3</v>
      </c>
      <c r="F1055" s="313"/>
      <c r="G1055" s="313"/>
      <c r="H1055" s="313"/>
      <c r="I1055" s="313"/>
      <c r="J1055" s="313"/>
      <c r="K1055" s="313"/>
      <c r="L1055" s="313"/>
      <c r="M1055" s="313"/>
      <c r="N1055" s="313"/>
      <c r="O1055" s="313"/>
      <c r="P1055" s="313"/>
      <c r="Q1055" s="313"/>
      <c r="R1055" s="313"/>
      <c r="S1055" s="313"/>
      <c r="T1055" s="313"/>
      <c r="U1055" s="313"/>
      <c r="V1055" s="313"/>
      <c r="W1055" s="313"/>
      <c r="X1055" s="313"/>
      <c r="Y1055" s="313"/>
      <c r="Z1055" s="313"/>
      <c r="AA1055" s="313"/>
    </row>
    <row r="1056" spans="1:27" ht="14.25" customHeight="1" x14ac:dyDescent="0.2">
      <c r="A1056" s="346">
        <v>44132</v>
      </c>
      <c r="B1056" s="313">
        <v>326.66000400000001</v>
      </c>
      <c r="C1056" s="313">
        <v>230.13000500000001</v>
      </c>
      <c r="D1056" s="345">
        <f t="shared" ref="D1056:E1056" si="1065">B1056/B1055-1</f>
        <v>-3.4178927815685323E-2</v>
      </c>
      <c r="E1056" s="345">
        <f t="shared" si="1065"/>
        <v>-2.5533531918469854E-2</v>
      </c>
      <c r="F1056" s="313"/>
      <c r="G1056" s="313"/>
      <c r="H1056" s="313"/>
      <c r="I1056" s="313"/>
      <c r="J1056" s="313"/>
      <c r="K1056" s="313"/>
      <c r="L1056" s="313"/>
      <c r="M1056" s="313"/>
      <c r="N1056" s="313"/>
      <c r="O1056" s="313"/>
      <c r="P1056" s="313"/>
      <c r="Q1056" s="313"/>
      <c r="R1056" s="313"/>
      <c r="S1056" s="313"/>
      <c r="T1056" s="313"/>
      <c r="U1056" s="313"/>
      <c r="V1056" s="313"/>
      <c r="W1056" s="313"/>
      <c r="X1056" s="313"/>
      <c r="Y1056" s="313"/>
      <c r="Z1056" s="313"/>
      <c r="AA1056" s="313"/>
    </row>
    <row r="1057" spans="1:27" ht="14.25" customHeight="1" x14ac:dyDescent="0.2">
      <c r="A1057" s="346">
        <v>44133</v>
      </c>
      <c r="B1057" s="313">
        <v>329.98001099999999</v>
      </c>
      <c r="C1057" s="313">
        <v>231.64999399999999</v>
      </c>
      <c r="D1057" s="345">
        <f t="shared" ref="D1057:E1057" si="1066">B1057/B1056-1</f>
        <v>1.0163494028488262E-2</v>
      </c>
      <c r="E1057" s="345">
        <f t="shared" si="1066"/>
        <v>6.6049144699753537E-3</v>
      </c>
      <c r="F1057" s="313"/>
      <c r="G1057" s="313"/>
      <c r="H1057" s="313"/>
      <c r="I1057" s="313"/>
      <c r="J1057" s="313"/>
      <c r="K1057" s="313"/>
      <c r="L1057" s="313"/>
      <c r="M1057" s="313"/>
      <c r="N1057" s="313"/>
      <c r="O1057" s="313"/>
      <c r="P1057" s="313"/>
      <c r="Q1057" s="313"/>
      <c r="R1057" s="313"/>
      <c r="S1057" s="313"/>
      <c r="T1057" s="313"/>
      <c r="U1057" s="313"/>
      <c r="V1057" s="313"/>
      <c r="W1057" s="313"/>
      <c r="X1057" s="313"/>
      <c r="Y1057" s="313"/>
      <c r="Z1057" s="313"/>
      <c r="AA1057" s="313"/>
    </row>
    <row r="1058" spans="1:27" ht="14.25" customHeight="1" x14ac:dyDescent="0.2">
      <c r="A1058" s="346">
        <v>44134</v>
      </c>
      <c r="B1058" s="313">
        <v>326.540009</v>
      </c>
      <c r="C1058" s="313">
        <v>229.64999399999999</v>
      </c>
      <c r="D1058" s="345">
        <f t="shared" ref="D1058:E1058" si="1067">B1058/B1057-1</f>
        <v>-1.042487994825847E-2</v>
      </c>
      <c r="E1058" s="345">
        <f t="shared" si="1067"/>
        <v>-8.6337148793537155E-3</v>
      </c>
      <c r="F1058" s="313"/>
      <c r="G1058" s="313"/>
      <c r="H1058" s="313"/>
      <c r="I1058" s="313"/>
      <c r="J1058" s="313"/>
      <c r="K1058" s="313"/>
      <c r="L1058" s="313"/>
      <c r="M1058" s="313"/>
      <c r="N1058" s="313"/>
      <c r="O1058" s="313"/>
      <c r="P1058" s="313"/>
      <c r="Q1058" s="313"/>
      <c r="R1058" s="313"/>
      <c r="S1058" s="313"/>
      <c r="T1058" s="313"/>
      <c r="U1058" s="313"/>
      <c r="V1058" s="313"/>
      <c r="W1058" s="313"/>
      <c r="X1058" s="313"/>
      <c r="Y1058" s="313"/>
      <c r="Z1058" s="313"/>
      <c r="AA1058" s="313"/>
    </row>
    <row r="1059" spans="1:27" ht="14.25" customHeight="1" x14ac:dyDescent="0.2">
      <c r="A1059" s="346">
        <v>44137</v>
      </c>
      <c r="B1059" s="313">
        <v>330.20001200000002</v>
      </c>
      <c r="C1059" s="313">
        <v>233.490005</v>
      </c>
      <c r="D1059" s="345">
        <f t="shared" ref="D1059:E1059" si="1068">B1059/B1058-1</f>
        <v>1.1208436636014341E-2</v>
      </c>
      <c r="E1059" s="345">
        <f t="shared" si="1068"/>
        <v>1.6721145657857095E-2</v>
      </c>
      <c r="F1059" s="313"/>
      <c r="G1059" s="313"/>
      <c r="H1059" s="313"/>
      <c r="I1059" s="313"/>
      <c r="J1059" s="313"/>
      <c r="K1059" s="313"/>
      <c r="L1059" s="313"/>
      <c r="M1059" s="313"/>
      <c r="N1059" s="313"/>
      <c r="O1059" s="313"/>
      <c r="P1059" s="313"/>
      <c r="Q1059" s="313"/>
      <c r="R1059" s="313"/>
      <c r="S1059" s="313"/>
      <c r="T1059" s="313"/>
      <c r="U1059" s="313"/>
      <c r="V1059" s="313"/>
      <c r="W1059" s="313"/>
      <c r="X1059" s="313"/>
      <c r="Y1059" s="313"/>
      <c r="Z1059" s="313"/>
      <c r="AA1059" s="313"/>
    </row>
    <row r="1060" spans="1:27" ht="14.25" customHeight="1" x14ac:dyDescent="0.2">
      <c r="A1060" s="346">
        <v>44138</v>
      </c>
      <c r="B1060" s="313">
        <v>336.02999899999998</v>
      </c>
      <c r="C1060" s="313">
        <v>234.229996</v>
      </c>
      <c r="D1060" s="345">
        <f t="shared" ref="D1060:E1060" si="1069">B1060/B1059-1</f>
        <v>1.7655926069439332E-2</v>
      </c>
      <c r="E1060" s="345">
        <f t="shared" si="1069"/>
        <v>3.1692619990306703E-3</v>
      </c>
      <c r="F1060" s="313"/>
      <c r="G1060" s="313"/>
      <c r="H1060" s="313"/>
      <c r="I1060" s="313"/>
      <c r="J1060" s="313"/>
      <c r="K1060" s="313"/>
      <c r="L1060" s="313"/>
      <c r="M1060" s="313"/>
      <c r="N1060" s="313"/>
      <c r="O1060" s="313"/>
      <c r="P1060" s="313"/>
      <c r="Q1060" s="313"/>
      <c r="R1060" s="313"/>
      <c r="S1060" s="313"/>
      <c r="T1060" s="313"/>
      <c r="U1060" s="313"/>
      <c r="V1060" s="313"/>
      <c r="W1060" s="313"/>
      <c r="X1060" s="313"/>
      <c r="Y1060" s="313"/>
      <c r="Z1060" s="313"/>
      <c r="AA1060" s="313"/>
    </row>
    <row r="1061" spans="1:27" ht="14.25" customHeight="1" x14ac:dyDescent="0.2">
      <c r="A1061" s="346">
        <v>44139</v>
      </c>
      <c r="B1061" s="313">
        <v>343.540009</v>
      </c>
      <c r="C1061" s="313">
        <v>237.070007</v>
      </c>
      <c r="D1061" s="345">
        <f t="shared" ref="D1061:E1061" si="1070">B1061/B1060-1</f>
        <v>2.2349224838107418E-2</v>
      </c>
      <c r="E1061" s="345">
        <f t="shared" si="1070"/>
        <v>1.2124881733764026E-2</v>
      </c>
      <c r="F1061" s="313"/>
      <c r="G1061" s="313"/>
      <c r="H1061" s="313"/>
      <c r="I1061" s="313"/>
      <c r="J1061" s="313"/>
      <c r="K1061" s="313"/>
      <c r="L1061" s="313"/>
      <c r="M1061" s="313"/>
      <c r="N1061" s="313"/>
      <c r="O1061" s="313"/>
      <c r="P1061" s="313"/>
      <c r="Q1061" s="313"/>
      <c r="R1061" s="313"/>
      <c r="S1061" s="313"/>
      <c r="T1061" s="313"/>
      <c r="U1061" s="313"/>
      <c r="V1061" s="313"/>
      <c r="W1061" s="313"/>
      <c r="X1061" s="313"/>
      <c r="Y1061" s="313"/>
      <c r="Z1061" s="313"/>
      <c r="AA1061" s="313"/>
    </row>
    <row r="1062" spans="1:27" ht="14.25" customHeight="1" x14ac:dyDescent="0.2">
      <c r="A1062" s="346">
        <v>44140</v>
      </c>
      <c r="B1062" s="313">
        <v>350.23998999999998</v>
      </c>
      <c r="C1062" s="313">
        <v>239.91999799999999</v>
      </c>
      <c r="D1062" s="345">
        <f t="shared" ref="D1062:E1062" si="1071">B1062/B1061-1</f>
        <v>1.9502767725665393E-2</v>
      </c>
      <c r="E1062" s="345">
        <f t="shared" si="1071"/>
        <v>1.2021727404766036E-2</v>
      </c>
      <c r="F1062" s="313"/>
      <c r="G1062" s="313"/>
      <c r="H1062" s="313"/>
      <c r="I1062" s="313"/>
      <c r="J1062" s="313"/>
      <c r="K1062" s="313"/>
      <c r="L1062" s="313"/>
      <c r="M1062" s="313"/>
      <c r="N1062" s="313"/>
      <c r="O1062" s="313"/>
      <c r="P1062" s="313"/>
      <c r="Q1062" s="313"/>
      <c r="R1062" s="313"/>
      <c r="S1062" s="313"/>
      <c r="T1062" s="313"/>
      <c r="U1062" s="313"/>
      <c r="V1062" s="313"/>
      <c r="W1062" s="313"/>
      <c r="X1062" s="313"/>
      <c r="Y1062" s="313"/>
      <c r="Z1062" s="313"/>
      <c r="AA1062" s="313"/>
    </row>
    <row r="1063" spans="1:27" ht="14.25" customHeight="1" x14ac:dyDescent="0.2">
      <c r="A1063" s="346">
        <v>44141</v>
      </c>
      <c r="B1063" s="313">
        <v>350.16000400000001</v>
      </c>
      <c r="C1063" s="313">
        <v>242.14999399999999</v>
      </c>
      <c r="D1063" s="345">
        <f t="shared" ref="D1063:E1063" si="1072">B1063/B1062-1</f>
        <v>-2.2837483520932178E-4</v>
      </c>
      <c r="E1063" s="345">
        <f t="shared" si="1072"/>
        <v>9.2947483268985831E-3</v>
      </c>
      <c r="F1063" s="313"/>
      <c r="G1063" s="313"/>
      <c r="H1063" s="313"/>
      <c r="I1063" s="313"/>
      <c r="J1063" s="313"/>
      <c r="K1063" s="313"/>
      <c r="L1063" s="313"/>
      <c r="M1063" s="313"/>
      <c r="N1063" s="313"/>
      <c r="O1063" s="313"/>
      <c r="P1063" s="313"/>
      <c r="Q1063" s="313"/>
      <c r="R1063" s="313"/>
      <c r="S1063" s="313"/>
      <c r="T1063" s="313"/>
      <c r="U1063" s="313"/>
      <c r="V1063" s="313"/>
      <c r="W1063" s="313"/>
      <c r="X1063" s="313"/>
      <c r="Y1063" s="313"/>
      <c r="Z1063" s="313"/>
      <c r="AA1063" s="313"/>
    </row>
    <row r="1064" spans="1:27" ht="14.25" customHeight="1" x14ac:dyDescent="0.2">
      <c r="A1064" s="346">
        <v>44144</v>
      </c>
      <c r="B1064" s="313">
        <v>354.55999800000001</v>
      </c>
      <c r="C1064" s="313">
        <v>237.979996</v>
      </c>
      <c r="D1064" s="345">
        <f t="shared" ref="D1064:E1064" si="1073">B1064/B1063-1</f>
        <v>1.2565666980058676E-2</v>
      </c>
      <c r="E1064" s="345">
        <f t="shared" si="1073"/>
        <v>-1.7220723119241499E-2</v>
      </c>
      <c r="F1064" s="313"/>
      <c r="G1064" s="313"/>
      <c r="H1064" s="313"/>
      <c r="I1064" s="313"/>
      <c r="J1064" s="313"/>
      <c r="K1064" s="313"/>
      <c r="L1064" s="313"/>
      <c r="M1064" s="313"/>
      <c r="N1064" s="313"/>
      <c r="O1064" s="313"/>
      <c r="P1064" s="313"/>
      <c r="Q1064" s="313"/>
      <c r="R1064" s="313"/>
      <c r="S1064" s="313"/>
      <c r="T1064" s="313"/>
      <c r="U1064" s="313"/>
      <c r="V1064" s="313"/>
      <c r="W1064" s="313"/>
      <c r="X1064" s="313"/>
      <c r="Y1064" s="313"/>
      <c r="Z1064" s="313"/>
      <c r="AA1064" s="313"/>
    </row>
    <row r="1065" spans="1:27" ht="14.25" customHeight="1" x14ac:dyDescent="0.2">
      <c r="A1065" s="346">
        <v>44145</v>
      </c>
      <c r="B1065" s="313">
        <v>354.040009</v>
      </c>
      <c r="C1065" s="313">
        <v>232.38000500000001</v>
      </c>
      <c r="D1065" s="345">
        <f t="shared" ref="D1065:E1065" si="1074">B1065/B1064-1</f>
        <v>-1.4665754820993859E-3</v>
      </c>
      <c r="E1065" s="345">
        <f t="shared" si="1074"/>
        <v>-2.3531351769583098E-2</v>
      </c>
      <c r="F1065" s="313"/>
      <c r="G1065" s="313"/>
      <c r="H1065" s="313"/>
      <c r="I1065" s="313"/>
      <c r="J1065" s="313"/>
      <c r="K1065" s="313"/>
      <c r="L1065" s="313"/>
      <c r="M1065" s="313"/>
      <c r="N1065" s="313"/>
      <c r="O1065" s="313"/>
      <c r="P1065" s="313"/>
      <c r="Q1065" s="313"/>
      <c r="R1065" s="313"/>
      <c r="S1065" s="313"/>
      <c r="T1065" s="313"/>
      <c r="U1065" s="313"/>
      <c r="V1065" s="313"/>
      <c r="W1065" s="313"/>
      <c r="X1065" s="313"/>
      <c r="Y1065" s="313"/>
      <c r="Z1065" s="313"/>
      <c r="AA1065" s="313"/>
    </row>
    <row r="1066" spans="1:27" ht="14.25" customHeight="1" x14ac:dyDescent="0.2">
      <c r="A1066" s="346">
        <v>44146</v>
      </c>
      <c r="B1066" s="313">
        <v>356.67001299999998</v>
      </c>
      <c r="C1066" s="313">
        <v>238.449997</v>
      </c>
      <c r="D1066" s="345">
        <f t="shared" ref="D1066:E1066" si="1075">B1066/B1065-1</f>
        <v>7.4285502574371609E-3</v>
      </c>
      <c r="E1066" s="345">
        <f t="shared" si="1075"/>
        <v>2.6120973704256478E-2</v>
      </c>
      <c r="F1066" s="313"/>
      <c r="G1066" s="313"/>
      <c r="H1066" s="313"/>
      <c r="I1066" s="313"/>
      <c r="J1066" s="313"/>
      <c r="K1066" s="313"/>
      <c r="L1066" s="313"/>
      <c r="M1066" s="313"/>
      <c r="N1066" s="313"/>
      <c r="O1066" s="313"/>
      <c r="P1066" s="313"/>
      <c r="Q1066" s="313"/>
      <c r="R1066" s="313"/>
      <c r="S1066" s="313"/>
      <c r="T1066" s="313"/>
      <c r="U1066" s="313"/>
      <c r="V1066" s="313"/>
      <c r="W1066" s="313"/>
      <c r="X1066" s="313"/>
      <c r="Y1066" s="313"/>
      <c r="Z1066" s="313"/>
      <c r="AA1066" s="313"/>
    </row>
    <row r="1067" spans="1:27" ht="14.25" customHeight="1" x14ac:dyDescent="0.2">
      <c r="A1067" s="346">
        <v>44147</v>
      </c>
      <c r="B1067" s="313">
        <v>353.209991</v>
      </c>
      <c r="C1067" s="313">
        <v>238.009995</v>
      </c>
      <c r="D1067" s="345">
        <f t="shared" ref="D1067:E1067" si="1076">B1067/B1066-1</f>
        <v>-9.70090524543199E-3</v>
      </c>
      <c r="E1067" s="345">
        <f t="shared" si="1076"/>
        <v>-1.8452589873590997E-3</v>
      </c>
      <c r="F1067" s="313"/>
      <c r="G1067" s="313"/>
      <c r="H1067" s="313"/>
      <c r="I1067" s="313"/>
      <c r="J1067" s="313"/>
      <c r="K1067" s="313"/>
      <c r="L1067" s="313"/>
      <c r="M1067" s="313"/>
      <c r="N1067" s="313"/>
      <c r="O1067" s="313"/>
      <c r="P1067" s="313"/>
      <c r="Q1067" s="313"/>
      <c r="R1067" s="313"/>
      <c r="S1067" s="313"/>
      <c r="T1067" s="313"/>
      <c r="U1067" s="313"/>
      <c r="V1067" s="313"/>
      <c r="W1067" s="313"/>
      <c r="X1067" s="313"/>
      <c r="Y1067" s="313"/>
      <c r="Z1067" s="313"/>
      <c r="AA1067" s="313"/>
    </row>
    <row r="1068" spans="1:27" ht="14.25" customHeight="1" x14ac:dyDescent="0.2">
      <c r="A1068" s="346">
        <v>44148</v>
      </c>
      <c r="B1068" s="313">
        <v>358.10000600000001</v>
      </c>
      <c r="C1068" s="313">
        <v>243.08999600000001</v>
      </c>
      <c r="D1068" s="345">
        <f t="shared" ref="D1068:E1068" si="1077">B1068/B1067-1</f>
        <v>1.3844497960421531E-2</v>
      </c>
      <c r="E1068" s="345">
        <f t="shared" si="1077"/>
        <v>2.1343645673367773E-2</v>
      </c>
      <c r="F1068" s="313"/>
      <c r="G1068" s="313"/>
      <c r="H1068" s="313"/>
      <c r="I1068" s="313"/>
      <c r="J1068" s="313"/>
      <c r="K1068" s="313"/>
      <c r="L1068" s="313"/>
      <c r="M1068" s="313"/>
      <c r="N1068" s="313"/>
      <c r="O1068" s="313"/>
      <c r="P1068" s="313"/>
      <c r="Q1068" s="313"/>
      <c r="R1068" s="313"/>
      <c r="S1068" s="313"/>
      <c r="T1068" s="313"/>
      <c r="U1068" s="313"/>
      <c r="V1068" s="313"/>
      <c r="W1068" s="313"/>
      <c r="X1068" s="313"/>
      <c r="Y1068" s="313"/>
      <c r="Z1068" s="313"/>
      <c r="AA1068" s="313"/>
    </row>
    <row r="1069" spans="1:27" ht="14.25" customHeight="1" x14ac:dyDescent="0.2">
      <c r="A1069" s="346">
        <v>44151</v>
      </c>
      <c r="B1069" s="313">
        <v>362.57000699999998</v>
      </c>
      <c r="C1069" s="313">
        <v>239.08999600000001</v>
      </c>
      <c r="D1069" s="345">
        <f t="shared" ref="D1069:E1069" si="1078">B1069/B1068-1</f>
        <v>1.2482549358013628E-2</v>
      </c>
      <c r="E1069" s="345">
        <f t="shared" si="1078"/>
        <v>-1.6454811246119694E-2</v>
      </c>
      <c r="F1069" s="313"/>
      <c r="G1069" s="313"/>
      <c r="H1069" s="313"/>
      <c r="I1069" s="313"/>
      <c r="J1069" s="313"/>
      <c r="K1069" s="313"/>
      <c r="L1069" s="313"/>
      <c r="M1069" s="313"/>
      <c r="N1069" s="313"/>
      <c r="O1069" s="313"/>
      <c r="P1069" s="313"/>
      <c r="Q1069" s="313"/>
      <c r="R1069" s="313"/>
      <c r="S1069" s="313"/>
      <c r="T1069" s="313"/>
      <c r="U1069" s="313"/>
      <c r="V1069" s="313"/>
      <c r="W1069" s="313"/>
      <c r="X1069" s="313"/>
      <c r="Y1069" s="313"/>
      <c r="Z1069" s="313"/>
      <c r="AA1069" s="313"/>
    </row>
    <row r="1070" spans="1:27" ht="14.25" customHeight="1" x14ac:dyDescent="0.2">
      <c r="A1070" s="346">
        <v>44152</v>
      </c>
      <c r="B1070" s="313">
        <v>360.61999500000002</v>
      </c>
      <c r="C1070" s="313">
        <v>239.179993</v>
      </c>
      <c r="D1070" s="345">
        <f t="shared" ref="D1070:E1070" si="1079">B1070/B1069-1</f>
        <v>-5.3783047752208324E-3</v>
      </c>
      <c r="E1070" s="345">
        <f t="shared" si="1079"/>
        <v>3.7641474551697307E-4</v>
      </c>
      <c r="F1070" s="313"/>
      <c r="G1070" s="313"/>
      <c r="H1070" s="313"/>
      <c r="I1070" s="313"/>
      <c r="J1070" s="313"/>
      <c r="K1070" s="313"/>
      <c r="L1070" s="313"/>
      <c r="M1070" s="313"/>
      <c r="N1070" s="313"/>
      <c r="O1070" s="313"/>
      <c r="P1070" s="313"/>
      <c r="Q1070" s="313"/>
      <c r="R1070" s="313"/>
      <c r="S1070" s="313"/>
      <c r="T1070" s="313"/>
      <c r="U1070" s="313"/>
      <c r="V1070" s="313"/>
      <c r="W1070" s="313"/>
      <c r="X1070" s="313"/>
      <c r="Y1070" s="313"/>
      <c r="Z1070" s="313"/>
      <c r="AA1070" s="313"/>
    </row>
    <row r="1071" spans="1:27" ht="14.25" customHeight="1" x14ac:dyDescent="0.2">
      <c r="A1071" s="346">
        <v>44153</v>
      </c>
      <c r="B1071" s="313">
        <v>356.27999899999998</v>
      </c>
      <c r="C1071" s="313">
        <v>237.699997</v>
      </c>
      <c r="D1071" s="345">
        <f t="shared" ref="D1071:E1071" si="1080">B1071/B1070-1</f>
        <v>-1.2034817980628221E-2</v>
      </c>
      <c r="E1071" s="345">
        <f t="shared" si="1080"/>
        <v>-6.1877918024689782E-3</v>
      </c>
      <c r="F1071" s="313"/>
      <c r="G1071" s="313"/>
      <c r="H1071" s="313"/>
      <c r="I1071" s="313"/>
      <c r="J1071" s="313"/>
      <c r="K1071" s="313"/>
      <c r="L1071" s="313"/>
      <c r="M1071" s="313"/>
      <c r="N1071" s="313"/>
      <c r="O1071" s="313"/>
      <c r="P1071" s="313"/>
      <c r="Q1071" s="313"/>
      <c r="R1071" s="313"/>
      <c r="S1071" s="313"/>
      <c r="T1071" s="313"/>
      <c r="U1071" s="313"/>
      <c r="V1071" s="313"/>
      <c r="W1071" s="313"/>
      <c r="X1071" s="313"/>
      <c r="Y1071" s="313"/>
      <c r="Z1071" s="313"/>
      <c r="AA1071" s="313"/>
    </row>
    <row r="1072" spans="1:27" ht="14.25" customHeight="1" x14ac:dyDescent="0.2">
      <c r="A1072" s="346">
        <v>44154</v>
      </c>
      <c r="B1072" s="313">
        <v>357.77999899999998</v>
      </c>
      <c r="C1072" s="313">
        <v>238.429993</v>
      </c>
      <c r="D1072" s="345">
        <f t="shared" ref="D1072:E1072" si="1081">B1072/B1071-1</f>
        <v>4.2101717868254784E-3</v>
      </c>
      <c r="E1072" s="345">
        <f t="shared" si="1081"/>
        <v>3.0710812335432713E-3</v>
      </c>
      <c r="F1072" s="313"/>
      <c r="G1072" s="313"/>
      <c r="H1072" s="313"/>
      <c r="I1072" s="313"/>
      <c r="J1072" s="313"/>
      <c r="K1072" s="313"/>
      <c r="L1072" s="313"/>
      <c r="M1072" s="313"/>
      <c r="N1072" s="313"/>
      <c r="O1072" s="313"/>
      <c r="P1072" s="313"/>
      <c r="Q1072" s="313"/>
      <c r="R1072" s="313"/>
      <c r="S1072" s="313"/>
      <c r="T1072" s="313"/>
      <c r="U1072" s="313"/>
      <c r="V1072" s="313"/>
      <c r="W1072" s="313"/>
      <c r="X1072" s="313"/>
      <c r="Y1072" s="313"/>
      <c r="Z1072" s="313"/>
      <c r="AA1072" s="313"/>
    </row>
    <row r="1073" spans="1:27" ht="14.25" customHeight="1" x14ac:dyDescent="0.2">
      <c r="A1073" s="346">
        <v>44155</v>
      </c>
      <c r="B1073" s="313">
        <v>355.32998700000002</v>
      </c>
      <c r="C1073" s="313">
        <v>232.66000399999999</v>
      </c>
      <c r="D1073" s="345">
        <f t="shared" ref="D1073:E1073" si="1082">B1073/B1072-1</f>
        <v>-6.8478171134433996E-3</v>
      </c>
      <c r="E1073" s="345">
        <f t="shared" si="1082"/>
        <v>-2.4199929410726462E-2</v>
      </c>
      <c r="F1073" s="313"/>
      <c r="G1073" s="313"/>
      <c r="H1073" s="313"/>
      <c r="I1073" s="313"/>
      <c r="J1073" s="313"/>
      <c r="K1073" s="313"/>
      <c r="L1073" s="313"/>
      <c r="M1073" s="313"/>
      <c r="N1073" s="313"/>
      <c r="O1073" s="313"/>
      <c r="P1073" s="313"/>
      <c r="Q1073" s="313"/>
      <c r="R1073" s="313"/>
      <c r="S1073" s="313"/>
      <c r="T1073" s="313"/>
      <c r="U1073" s="313"/>
      <c r="V1073" s="313"/>
      <c r="W1073" s="313"/>
      <c r="X1073" s="313"/>
      <c r="Y1073" s="313"/>
      <c r="Z1073" s="313"/>
      <c r="AA1073" s="313"/>
    </row>
    <row r="1074" spans="1:27" ht="14.25" customHeight="1" x14ac:dyDescent="0.2">
      <c r="A1074" s="346">
        <v>44158</v>
      </c>
      <c r="B1074" s="313">
        <v>357.459991</v>
      </c>
      <c r="C1074" s="313">
        <v>228.91000399999999</v>
      </c>
      <c r="D1074" s="345">
        <f t="shared" ref="D1074:E1074" si="1083">B1074/B1073-1</f>
        <v>5.9944391915338624E-3</v>
      </c>
      <c r="E1074" s="345">
        <f t="shared" si="1083"/>
        <v>-1.6117940065022984E-2</v>
      </c>
      <c r="F1074" s="313"/>
      <c r="G1074" s="313"/>
      <c r="H1074" s="313"/>
      <c r="I1074" s="313"/>
      <c r="J1074" s="313"/>
      <c r="K1074" s="313"/>
      <c r="L1074" s="313"/>
      <c r="M1074" s="313"/>
      <c r="N1074" s="313"/>
      <c r="O1074" s="313"/>
      <c r="P1074" s="313"/>
      <c r="Q1074" s="313"/>
      <c r="R1074" s="313"/>
      <c r="S1074" s="313"/>
      <c r="T1074" s="313"/>
      <c r="U1074" s="313"/>
      <c r="V1074" s="313"/>
      <c r="W1074" s="313"/>
      <c r="X1074" s="313"/>
      <c r="Y1074" s="313"/>
      <c r="Z1074" s="313"/>
      <c r="AA1074" s="313"/>
    </row>
    <row r="1075" spans="1:27" ht="14.25" customHeight="1" x14ac:dyDescent="0.2">
      <c r="A1075" s="346">
        <v>44159</v>
      </c>
      <c r="B1075" s="313">
        <v>363.22000100000002</v>
      </c>
      <c r="C1075" s="313">
        <v>228.05999800000001</v>
      </c>
      <c r="D1075" s="345">
        <f t="shared" ref="D1075:E1075" si="1084">B1075/B1074-1</f>
        <v>1.6113719423217931E-2</v>
      </c>
      <c r="E1075" s="345">
        <f t="shared" si="1084"/>
        <v>-3.7132758950979561E-3</v>
      </c>
      <c r="F1075" s="313"/>
      <c r="G1075" s="313"/>
      <c r="H1075" s="313"/>
      <c r="I1075" s="313"/>
      <c r="J1075" s="313"/>
      <c r="K1075" s="313"/>
      <c r="L1075" s="313"/>
      <c r="M1075" s="313"/>
      <c r="N1075" s="313"/>
      <c r="O1075" s="313"/>
      <c r="P1075" s="313"/>
      <c r="Q1075" s="313"/>
      <c r="R1075" s="313"/>
      <c r="S1075" s="313"/>
      <c r="T1075" s="313"/>
      <c r="U1075" s="313"/>
      <c r="V1075" s="313"/>
      <c r="W1075" s="313"/>
      <c r="X1075" s="313"/>
      <c r="Y1075" s="313"/>
      <c r="Z1075" s="313"/>
      <c r="AA1075" s="313"/>
    </row>
    <row r="1076" spans="1:27" ht="14.25" customHeight="1" x14ac:dyDescent="0.2">
      <c r="A1076" s="346">
        <v>44160</v>
      </c>
      <c r="B1076" s="313">
        <v>362.66000400000001</v>
      </c>
      <c r="C1076" s="313">
        <v>233</v>
      </c>
      <c r="D1076" s="345">
        <f t="shared" ref="D1076:E1076" si="1085">B1076/B1075-1</f>
        <v>-1.5417570575911865E-3</v>
      </c>
      <c r="E1076" s="345">
        <f t="shared" si="1085"/>
        <v>2.1660975371928126E-2</v>
      </c>
      <c r="F1076" s="313"/>
      <c r="G1076" s="313"/>
      <c r="H1076" s="313"/>
      <c r="I1076" s="313"/>
      <c r="J1076" s="313"/>
      <c r="K1076" s="313"/>
      <c r="L1076" s="313"/>
      <c r="M1076" s="313"/>
      <c r="N1076" s="313"/>
      <c r="O1076" s="313"/>
      <c r="P1076" s="313"/>
      <c r="Q1076" s="313"/>
      <c r="R1076" s="313"/>
      <c r="S1076" s="313"/>
      <c r="T1076" s="313"/>
      <c r="U1076" s="313"/>
      <c r="V1076" s="313"/>
      <c r="W1076" s="313"/>
      <c r="X1076" s="313"/>
      <c r="Y1076" s="313"/>
      <c r="Z1076" s="313"/>
      <c r="AA1076" s="313"/>
    </row>
    <row r="1077" spans="1:27" ht="14.25" customHeight="1" x14ac:dyDescent="0.2">
      <c r="A1077" s="346">
        <v>44162</v>
      </c>
      <c r="B1077" s="313">
        <v>363.67001299999998</v>
      </c>
      <c r="C1077" s="313">
        <v>234.08999600000001</v>
      </c>
      <c r="D1077" s="345">
        <f t="shared" ref="D1077:E1077" si="1086">B1077/B1076-1</f>
        <v>2.7850024509457061E-3</v>
      </c>
      <c r="E1077" s="345">
        <f t="shared" si="1086"/>
        <v>4.6780944206008535E-3</v>
      </c>
      <c r="F1077" s="313"/>
      <c r="G1077" s="313"/>
      <c r="H1077" s="313"/>
      <c r="I1077" s="313"/>
      <c r="J1077" s="313"/>
      <c r="K1077" s="313"/>
      <c r="L1077" s="313"/>
      <c r="M1077" s="313"/>
      <c r="N1077" s="313"/>
      <c r="O1077" s="313"/>
      <c r="P1077" s="313"/>
      <c r="Q1077" s="313"/>
      <c r="R1077" s="313"/>
      <c r="S1077" s="313"/>
      <c r="T1077" s="313"/>
      <c r="U1077" s="313"/>
      <c r="V1077" s="313"/>
      <c r="W1077" s="313"/>
      <c r="X1077" s="313"/>
      <c r="Y1077" s="313"/>
      <c r="Z1077" s="313"/>
      <c r="AA1077" s="313"/>
    </row>
    <row r="1078" spans="1:27" ht="14.25" customHeight="1" x14ac:dyDescent="0.2">
      <c r="A1078" s="346">
        <v>44165</v>
      </c>
      <c r="B1078" s="313">
        <v>362.05999800000001</v>
      </c>
      <c r="C1078" s="313">
        <v>231.199997</v>
      </c>
      <c r="D1078" s="345">
        <f t="shared" ref="D1078:E1078" si="1087">B1078/B1077-1</f>
        <v>-4.4271315820586521E-3</v>
      </c>
      <c r="E1078" s="345">
        <f t="shared" si="1087"/>
        <v>-1.2345674951440566E-2</v>
      </c>
      <c r="F1078" s="313"/>
      <c r="G1078" s="313"/>
      <c r="H1078" s="313"/>
      <c r="I1078" s="313"/>
      <c r="J1078" s="313"/>
      <c r="K1078" s="313"/>
      <c r="L1078" s="313"/>
      <c r="M1078" s="313"/>
      <c r="N1078" s="313"/>
      <c r="O1078" s="313"/>
      <c r="P1078" s="313"/>
      <c r="Q1078" s="313"/>
      <c r="R1078" s="313"/>
      <c r="S1078" s="313"/>
      <c r="T1078" s="313"/>
      <c r="U1078" s="313"/>
      <c r="V1078" s="313"/>
      <c r="W1078" s="313"/>
      <c r="X1078" s="313"/>
      <c r="Y1078" s="313"/>
      <c r="Z1078" s="313"/>
      <c r="AA1078" s="313"/>
    </row>
    <row r="1079" spans="1:27" ht="14.25" customHeight="1" x14ac:dyDescent="0.2">
      <c r="A1079" s="346">
        <v>44166</v>
      </c>
      <c r="B1079" s="313">
        <v>366.01998900000001</v>
      </c>
      <c r="C1079" s="313">
        <v>235.83000200000001</v>
      </c>
      <c r="D1079" s="345">
        <f t="shared" ref="D1079:E1079" si="1088">B1079/B1078-1</f>
        <v>1.0937388890998045E-2</v>
      </c>
      <c r="E1079" s="345">
        <f t="shared" si="1088"/>
        <v>2.002597344324375E-2</v>
      </c>
      <c r="F1079" s="313"/>
      <c r="G1079" s="313"/>
      <c r="H1079" s="313"/>
      <c r="I1079" s="313"/>
      <c r="J1079" s="313"/>
      <c r="K1079" s="313"/>
      <c r="L1079" s="313"/>
      <c r="M1079" s="313"/>
      <c r="N1079" s="313"/>
      <c r="O1079" s="313"/>
      <c r="P1079" s="313"/>
      <c r="Q1079" s="313"/>
      <c r="R1079" s="313"/>
      <c r="S1079" s="313"/>
      <c r="T1079" s="313"/>
      <c r="U1079" s="313"/>
      <c r="V1079" s="313"/>
      <c r="W1079" s="313"/>
      <c r="X1079" s="313"/>
      <c r="Y1079" s="313"/>
      <c r="Z1079" s="313"/>
      <c r="AA1079" s="313"/>
    </row>
    <row r="1080" spans="1:27" ht="14.25" customHeight="1" x14ac:dyDescent="0.2">
      <c r="A1080" s="346">
        <v>44167</v>
      </c>
      <c r="B1080" s="313">
        <v>366.790009</v>
      </c>
      <c r="C1080" s="313">
        <v>228.89999399999999</v>
      </c>
      <c r="D1080" s="345">
        <f t="shared" ref="D1080:E1080" si="1089">B1080/B1079-1</f>
        <v>2.1037648848187818E-3</v>
      </c>
      <c r="E1080" s="345">
        <f t="shared" si="1089"/>
        <v>-2.938560802793877E-2</v>
      </c>
      <c r="F1080" s="313"/>
      <c r="G1080" s="313"/>
      <c r="H1080" s="313"/>
      <c r="I1080" s="313"/>
      <c r="J1080" s="313"/>
      <c r="K1080" s="313"/>
      <c r="L1080" s="313"/>
      <c r="M1080" s="313"/>
      <c r="N1080" s="313"/>
      <c r="O1080" s="313"/>
      <c r="P1080" s="313"/>
      <c r="Q1080" s="313"/>
      <c r="R1080" s="313"/>
      <c r="S1080" s="313"/>
      <c r="T1080" s="313"/>
      <c r="U1080" s="313"/>
      <c r="V1080" s="313"/>
      <c r="W1080" s="313"/>
      <c r="X1080" s="313"/>
      <c r="Y1080" s="313"/>
      <c r="Z1080" s="313"/>
      <c r="AA1080" s="313"/>
    </row>
    <row r="1081" spans="1:27" ht="14.25" customHeight="1" x14ac:dyDescent="0.2">
      <c r="A1081" s="346">
        <v>44168</v>
      </c>
      <c r="B1081" s="313">
        <v>366.69000199999999</v>
      </c>
      <c r="C1081" s="313">
        <v>226.220001</v>
      </c>
      <c r="D1081" s="345">
        <f t="shared" ref="D1081:E1081" si="1090">B1081/B1080-1</f>
        <v>-2.7265464583581256E-4</v>
      </c>
      <c r="E1081" s="345">
        <f t="shared" si="1090"/>
        <v>-1.1708139232192383E-2</v>
      </c>
      <c r="F1081" s="313"/>
      <c r="G1081" s="313"/>
      <c r="H1081" s="313"/>
      <c r="I1081" s="313"/>
      <c r="J1081" s="313"/>
      <c r="K1081" s="313"/>
      <c r="L1081" s="313"/>
      <c r="M1081" s="313"/>
      <c r="N1081" s="313"/>
      <c r="O1081" s="313"/>
      <c r="P1081" s="313"/>
      <c r="Q1081" s="313"/>
      <c r="R1081" s="313"/>
      <c r="S1081" s="313"/>
      <c r="T1081" s="313"/>
      <c r="U1081" s="313"/>
      <c r="V1081" s="313"/>
      <c r="W1081" s="313"/>
      <c r="X1081" s="313"/>
      <c r="Y1081" s="313"/>
      <c r="Z1081" s="313"/>
      <c r="AA1081" s="313"/>
    </row>
    <row r="1082" spans="1:27" ht="14.25" customHeight="1" x14ac:dyDescent="0.2">
      <c r="A1082" s="346">
        <v>44169</v>
      </c>
      <c r="B1082" s="313">
        <v>369.85000600000001</v>
      </c>
      <c r="C1082" s="313">
        <v>228.66999799999999</v>
      </c>
      <c r="D1082" s="345">
        <f t="shared" ref="D1082:E1082" si="1091">B1082/B1081-1</f>
        <v>8.6176442847221146E-3</v>
      </c>
      <c r="E1082" s="345">
        <f t="shared" si="1091"/>
        <v>1.0830152016487737E-2</v>
      </c>
      <c r="F1082" s="313"/>
      <c r="G1082" s="313"/>
      <c r="H1082" s="313"/>
      <c r="I1082" s="313"/>
      <c r="J1082" s="313"/>
      <c r="K1082" s="313"/>
      <c r="L1082" s="313"/>
      <c r="M1082" s="313"/>
      <c r="N1082" s="313"/>
      <c r="O1082" s="313"/>
      <c r="P1082" s="313"/>
      <c r="Q1082" s="313"/>
      <c r="R1082" s="313"/>
      <c r="S1082" s="313"/>
      <c r="T1082" s="313"/>
      <c r="U1082" s="313"/>
      <c r="V1082" s="313"/>
      <c r="W1082" s="313"/>
      <c r="X1082" s="313"/>
      <c r="Y1082" s="313"/>
      <c r="Z1082" s="313"/>
      <c r="AA1082" s="313"/>
    </row>
    <row r="1083" spans="1:27" ht="14.25" customHeight="1" x14ac:dyDescent="0.2">
      <c r="A1083" s="346">
        <v>44172</v>
      </c>
      <c r="B1083" s="313">
        <v>369.08999599999999</v>
      </c>
      <c r="C1083" s="313">
        <v>224.270004</v>
      </c>
      <c r="D1083" s="345">
        <f t="shared" ref="D1083:E1083" si="1092">B1083/B1082-1</f>
        <v>-2.0549141210505217E-3</v>
      </c>
      <c r="E1083" s="345">
        <f t="shared" si="1092"/>
        <v>-1.9241675945613101E-2</v>
      </c>
      <c r="F1083" s="313"/>
      <c r="G1083" s="313"/>
      <c r="H1083" s="313"/>
      <c r="I1083" s="313"/>
      <c r="J1083" s="313"/>
      <c r="K1083" s="313"/>
      <c r="L1083" s="313"/>
      <c r="M1083" s="313"/>
      <c r="N1083" s="313"/>
      <c r="O1083" s="313"/>
      <c r="P1083" s="313"/>
      <c r="Q1083" s="313"/>
      <c r="R1083" s="313"/>
      <c r="S1083" s="313"/>
      <c r="T1083" s="313"/>
      <c r="U1083" s="313"/>
      <c r="V1083" s="313"/>
      <c r="W1083" s="313"/>
      <c r="X1083" s="313"/>
      <c r="Y1083" s="313"/>
      <c r="Z1083" s="313"/>
      <c r="AA1083" s="313"/>
    </row>
    <row r="1084" spans="1:27" ht="14.25" customHeight="1" x14ac:dyDescent="0.2">
      <c r="A1084" s="346">
        <v>44173</v>
      </c>
      <c r="B1084" s="313">
        <v>370.17001299999998</v>
      </c>
      <c r="C1084" s="313">
        <v>223.61000100000001</v>
      </c>
      <c r="D1084" s="345">
        <f t="shared" ref="D1084:E1084" si="1093">B1084/B1083-1</f>
        <v>2.9261616725044792E-3</v>
      </c>
      <c r="E1084" s="345">
        <f t="shared" si="1093"/>
        <v>-2.9428946726196559E-3</v>
      </c>
      <c r="F1084" s="313"/>
      <c r="G1084" s="313"/>
      <c r="H1084" s="313"/>
      <c r="I1084" s="313"/>
      <c r="J1084" s="313"/>
      <c r="K1084" s="313"/>
      <c r="L1084" s="313"/>
      <c r="M1084" s="313"/>
      <c r="N1084" s="313"/>
      <c r="O1084" s="313"/>
      <c r="P1084" s="313"/>
      <c r="Q1084" s="313"/>
      <c r="R1084" s="313"/>
      <c r="S1084" s="313"/>
      <c r="T1084" s="313"/>
      <c r="U1084" s="313"/>
      <c r="V1084" s="313"/>
      <c r="W1084" s="313"/>
      <c r="X1084" s="313"/>
      <c r="Y1084" s="313"/>
      <c r="Z1084" s="313"/>
      <c r="AA1084" s="313"/>
    </row>
    <row r="1085" spans="1:27" ht="14.25" customHeight="1" x14ac:dyDescent="0.2">
      <c r="A1085" s="346">
        <v>44174</v>
      </c>
      <c r="B1085" s="313">
        <v>366.85000600000001</v>
      </c>
      <c r="C1085" s="313">
        <v>219.44000199999999</v>
      </c>
      <c r="D1085" s="345">
        <f t="shared" ref="D1085:E1085" si="1094">B1085/B1084-1</f>
        <v>-8.9688707442652227E-3</v>
      </c>
      <c r="E1085" s="345">
        <f t="shared" si="1094"/>
        <v>-1.8648535313051662E-2</v>
      </c>
      <c r="F1085" s="313"/>
      <c r="G1085" s="313"/>
      <c r="H1085" s="313"/>
      <c r="I1085" s="313"/>
      <c r="J1085" s="313"/>
      <c r="K1085" s="313"/>
      <c r="L1085" s="313"/>
      <c r="M1085" s="313"/>
      <c r="N1085" s="313"/>
      <c r="O1085" s="313"/>
      <c r="P1085" s="313"/>
      <c r="Q1085" s="313"/>
      <c r="R1085" s="313"/>
      <c r="S1085" s="313"/>
      <c r="T1085" s="313"/>
      <c r="U1085" s="313"/>
      <c r="V1085" s="313"/>
      <c r="W1085" s="313"/>
      <c r="X1085" s="313"/>
      <c r="Y1085" s="313"/>
      <c r="Z1085" s="313"/>
      <c r="AA1085" s="313"/>
    </row>
    <row r="1086" spans="1:27" ht="14.25" customHeight="1" x14ac:dyDescent="0.2">
      <c r="A1086" s="346">
        <v>44175</v>
      </c>
      <c r="B1086" s="313">
        <v>366.73001099999999</v>
      </c>
      <c r="C1086" s="313">
        <v>219.41000399999999</v>
      </c>
      <c r="D1086" s="345">
        <f t="shared" ref="D1086:E1086" si="1095">B1086/B1085-1</f>
        <v>-3.2709553778775824E-4</v>
      </c>
      <c r="E1086" s="345">
        <f t="shared" si="1095"/>
        <v>-1.3670251424813262E-4</v>
      </c>
      <c r="F1086" s="313"/>
      <c r="G1086" s="313"/>
      <c r="H1086" s="313"/>
      <c r="I1086" s="313"/>
      <c r="J1086" s="313"/>
      <c r="K1086" s="313"/>
      <c r="L1086" s="313"/>
      <c r="M1086" s="313"/>
      <c r="N1086" s="313"/>
      <c r="O1086" s="313"/>
      <c r="P1086" s="313"/>
      <c r="Q1086" s="313"/>
      <c r="R1086" s="313"/>
      <c r="S1086" s="313"/>
      <c r="T1086" s="313"/>
      <c r="U1086" s="313"/>
      <c r="V1086" s="313"/>
      <c r="W1086" s="313"/>
      <c r="X1086" s="313"/>
      <c r="Y1086" s="313"/>
      <c r="Z1086" s="313"/>
      <c r="AA1086" s="313"/>
    </row>
    <row r="1087" spans="1:27" ht="14.25" customHeight="1" x14ac:dyDescent="0.2">
      <c r="A1087" s="346">
        <v>44176</v>
      </c>
      <c r="B1087" s="313">
        <v>366.29998799999998</v>
      </c>
      <c r="C1087" s="313">
        <v>219.820007</v>
      </c>
      <c r="D1087" s="345">
        <f t="shared" ref="D1087:E1087" si="1096">B1087/B1086-1</f>
        <v>-1.1725874269941094E-3</v>
      </c>
      <c r="E1087" s="345">
        <f t="shared" si="1096"/>
        <v>1.8686613760785509E-3</v>
      </c>
      <c r="F1087" s="313"/>
      <c r="G1087" s="313"/>
      <c r="H1087" s="313"/>
      <c r="I1087" s="313"/>
      <c r="J1087" s="313"/>
      <c r="K1087" s="313"/>
      <c r="L1087" s="313"/>
      <c r="M1087" s="313"/>
      <c r="N1087" s="313"/>
      <c r="O1087" s="313"/>
      <c r="P1087" s="313"/>
      <c r="Q1087" s="313"/>
      <c r="R1087" s="313"/>
      <c r="S1087" s="313"/>
      <c r="T1087" s="313"/>
      <c r="U1087" s="313"/>
      <c r="V1087" s="313"/>
      <c r="W1087" s="313"/>
      <c r="X1087" s="313"/>
      <c r="Y1087" s="313"/>
      <c r="Z1087" s="313"/>
      <c r="AA1087" s="313"/>
    </row>
    <row r="1088" spans="1:27" ht="14.25" customHeight="1" x14ac:dyDescent="0.2">
      <c r="A1088" s="346">
        <v>44179</v>
      </c>
      <c r="B1088" s="313">
        <v>364.66000400000001</v>
      </c>
      <c r="C1088" s="313">
        <v>216.720001</v>
      </c>
      <c r="D1088" s="345">
        <f t="shared" ref="D1088:E1088" si="1097">B1088/B1087-1</f>
        <v>-4.4771609438326587E-3</v>
      </c>
      <c r="E1088" s="345">
        <f t="shared" si="1097"/>
        <v>-1.4102474302987389E-2</v>
      </c>
      <c r="F1088" s="313"/>
      <c r="G1088" s="313"/>
      <c r="H1088" s="313"/>
      <c r="I1088" s="313"/>
      <c r="J1088" s="313"/>
      <c r="K1088" s="313"/>
      <c r="L1088" s="313"/>
      <c r="M1088" s="313"/>
      <c r="N1088" s="313"/>
      <c r="O1088" s="313"/>
      <c r="P1088" s="313"/>
      <c r="Q1088" s="313"/>
      <c r="R1088" s="313"/>
      <c r="S1088" s="313"/>
      <c r="T1088" s="313"/>
      <c r="U1088" s="313"/>
      <c r="V1088" s="313"/>
      <c r="W1088" s="313"/>
      <c r="X1088" s="313"/>
      <c r="Y1088" s="313"/>
      <c r="Z1088" s="313"/>
      <c r="AA1088" s="313"/>
    </row>
    <row r="1089" spans="1:27" ht="14.25" customHeight="1" x14ac:dyDescent="0.2">
      <c r="A1089" s="346">
        <v>44180</v>
      </c>
      <c r="B1089" s="313">
        <v>369.58999599999999</v>
      </c>
      <c r="C1089" s="313">
        <v>217.25</v>
      </c>
      <c r="D1089" s="345">
        <f t="shared" ref="D1089:E1089" si="1098">B1089/B1088-1</f>
        <v>1.3519420682066352E-2</v>
      </c>
      <c r="E1089" s="345">
        <f t="shared" si="1098"/>
        <v>2.4455472386233357E-3</v>
      </c>
      <c r="F1089" s="313"/>
      <c r="G1089" s="313"/>
      <c r="H1089" s="313"/>
      <c r="I1089" s="313"/>
      <c r="J1089" s="313"/>
      <c r="K1089" s="313"/>
      <c r="L1089" s="313"/>
      <c r="M1089" s="313"/>
      <c r="N1089" s="313"/>
      <c r="O1089" s="313"/>
      <c r="P1089" s="313"/>
      <c r="Q1089" s="313"/>
      <c r="R1089" s="313"/>
      <c r="S1089" s="313"/>
      <c r="T1089" s="313"/>
      <c r="U1089" s="313"/>
      <c r="V1089" s="313"/>
      <c r="W1089" s="313"/>
      <c r="X1089" s="313"/>
      <c r="Y1089" s="313"/>
      <c r="Z1089" s="313"/>
      <c r="AA1089" s="313"/>
    </row>
    <row r="1090" spans="1:27" ht="14.25" customHeight="1" x14ac:dyDescent="0.2">
      <c r="A1090" s="346">
        <v>44181</v>
      </c>
      <c r="B1090" s="313">
        <v>370.17001299999998</v>
      </c>
      <c r="C1090" s="313">
        <v>219.61999499999999</v>
      </c>
      <c r="D1090" s="345">
        <f t="shared" ref="D1090:E1090" si="1099">B1090/B1089-1</f>
        <v>1.5693525427566968E-3</v>
      </c>
      <c r="E1090" s="345">
        <f t="shared" si="1099"/>
        <v>1.0909067894131041E-2</v>
      </c>
      <c r="F1090" s="313"/>
      <c r="G1090" s="313"/>
      <c r="H1090" s="313"/>
      <c r="I1090" s="313"/>
      <c r="J1090" s="313"/>
      <c r="K1090" s="313"/>
      <c r="L1090" s="313"/>
      <c r="M1090" s="313"/>
      <c r="N1090" s="313"/>
      <c r="O1090" s="313"/>
      <c r="P1090" s="313"/>
      <c r="Q1090" s="313"/>
      <c r="R1090" s="313"/>
      <c r="S1090" s="313"/>
      <c r="T1090" s="313"/>
      <c r="U1090" s="313"/>
      <c r="V1090" s="313"/>
      <c r="W1090" s="313"/>
      <c r="X1090" s="313"/>
      <c r="Y1090" s="313"/>
      <c r="Z1090" s="313"/>
      <c r="AA1090" s="313"/>
    </row>
    <row r="1091" spans="1:27" ht="14.25" customHeight="1" x14ac:dyDescent="0.2">
      <c r="A1091" s="346">
        <v>44182</v>
      </c>
      <c r="B1091" s="313">
        <v>372.23998999999998</v>
      </c>
      <c r="C1091" s="313">
        <v>222.71000699999999</v>
      </c>
      <c r="D1091" s="345">
        <f t="shared" ref="D1091:E1091" si="1100">B1091/B1090-1</f>
        <v>5.5919629556810957E-3</v>
      </c>
      <c r="E1091" s="345">
        <f t="shared" si="1100"/>
        <v>1.4069811812899902E-2</v>
      </c>
      <c r="F1091" s="313"/>
      <c r="G1091" s="313"/>
      <c r="H1091" s="313"/>
      <c r="I1091" s="313"/>
      <c r="J1091" s="313"/>
      <c r="K1091" s="313"/>
      <c r="L1091" s="313"/>
      <c r="M1091" s="313"/>
      <c r="N1091" s="313"/>
      <c r="O1091" s="313"/>
      <c r="P1091" s="313"/>
      <c r="Q1091" s="313"/>
      <c r="R1091" s="313"/>
      <c r="S1091" s="313"/>
      <c r="T1091" s="313"/>
      <c r="U1091" s="313"/>
      <c r="V1091" s="313"/>
      <c r="W1091" s="313"/>
      <c r="X1091" s="313"/>
      <c r="Y1091" s="313"/>
      <c r="Z1091" s="313"/>
      <c r="AA1091" s="313"/>
    </row>
    <row r="1092" spans="1:27" ht="14.25" customHeight="1" x14ac:dyDescent="0.2">
      <c r="A1092" s="346">
        <v>44183</v>
      </c>
      <c r="B1092" s="313">
        <v>369.17999300000002</v>
      </c>
      <c r="C1092" s="313">
        <v>221.520004</v>
      </c>
      <c r="D1092" s="345">
        <f t="shared" ref="D1092:E1092" si="1101">B1092/B1091-1</f>
        <v>-8.22049506287581E-3</v>
      </c>
      <c r="E1092" s="345">
        <f t="shared" si="1101"/>
        <v>-5.343284821503258E-3</v>
      </c>
      <c r="F1092" s="313"/>
      <c r="G1092" s="313"/>
      <c r="H1092" s="313"/>
      <c r="I1092" s="313"/>
      <c r="J1092" s="313"/>
      <c r="K1092" s="313"/>
      <c r="L1092" s="313"/>
      <c r="M1092" s="313"/>
      <c r="N1092" s="313"/>
      <c r="O1092" s="313"/>
      <c r="P1092" s="313"/>
      <c r="Q1092" s="313"/>
      <c r="R1092" s="313"/>
      <c r="S1092" s="313"/>
      <c r="T1092" s="313"/>
      <c r="U1092" s="313"/>
      <c r="V1092" s="313"/>
      <c r="W1092" s="313"/>
      <c r="X1092" s="313"/>
      <c r="Y1092" s="313"/>
      <c r="Z1092" s="313"/>
      <c r="AA1092" s="313"/>
    </row>
    <row r="1093" spans="1:27" ht="14.25" customHeight="1" x14ac:dyDescent="0.2">
      <c r="A1093" s="346">
        <v>44186</v>
      </c>
      <c r="B1093" s="313">
        <v>367.85998499999999</v>
      </c>
      <c r="C1093" s="313">
        <v>219.779999</v>
      </c>
      <c r="D1093" s="345">
        <f t="shared" ref="D1093:E1093" si="1102">B1093/B1092-1</f>
        <v>-3.5755133675405837E-3</v>
      </c>
      <c r="E1093" s="345">
        <f t="shared" si="1102"/>
        <v>-7.854843664592881E-3</v>
      </c>
      <c r="F1093" s="313"/>
      <c r="G1093" s="313"/>
      <c r="H1093" s="313"/>
      <c r="I1093" s="313"/>
      <c r="J1093" s="313"/>
      <c r="K1093" s="313"/>
      <c r="L1093" s="313"/>
      <c r="M1093" s="313"/>
      <c r="N1093" s="313"/>
      <c r="O1093" s="313"/>
      <c r="P1093" s="313"/>
      <c r="Q1093" s="313"/>
      <c r="R1093" s="313"/>
      <c r="S1093" s="313"/>
      <c r="T1093" s="313"/>
      <c r="U1093" s="313"/>
      <c r="V1093" s="313"/>
      <c r="W1093" s="313"/>
      <c r="X1093" s="313"/>
      <c r="Y1093" s="313"/>
      <c r="Z1093" s="313"/>
      <c r="AA1093" s="313"/>
    </row>
    <row r="1094" spans="1:27" ht="14.25" customHeight="1" x14ac:dyDescent="0.2">
      <c r="A1094" s="346">
        <v>44187</v>
      </c>
      <c r="B1094" s="313">
        <v>367.23998999999998</v>
      </c>
      <c r="C1094" s="313">
        <v>220.490005</v>
      </c>
      <c r="D1094" s="345">
        <f t="shared" ref="D1094:E1094" si="1103">B1094/B1093-1</f>
        <v>-1.6854102791311609E-3</v>
      </c>
      <c r="E1094" s="345">
        <f t="shared" si="1103"/>
        <v>3.2305305452293709E-3</v>
      </c>
      <c r="F1094" s="313"/>
      <c r="G1094" s="313"/>
      <c r="H1094" s="313"/>
      <c r="I1094" s="313"/>
      <c r="J1094" s="313"/>
      <c r="K1094" s="313"/>
      <c r="L1094" s="313"/>
      <c r="M1094" s="313"/>
      <c r="N1094" s="313"/>
      <c r="O1094" s="313"/>
      <c r="P1094" s="313"/>
      <c r="Q1094" s="313"/>
      <c r="R1094" s="313"/>
      <c r="S1094" s="313"/>
      <c r="T1094" s="313"/>
      <c r="U1094" s="313"/>
      <c r="V1094" s="313"/>
      <c r="W1094" s="313"/>
      <c r="X1094" s="313"/>
      <c r="Y1094" s="313"/>
      <c r="Z1094" s="313"/>
      <c r="AA1094" s="313"/>
    </row>
    <row r="1095" spans="1:27" ht="14.25" customHeight="1" x14ac:dyDescent="0.2">
      <c r="A1095" s="346">
        <v>44188</v>
      </c>
      <c r="B1095" s="313">
        <v>367.57000699999998</v>
      </c>
      <c r="C1095" s="313">
        <v>217.39999399999999</v>
      </c>
      <c r="D1095" s="345">
        <f t="shared" ref="D1095:E1095" si="1104">B1095/B1094-1</f>
        <v>8.98641240024034E-4</v>
      </c>
      <c r="E1095" s="345">
        <f t="shared" si="1104"/>
        <v>-1.4014290579747568E-2</v>
      </c>
      <c r="F1095" s="313"/>
      <c r="G1095" s="313"/>
      <c r="H1095" s="313"/>
      <c r="I1095" s="313"/>
      <c r="J1095" s="313"/>
      <c r="K1095" s="313"/>
      <c r="L1095" s="313"/>
      <c r="M1095" s="313"/>
      <c r="N1095" s="313"/>
      <c r="O1095" s="313"/>
      <c r="P1095" s="313"/>
      <c r="Q1095" s="313"/>
      <c r="R1095" s="313"/>
      <c r="S1095" s="313"/>
      <c r="T1095" s="313"/>
      <c r="U1095" s="313"/>
      <c r="V1095" s="313"/>
      <c r="W1095" s="313"/>
      <c r="X1095" s="313"/>
      <c r="Y1095" s="313"/>
      <c r="Z1095" s="313"/>
      <c r="AA1095" s="313"/>
    </row>
    <row r="1096" spans="1:27" ht="14.25" customHeight="1" x14ac:dyDescent="0.2">
      <c r="A1096" s="346">
        <v>44189</v>
      </c>
      <c r="B1096" s="313">
        <v>369</v>
      </c>
      <c r="C1096" s="313">
        <v>218.64999399999999</v>
      </c>
      <c r="D1096" s="345">
        <f t="shared" ref="D1096:E1096" si="1105">B1096/B1095-1</f>
        <v>3.8903963129941488E-3</v>
      </c>
      <c r="E1096" s="345">
        <f t="shared" si="1105"/>
        <v>5.749770167887025E-3</v>
      </c>
      <c r="F1096" s="313"/>
      <c r="G1096" s="313"/>
      <c r="H1096" s="313"/>
      <c r="I1096" s="313"/>
      <c r="J1096" s="313"/>
      <c r="K1096" s="313"/>
      <c r="L1096" s="313"/>
      <c r="M1096" s="313"/>
      <c r="N1096" s="313"/>
      <c r="O1096" s="313"/>
      <c r="P1096" s="313"/>
      <c r="Q1096" s="313"/>
      <c r="R1096" s="313"/>
      <c r="S1096" s="313"/>
      <c r="T1096" s="313"/>
      <c r="U1096" s="313"/>
      <c r="V1096" s="313"/>
      <c r="W1096" s="313"/>
      <c r="X1096" s="313"/>
      <c r="Y1096" s="313"/>
      <c r="Z1096" s="313"/>
      <c r="AA1096" s="313"/>
    </row>
    <row r="1097" spans="1:27" ht="14.25" customHeight="1" x14ac:dyDescent="0.2">
      <c r="A1097" s="346">
        <v>44193</v>
      </c>
      <c r="B1097" s="313">
        <v>372.17001299999998</v>
      </c>
      <c r="C1097" s="313">
        <v>221.070007</v>
      </c>
      <c r="D1097" s="345">
        <f t="shared" ref="D1097:E1097" si="1106">B1097/B1096-1</f>
        <v>8.590821138211302E-3</v>
      </c>
      <c r="E1097" s="345">
        <f t="shared" si="1106"/>
        <v>1.1067976521417222E-2</v>
      </c>
      <c r="F1097" s="313"/>
      <c r="G1097" s="313"/>
      <c r="H1097" s="313"/>
      <c r="I1097" s="313"/>
      <c r="J1097" s="313"/>
      <c r="K1097" s="313"/>
      <c r="L1097" s="313"/>
      <c r="M1097" s="313"/>
      <c r="N1097" s="313"/>
      <c r="O1097" s="313"/>
      <c r="P1097" s="313"/>
      <c r="Q1097" s="313"/>
      <c r="R1097" s="313"/>
      <c r="S1097" s="313"/>
      <c r="T1097" s="313"/>
      <c r="U1097" s="313"/>
      <c r="V1097" s="313"/>
      <c r="W1097" s="313"/>
      <c r="X1097" s="313"/>
      <c r="Y1097" s="313"/>
      <c r="Z1097" s="313"/>
      <c r="AA1097" s="313"/>
    </row>
    <row r="1098" spans="1:27" ht="14.25" customHeight="1" x14ac:dyDescent="0.2">
      <c r="A1098" s="346">
        <v>44194</v>
      </c>
      <c r="B1098" s="313">
        <v>371.459991</v>
      </c>
      <c r="C1098" s="313">
        <v>220.479996</v>
      </c>
      <c r="D1098" s="345">
        <f t="shared" ref="D1098:E1098" si="1107">B1098/B1097-1</f>
        <v>-1.9077893844176019E-3</v>
      </c>
      <c r="E1098" s="345">
        <f t="shared" si="1107"/>
        <v>-2.6688875981263349E-3</v>
      </c>
      <c r="F1098" s="313"/>
      <c r="G1098" s="313"/>
      <c r="H1098" s="313"/>
      <c r="I1098" s="313"/>
      <c r="J1098" s="313"/>
      <c r="K1098" s="313"/>
      <c r="L1098" s="313"/>
      <c r="M1098" s="313"/>
      <c r="N1098" s="313"/>
      <c r="O1098" s="313"/>
      <c r="P1098" s="313"/>
      <c r="Q1098" s="313"/>
      <c r="R1098" s="313"/>
      <c r="S1098" s="313"/>
      <c r="T1098" s="313"/>
      <c r="U1098" s="313"/>
      <c r="V1098" s="313"/>
      <c r="W1098" s="313"/>
      <c r="X1098" s="313"/>
      <c r="Y1098" s="313"/>
      <c r="Z1098" s="313"/>
      <c r="AA1098" s="313"/>
    </row>
    <row r="1099" spans="1:27" ht="14.25" customHeight="1" x14ac:dyDescent="0.2">
      <c r="A1099" s="346">
        <v>44195</v>
      </c>
      <c r="B1099" s="313">
        <v>371.98998999999998</v>
      </c>
      <c r="C1099" s="313">
        <v>220.33999600000001</v>
      </c>
      <c r="D1099" s="345">
        <f t="shared" ref="D1099:E1099" si="1108">B1099/B1098-1</f>
        <v>1.4267996899832713E-3</v>
      </c>
      <c r="E1099" s="345">
        <f t="shared" si="1108"/>
        <v>-6.3497824083769139E-4</v>
      </c>
      <c r="F1099" s="313"/>
      <c r="G1099" s="313"/>
      <c r="H1099" s="313"/>
      <c r="I1099" s="313"/>
      <c r="J1099" s="313"/>
      <c r="K1099" s="313"/>
      <c r="L1099" s="313"/>
      <c r="M1099" s="313"/>
      <c r="N1099" s="313"/>
      <c r="O1099" s="313"/>
      <c r="P1099" s="313"/>
      <c r="Q1099" s="313"/>
      <c r="R1099" s="313"/>
      <c r="S1099" s="313"/>
      <c r="T1099" s="313"/>
      <c r="U1099" s="313"/>
      <c r="V1099" s="313"/>
      <c r="W1099" s="313"/>
      <c r="X1099" s="313"/>
      <c r="Y1099" s="313"/>
      <c r="Z1099" s="313"/>
      <c r="AA1099" s="313"/>
    </row>
    <row r="1100" spans="1:27" ht="14.25" customHeight="1" x14ac:dyDescent="0.2">
      <c r="A1100" s="346">
        <v>44196</v>
      </c>
      <c r="B1100" s="313">
        <v>373.88000499999998</v>
      </c>
      <c r="C1100" s="313">
        <v>224.46000699999999</v>
      </c>
      <c r="D1100" s="345">
        <f t="shared" ref="D1100:E1100" si="1109">B1100/B1099-1</f>
        <v>5.0808222016942572E-3</v>
      </c>
      <c r="E1100" s="345">
        <f t="shared" si="1109"/>
        <v>1.8698425500561333E-2</v>
      </c>
      <c r="F1100" s="313"/>
      <c r="G1100" s="313"/>
      <c r="H1100" s="313"/>
      <c r="I1100" s="313"/>
      <c r="J1100" s="313"/>
      <c r="K1100" s="313"/>
      <c r="L1100" s="313"/>
      <c r="M1100" s="313"/>
      <c r="N1100" s="313"/>
      <c r="O1100" s="313"/>
      <c r="P1100" s="313"/>
      <c r="Q1100" s="313"/>
      <c r="R1100" s="313"/>
      <c r="S1100" s="313"/>
      <c r="T1100" s="313"/>
      <c r="U1100" s="313"/>
      <c r="V1100" s="313"/>
      <c r="W1100" s="313"/>
      <c r="X1100" s="313"/>
      <c r="Y1100" s="313"/>
      <c r="Z1100" s="313"/>
      <c r="AA1100" s="313"/>
    </row>
    <row r="1101" spans="1:27" ht="14.25" customHeight="1" x14ac:dyDescent="0.2">
      <c r="A1101" s="346">
        <v>44200</v>
      </c>
      <c r="B1101" s="313">
        <v>368.790009</v>
      </c>
      <c r="C1101" s="313">
        <v>219.60000600000001</v>
      </c>
      <c r="D1101" s="345">
        <f t="shared" ref="D1101:E1101" si="1110">B1101/B1100-1</f>
        <v>-1.3613982914116973E-2</v>
      </c>
      <c r="E1101" s="345">
        <f t="shared" si="1110"/>
        <v>-2.1651968495216112E-2</v>
      </c>
      <c r="F1101" s="313"/>
      <c r="G1101" s="313"/>
      <c r="H1101" s="313"/>
      <c r="I1101" s="313"/>
      <c r="J1101" s="313"/>
      <c r="K1101" s="313"/>
      <c r="L1101" s="313"/>
      <c r="M1101" s="313"/>
      <c r="N1101" s="313"/>
      <c r="O1101" s="313"/>
      <c r="P1101" s="313"/>
      <c r="Q1101" s="313"/>
      <c r="R1101" s="313"/>
      <c r="S1101" s="313"/>
      <c r="T1101" s="313"/>
      <c r="U1101" s="313"/>
      <c r="V1101" s="313"/>
      <c r="W1101" s="313"/>
      <c r="X1101" s="313"/>
      <c r="Y1101" s="313"/>
      <c r="Z1101" s="313"/>
      <c r="AA1101" s="313"/>
    </row>
    <row r="1102" spans="1:27" ht="14.25" customHeight="1" x14ac:dyDescent="0.2">
      <c r="A1102" s="346">
        <v>44201</v>
      </c>
      <c r="B1102" s="313">
        <v>371.32998700000002</v>
      </c>
      <c r="C1102" s="313">
        <v>220.71000699999999</v>
      </c>
      <c r="D1102" s="345">
        <f t="shared" ref="D1102:E1102" si="1111">B1102/B1101-1</f>
        <v>6.8873286640473985E-3</v>
      </c>
      <c r="E1102" s="345">
        <f t="shared" si="1111"/>
        <v>5.0546492243719321E-3</v>
      </c>
      <c r="F1102" s="313"/>
      <c r="G1102" s="313"/>
      <c r="H1102" s="313"/>
      <c r="I1102" s="313"/>
      <c r="J1102" s="313"/>
      <c r="K1102" s="313"/>
      <c r="L1102" s="313"/>
      <c r="M1102" s="313"/>
      <c r="N1102" s="313"/>
      <c r="O1102" s="313"/>
      <c r="P1102" s="313"/>
      <c r="Q1102" s="313"/>
      <c r="R1102" s="313"/>
      <c r="S1102" s="313"/>
      <c r="T1102" s="313"/>
      <c r="U1102" s="313"/>
      <c r="V1102" s="313"/>
      <c r="W1102" s="313"/>
      <c r="X1102" s="313"/>
      <c r="Y1102" s="313"/>
      <c r="Z1102" s="313"/>
      <c r="AA1102" s="313"/>
    </row>
    <row r="1103" spans="1:27" ht="14.25" customHeight="1" x14ac:dyDescent="0.2">
      <c r="A1103" s="346">
        <v>44202</v>
      </c>
      <c r="B1103" s="313">
        <v>373.54998799999998</v>
      </c>
      <c r="C1103" s="313">
        <v>214.88999899999999</v>
      </c>
      <c r="D1103" s="345">
        <f t="shared" ref="D1103:E1103" si="1112">B1103/B1102-1</f>
        <v>5.9785125837412689E-3</v>
      </c>
      <c r="E1103" s="345">
        <f t="shared" si="1112"/>
        <v>-2.6369479477203805E-2</v>
      </c>
      <c r="F1103" s="313"/>
      <c r="G1103" s="313"/>
      <c r="H1103" s="313"/>
      <c r="I1103" s="313"/>
      <c r="J1103" s="313"/>
      <c r="K1103" s="313"/>
      <c r="L1103" s="313"/>
      <c r="M1103" s="313"/>
      <c r="N1103" s="313"/>
      <c r="O1103" s="313"/>
      <c r="P1103" s="313"/>
      <c r="Q1103" s="313"/>
      <c r="R1103" s="313"/>
      <c r="S1103" s="313"/>
      <c r="T1103" s="313"/>
      <c r="U1103" s="313"/>
      <c r="V1103" s="313"/>
      <c r="W1103" s="313"/>
      <c r="X1103" s="313"/>
      <c r="Y1103" s="313"/>
      <c r="Z1103" s="313"/>
      <c r="AA1103" s="313"/>
    </row>
    <row r="1104" spans="1:27" ht="14.25" customHeight="1" x14ac:dyDescent="0.2">
      <c r="A1104" s="346">
        <v>44203</v>
      </c>
      <c r="B1104" s="313">
        <v>379.10000600000001</v>
      </c>
      <c r="C1104" s="313">
        <v>217.5</v>
      </c>
      <c r="D1104" s="345">
        <f t="shared" ref="D1104:E1104" si="1113">B1104/B1103-1</f>
        <v>1.4857497465640357E-2</v>
      </c>
      <c r="E1104" s="345">
        <f t="shared" si="1113"/>
        <v>1.2145753697918815E-2</v>
      </c>
      <c r="F1104" s="313"/>
      <c r="G1104" s="313"/>
      <c r="H1104" s="313"/>
      <c r="I1104" s="313"/>
      <c r="J1104" s="313"/>
      <c r="K1104" s="313"/>
      <c r="L1104" s="313"/>
      <c r="M1104" s="313"/>
      <c r="N1104" s="313"/>
      <c r="O1104" s="313"/>
      <c r="P1104" s="313"/>
      <c r="Q1104" s="313"/>
      <c r="R1104" s="313"/>
      <c r="S1104" s="313"/>
      <c r="T1104" s="313"/>
      <c r="U1104" s="313"/>
      <c r="V1104" s="313"/>
      <c r="W1104" s="313"/>
      <c r="X1104" s="313"/>
      <c r="Y1104" s="313"/>
      <c r="Z1104" s="313"/>
      <c r="AA1104" s="313"/>
    </row>
    <row r="1105" spans="1:27" ht="14.25" customHeight="1" x14ac:dyDescent="0.2">
      <c r="A1105" s="346">
        <v>44204</v>
      </c>
      <c r="B1105" s="313">
        <v>381.26001000000002</v>
      </c>
      <c r="C1105" s="313">
        <v>222.199997</v>
      </c>
      <c r="D1105" s="345">
        <f t="shared" ref="D1105:E1105" si="1114">B1105/B1104-1</f>
        <v>5.6977155521331646E-3</v>
      </c>
      <c r="E1105" s="345">
        <f t="shared" si="1114"/>
        <v>2.1609181609195449E-2</v>
      </c>
      <c r="F1105" s="313"/>
      <c r="G1105" s="313"/>
      <c r="H1105" s="313"/>
      <c r="I1105" s="313"/>
      <c r="J1105" s="313"/>
      <c r="K1105" s="313"/>
      <c r="L1105" s="313"/>
      <c r="M1105" s="313"/>
      <c r="N1105" s="313"/>
      <c r="O1105" s="313"/>
      <c r="P1105" s="313"/>
      <c r="Q1105" s="313"/>
      <c r="R1105" s="313"/>
      <c r="S1105" s="313"/>
      <c r="T1105" s="313"/>
      <c r="U1105" s="313"/>
      <c r="V1105" s="313"/>
      <c r="W1105" s="313"/>
      <c r="X1105" s="313"/>
      <c r="Y1105" s="313"/>
      <c r="Z1105" s="313"/>
      <c r="AA1105" s="313"/>
    </row>
    <row r="1106" spans="1:27" ht="14.25" customHeight="1" x14ac:dyDescent="0.2">
      <c r="A1106" s="346">
        <v>44207</v>
      </c>
      <c r="B1106" s="313">
        <v>378.69000199999999</v>
      </c>
      <c r="C1106" s="313">
        <v>214.91999799999999</v>
      </c>
      <c r="D1106" s="345">
        <f t="shared" ref="D1106:E1106" si="1115">B1106/B1105-1</f>
        <v>-6.7408276047624671E-3</v>
      </c>
      <c r="E1106" s="345">
        <f t="shared" si="1115"/>
        <v>-3.276327226953113E-2</v>
      </c>
      <c r="F1106" s="313"/>
      <c r="G1106" s="313"/>
      <c r="H1106" s="313"/>
      <c r="I1106" s="313"/>
      <c r="J1106" s="313"/>
      <c r="K1106" s="313"/>
      <c r="L1106" s="313"/>
      <c r="M1106" s="313"/>
      <c r="N1106" s="313"/>
      <c r="O1106" s="313"/>
      <c r="P1106" s="313"/>
      <c r="Q1106" s="313"/>
      <c r="R1106" s="313"/>
      <c r="S1106" s="313"/>
      <c r="T1106" s="313"/>
      <c r="U1106" s="313"/>
      <c r="V1106" s="313"/>
      <c r="W1106" s="313"/>
      <c r="X1106" s="313"/>
      <c r="Y1106" s="313"/>
      <c r="Z1106" s="313"/>
      <c r="AA1106" s="313"/>
    </row>
    <row r="1107" spans="1:27" ht="14.25" customHeight="1" x14ac:dyDescent="0.2">
      <c r="A1107" s="346">
        <v>44208</v>
      </c>
      <c r="B1107" s="313">
        <v>378.76998900000001</v>
      </c>
      <c r="C1107" s="313">
        <v>214.91000399999999</v>
      </c>
      <c r="D1107" s="345">
        <f t="shared" ref="D1107:E1107" si="1116">B1107/B1106-1</f>
        <v>2.1122025819941825E-4</v>
      </c>
      <c r="E1107" s="345">
        <f t="shared" si="1116"/>
        <v>-4.6501024069445229E-5</v>
      </c>
      <c r="F1107" s="313"/>
      <c r="G1107" s="313"/>
      <c r="H1107" s="313"/>
      <c r="I1107" s="313"/>
      <c r="J1107" s="313"/>
      <c r="K1107" s="313"/>
      <c r="L1107" s="313"/>
      <c r="M1107" s="313"/>
      <c r="N1107" s="313"/>
      <c r="O1107" s="313"/>
      <c r="P1107" s="313"/>
      <c r="Q1107" s="313"/>
      <c r="R1107" s="313"/>
      <c r="S1107" s="313"/>
      <c r="T1107" s="313"/>
      <c r="U1107" s="313"/>
      <c r="V1107" s="313"/>
      <c r="W1107" s="313"/>
      <c r="X1107" s="313"/>
      <c r="Y1107" s="313"/>
      <c r="Z1107" s="313"/>
      <c r="AA1107" s="313"/>
    </row>
    <row r="1108" spans="1:27" ht="14.25" customHeight="1" x14ac:dyDescent="0.2">
      <c r="A1108" s="346">
        <v>44209</v>
      </c>
      <c r="B1108" s="313">
        <v>379.790009</v>
      </c>
      <c r="C1108" s="313">
        <v>216.46000699999999</v>
      </c>
      <c r="D1108" s="345">
        <f t="shared" ref="D1108:E1108" si="1117">B1108/B1107-1</f>
        <v>2.6929799868595783E-3</v>
      </c>
      <c r="E1108" s="345">
        <f t="shared" si="1117"/>
        <v>7.2123352619732906E-3</v>
      </c>
      <c r="F1108" s="313"/>
      <c r="G1108" s="313"/>
      <c r="H1108" s="313"/>
      <c r="I1108" s="313"/>
      <c r="J1108" s="313"/>
      <c r="K1108" s="313"/>
      <c r="L1108" s="313"/>
      <c r="M1108" s="313"/>
      <c r="N1108" s="313"/>
      <c r="O1108" s="313"/>
      <c r="P1108" s="313"/>
      <c r="Q1108" s="313"/>
      <c r="R1108" s="313"/>
      <c r="S1108" s="313"/>
      <c r="T1108" s="313"/>
      <c r="U1108" s="313"/>
      <c r="V1108" s="313"/>
      <c r="W1108" s="313"/>
      <c r="X1108" s="313"/>
      <c r="Y1108" s="313"/>
      <c r="Z1108" s="313"/>
      <c r="AA1108" s="313"/>
    </row>
    <row r="1109" spans="1:27" ht="14.25" customHeight="1" x14ac:dyDescent="0.2">
      <c r="A1109" s="346">
        <v>44210</v>
      </c>
      <c r="B1109" s="313">
        <v>378.459991</v>
      </c>
      <c r="C1109" s="313">
        <v>214.990005</v>
      </c>
      <c r="D1109" s="345">
        <f t="shared" ref="D1109:E1109" si="1118">B1109/B1108-1</f>
        <v>-3.501982591648467E-3</v>
      </c>
      <c r="E1109" s="345">
        <f t="shared" si="1118"/>
        <v>-6.791102062562504E-3</v>
      </c>
      <c r="F1109" s="313"/>
      <c r="G1109" s="313"/>
      <c r="H1109" s="313"/>
      <c r="I1109" s="313"/>
      <c r="J1109" s="313"/>
      <c r="K1109" s="313"/>
      <c r="L1109" s="313"/>
      <c r="M1109" s="313"/>
      <c r="N1109" s="313"/>
      <c r="O1109" s="313"/>
      <c r="P1109" s="313"/>
      <c r="Q1109" s="313"/>
      <c r="R1109" s="313"/>
      <c r="S1109" s="313"/>
      <c r="T1109" s="313"/>
      <c r="U1109" s="313"/>
      <c r="V1109" s="313"/>
      <c r="W1109" s="313"/>
      <c r="X1109" s="313"/>
      <c r="Y1109" s="313"/>
      <c r="Z1109" s="313"/>
      <c r="AA1109" s="313"/>
    </row>
    <row r="1110" spans="1:27" ht="14.25" customHeight="1" x14ac:dyDescent="0.2">
      <c r="A1110" s="346">
        <v>44211</v>
      </c>
      <c r="B1110" s="313">
        <v>375.70001200000002</v>
      </c>
      <c r="C1110" s="313">
        <v>219.88999899999999</v>
      </c>
      <c r="D1110" s="345">
        <f t="shared" ref="D1110:E1110" si="1119">B1110/B1109-1</f>
        <v>-7.292657257395474E-3</v>
      </c>
      <c r="E1110" s="345">
        <f t="shared" si="1119"/>
        <v>2.2791729317835019E-2</v>
      </c>
      <c r="F1110" s="313"/>
      <c r="G1110" s="313"/>
      <c r="H1110" s="313"/>
      <c r="I1110" s="313"/>
      <c r="J1110" s="313"/>
      <c r="K1110" s="313"/>
      <c r="L1110" s="313"/>
      <c r="M1110" s="313"/>
      <c r="N1110" s="313"/>
      <c r="O1110" s="313"/>
      <c r="P1110" s="313"/>
      <c r="Q1110" s="313"/>
      <c r="R1110" s="313"/>
      <c r="S1110" s="313"/>
      <c r="T1110" s="313"/>
      <c r="U1110" s="313"/>
      <c r="V1110" s="313"/>
      <c r="W1110" s="313"/>
      <c r="X1110" s="313"/>
      <c r="Y1110" s="313"/>
      <c r="Z1110" s="313"/>
      <c r="AA1110" s="313"/>
    </row>
    <row r="1111" spans="1:27" ht="14.25" customHeight="1" x14ac:dyDescent="0.2">
      <c r="A1111" s="346">
        <v>44215</v>
      </c>
      <c r="B1111" s="313">
        <v>378.64999399999999</v>
      </c>
      <c r="C1111" s="313">
        <v>216.88000500000001</v>
      </c>
      <c r="D1111" s="345">
        <f t="shared" ref="D1111:E1111" si="1120">B1111/B1110-1</f>
        <v>7.8519614207517296E-3</v>
      </c>
      <c r="E1111" s="345">
        <f t="shared" si="1120"/>
        <v>-1.3688635288956363E-2</v>
      </c>
      <c r="F1111" s="313"/>
      <c r="G1111" s="313"/>
      <c r="H1111" s="313"/>
      <c r="I1111" s="313"/>
      <c r="J1111" s="313"/>
      <c r="K1111" s="313"/>
      <c r="L1111" s="313"/>
      <c r="M1111" s="313"/>
      <c r="N1111" s="313"/>
      <c r="O1111" s="313"/>
      <c r="P1111" s="313"/>
      <c r="Q1111" s="313"/>
      <c r="R1111" s="313"/>
      <c r="S1111" s="313"/>
      <c r="T1111" s="313"/>
      <c r="U1111" s="313"/>
      <c r="V1111" s="313"/>
      <c r="W1111" s="313"/>
      <c r="X1111" s="313"/>
      <c r="Y1111" s="313"/>
      <c r="Z1111" s="313"/>
      <c r="AA1111" s="313"/>
    </row>
    <row r="1112" spans="1:27" ht="14.25" customHeight="1" x14ac:dyDescent="0.2">
      <c r="A1112" s="346">
        <v>44216</v>
      </c>
      <c r="B1112" s="313">
        <v>383.89001500000001</v>
      </c>
      <c r="C1112" s="313">
        <v>222.779999</v>
      </c>
      <c r="D1112" s="345">
        <f t="shared" ref="D1112:E1112" si="1121">B1112/B1111-1</f>
        <v>1.3838692943436426E-2</v>
      </c>
      <c r="E1112" s="345">
        <f t="shared" si="1121"/>
        <v>2.7203955477592245E-2</v>
      </c>
      <c r="F1112" s="313"/>
      <c r="G1112" s="313"/>
      <c r="H1112" s="313"/>
      <c r="I1112" s="313"/>
      <c r="J1112" s="313"/>
      <c r="K1112" s="313"/>
      <c r="L1112" s="313"/>
      <c r="M1112" s="313"/>
      <c r="N1112" s="313"/>
      <c r="O1112" s="313"/>
      <c r="P1112" s="313"/>
      <c r="Q1112" s="313"/>
      <c r="R1112" s="313"/>
      <c r="S1112" s="313"/>
      <c r="T1112" s="313"/>
      <c r="U1112" s="313"/>
      <c r="V1112" s="313"/>
      <c r="W1112" s="313"/>
      <c r="X1112" s="313"/>
      <c r="Y1112" s="313"/>
      <c r="Z1112" s="313"/>
      <c r="AA1112" s="313"/>
    </row>
    <row r="1113" spans="1:27" ht="14.25" customHeight="1" x14ac:dyDescent="0.2">
      <c r="A1113" s="346">
        <v>44217</v>
      </c>
      <c r="B1113" s="313">
        <v>384.23998999999998</v>
      </c>
      <c r="C1113" s="313">
        <v>222.199997</v>
      </c>
      <c r="D1113" s="345">
        <f t="shared" ref="D1113:E1113" si="1122">B1113/B1112-1</f>
        <v>9.1165434453910343E-4</v>
      </c>
      <c r="E1113" s="345">
        <f t="shared" si="1122"/>
        <v>-2.603474291244634E-3</v>
      </c>
      <c r="F1113" s="313"/>
      <c r="G1113" s="313"/>
      <c r="H1113" s="313"/>
      <c r="I1113" s="313"/>
      <c r="J1113" s="313"/>
      <c r="K1113" s="313"/>
      <c r="L1113" s="313"/>
      <c r="M1113" s="313"/>
      <c r="N1113" s="313"/>
      <c r="O1113" s="313"/>
      <c r="P1113" s="313"/>
      <c r="Q1113" s="313"/>
      <c r="R1113" s="313"/>
      <c r="S1113" s="313"/>
      <c r="T1113" s="313"/>
      <c r="U1113" s="313"/>
      <c r="V1113" s="313"/>
      <c r="W1113" s="313"/>
      <c r="X1113" s="313"/>
      <c r="Y1113" s="313"/>
      <c r="Z1113" s="313"/>
      <c r="AA1113" s="313"/>
    </row>
    <row r="1114" spans="1:27" ht="14.25" customHeight="1" x14ac:dyDescent="0.2">
      <c r="A1114" s="346">
        <v>44218</v>
      </c>
      <c r="B1114" s="313">
        <v>382.88000499999998</v>
      </c>
      <c r="C1114" s="313">
        <v>223.91999799999999</v>
      </c>
      <c r="D1114" s="345">
        <f t="shared" ref="D1114:E1114" si="1123">B1114/B1113-1</f>
        <v>-3.5394155616129686E-3</v>
      </c>
      <c r="E1114" s="345">
        <f t="shared" si="1123"/>
        <v>7.7407786823686653E-3</v>
      </c>
      <c r="F1114" s="313"/>
      <c r="G1114" s="313"/>
      <c r="H1114" s="313"/>
      <c r="I1114" s="313"/>
      <c r="J1114" s="313"/>
      <c r="K1114" s="313"/>
      <c r="L1114" s="313"/>
      <c r="M1114" s="313"/>
      <c r="N1114" s="313"/>
      <c r="O1114" s="313"/>
      <c r="P1114" s="313"/>
      <c r="Q1114" s="313"/>
      <c r="R1114" s="313"/>
      <c r="S1114" s="313"/>
      <c r="T1114" s="313"/>
      <c r="U1114" s="313"/>
      <c r="V1114" s="313"/>
      <c r="W1114" s="313"/>
      <c r="X1114" s="313"/>
      <c r="Y1114" s="313"/>
      <c r="Z1114" s="313"/>
      <c r="AA1114" s="313"/>
    </row>
    <row r="1115" spans="1:27" ht="14.25" customHeight="1" x14ac:dyDescent="0.2">
      <c r="A1115" s="346">
        <v>44221</v>
      </c>
      <c r="B1115" s="313">
        <v>384.39001500000001</v>
      </c>
      <c r="C1115" s="313">
        <v>227.509995</v>
      </c>
      <c r="D1115" s="345">
        <f t="shared" ref="D1115:E1115" si="1124">B1115/B1114-1</f>
        <v>3.9438204666759624E-3</v>
      </c>
      <c r="E1115" s="345">
        <f t="shared" si="1124"/>
        <v>1.6032498356846281E-2</v>
      </c>
      <c r="F1115" s="313"/>
      <c r="G1115" s="313"/>
      <c r="H1115" s="313"/>
      <c r="I1115" s="313"/>
      <c r="J1115" s="313"/>
      <c r="K1115" s="313"/>
      <c r="L1115" s="313"/>
      <c r="M1115" s="313"/>
      <c r="N1115" s="313"/>
      <c r="O1115" s="313"/>
      <c r="P1115" s="313"/>
      <c r="Q1115" s="313"/>
      <c r="R1115" s="313"/>
      <c r="S1115" s="313"/>
      <c r="T1115" s="313"/>
      <c r="U1115" s="313"/>
      <c r="V1115" s="313"/>
      <c r="W1115" s="313"/>
      <c r="X1115" s="313"/>
      <c r="Y1115" s="313"/>
      <c r="Z1115" s="313"/>
      <c r="AA1115" s="313"/>
    </row>
    <row r="1116" spans="1:27" ht="14.25" customHeight="1" x14ac:dyDescent="0.2">
      <c r="A1116" s="346">
        <v>44222</v>
      </c>
      <c r="B1116" s="313">
        <v>383.790009</v>
      </c>
      <c r="C1116" s="313">
        <v>232.28999300000001</v>
      </c>
      <c r="D1116" s="345">
        <f t="shared" ref="D1116:E1116" si="1125">B1116/B1115-1</f>
        <v>-1.5609302442468609E-3</v>
      </c>
      <c r="E1116" s="345">
        <f t="shared" si="1125"/>
        <v>2.1010057162543561E-2</v>
      </c>
      <c r="F1116" s="313"/>
      <c r="G1116" s="313"/>
      <c r="H1116" s="313"/>
      <c r="I1116" s="313"/>
      <c r="J1116" s="313"/>
      <c r="K1116" s="313"/>
      <c r="L1116" s="313"/>
      <c r="M1116" s="313"/>
      <c r="N1116" s="313"/>
      <c r="O1116" s="313"/>
      <c r="P1116" s="313"/>
      <c r="Q1116" s="313"/>
      <c r="R1116" s="313"/>
      <c r="S1116" s="313"/>
      <c r="T1116" s="313"/>
      <c r="U1116" s="313"/>
      <c r="V1116" s="313"/>
      <c r="W1116" s="313"/>
      <c r="X1116" s="313"/>
      <c r="Y1116" s="313"/>
      <c r="Z1116" s="313"/>
      <c r="AA1116" s="313"/>
    </row>
    <row r="1117" spans="1:27" ht="14.25" customHeight="1" x14ac:dyDescent="0.2">
      <c r="A1117" s="346">
        <v>44223</v>
      </c>
      <c r="B1117" s="313">
        <v>374.41000400000001</v>
      </c>
      <c r="C1117" s="313">
        <v>229.05999800000001</v>
      </c>
      <c r="D1117" s="345">
        <f t="shared" ref="D1117:E1117" si="1126">B1117/B1116-1</f>
        <v>-2.4440461658812973E-2</v>
      </c>
      <c r="E1117" s="345">
        <f t="shared" si="1126"/>
        <v>-1.3905011396681211E-2</v>
      </c>
      <c r="F1117" s="313"/>
      <c r="G1117" s="313"/>
      <c r="H1117" s="313"/>
      <c r="I1117" s="313"/>
      <c r="J1117" s="313"/>
      <c r="K1117" s="313"/>
      <c r="L1117" s="313"/>
      <c r="M1117" s="313"/>
      <c r="N1117" s="313"/>
      <c r="O1117" s="313"/>
      <c r="P1117" s="313"/>
      <c r="Q1117" s="313"/>
      <c r="R1117" s="313"/>
      <c r="S1117" s="313"/>
      <c r="T1117" s="313"/>
      <c r="U1117" s="313"/>
      <c r="V1117" s="313"/>
      <c r="W1117" s="313"/>
      <c r="X1117" s="313"/>
      <c r="Y1117" s="313"/>
      <c r="Z1117" s="313"/>
      <c r="AA1117" s="313"/>
    </row>
    <row r="1118" spans="1:27" ht="14.25" customHeight="1" x14ac:dyDescent="0.2">
      <c r="A1118" s="346">
        <v>44224</v>
      </c>
      <c r="B1118" s="313">
        <v>377.63000499999998</v>
      </c>
      <c r="C1118" s="313">
        <v>228.30999800000001</v>
      </c>
      <c r="D1118" s="345">
        <f t="shared" ref="D1118:E1118" si="1127">B1118/B1117-1</f>
        <v>8.6002002232823394E-3</v>
      </c>
      <c r="E1118" s="345">
        <f t="shared" si="1127"/>
        <v>-3.2742513164607523E-3</v>
      </c>
      <c r="F1118" s="313"/>
      <c r="G1118" s="313"/>
      <c r="H1118" s="313"/>
      <c r="I1118" s="313"/>
      <c r="J1118" s="313"/>
      <c r="K1118" s="313"/>
      <c r="L1118" s="313"/>
      <c r="M1118" s="313"/>
      <c r="N1118" s="313"/>
      <c r="O1118" s="313"/>
      <c r="P1118" s="313"/>
      <c r="Q1118" s="313"/>
      <c r="R1118" s="313"/>
      <c r="S1118" s="313"/>
      <c r="T1118" s="313"/>
      <c r="U1118" s="313"/>
      <c r="V1118" s="313"/>
      <c r="W1118" s="313"/>
      <c r="X1118" s="313"/>
      <c r="Y1118" s="313"/>
      <c r="Z1118" s="313"/>
      <c r="AA1118" s="313"/>
    </row>
    <row r="1119" spans="1:27" ht="14.25" customHeight="1" x14ac:dyDescent="0.2">
      <c r="A1119" s="346">
        <v>44225</v>
      </c>
      <c r="B1119" s="313">
        <v>370.07000699999998</v>
      </c>
      <c r="C1119" s="313">
        <v>227.36000100000001</v>
      </c>
      <c r="D1119" s="345">
        <f t="shared" ref="D1119:E1119" si="1128">B1119/B1118-1</f>
        <v>-2.0019590339491189E-2</v>
      </c>
      <c r="E1119" s="345">
        <f t="shared" si="1128"/>
        <v>-4.1609960506415744E-3</v>
      </c>
      <c r="F1119" s="313"/>
      <c r="G1119" s="313"/>
      <c r="H1119" s="313"/>
      <c r="I1119" s="313"/>
      <c r="J1119" s="313"/>
      <c r="K1119" s="313"/>
      <c r="L1119" s="313"/>
      <c r="M1119" s="313"/>
      <c r="N1119" s="313"/>
      <c r="O1119" s="313"/>
      <c r="P1119" s="313"/>
      <c r="Q1119" s="313"/>
      <c r="R1119" s="313"/>
      <c r="S1119" s="313"/>
      <c r="T1119" s="313"/>
      <c r="U1119" s="313"/>
      <c r="V1119" s="313"/>
      <c r="W1119" s="313"/>
      <c r="X1119" s="313"/>
      <c r="Y1119" s="313"/>
      <c r="Z1119" s="313"/>
      <c r="AA1119" s="313"/>
    </row>
    <row r="1120" spans="1:27" ht="14.25" customHeight="1" x14ac:dyDescent="0.2">
      <c r="A1120" s="346">
        <v>44228</v>
      </c>
      <c r="B1120" s="313">
        <v>376.23001099999999</v>
      </c>
      <c r="C1120" s="313">
        <v>235.570007</v>
      </c>
      <c r="D1120" s="345">
        <f t="shared" ref="D1120:E1120" si="1129">B1120/B1119-1</f>
        <v>1.6645509994005048E-2</v>
      </c>
      <c r="E1120" s="345">
        <f t="shared" si="1129"/>
        <v>3.6110159939698461E-2</v>
      </c>
      <c r="F1120" s="313"/>
      <c r="G1120" s="313"/>
      <c r="H1120" s="313"/>
      <c r="I1120" s="313"/>
      <c r="J1120" s="313"/>
      <c r="K1120" s="313"/>
      <c r="L1120" s="313"/>
      <c r="M1120" s="313"/>
      <c r="N1120" s="313"/>
      <c r="O1120" s="313"/>
      <c r="P1120" s="313"/>
      <c r="Q1120" s="313"/>
      <c r="R1120" s="313"/>
      <c r="S1120" s="313"/>
      <c r="T1120" s="313"/>
      <c r="U1120" s="313"/>
      <c r="V1120" s="313"/>
      <c r="W1120" s="313"/>
      <c r="X1120" s="313"/>
      <c r="Y1120" s="313"/>
      <c r="Z1120" s="313"/>
      <c r="AA1120" s="313"/>
    </row>
    <row r="1121" spans="1:27" ht="14.25" customHeight="1" x14ac:dyDescent="0.2">
      <c r="A1121" s="346">
        <v>44229</v>
      </c>
      <c r="B1121" s="313">
        <v>381.54998799999998</v>
      </c>
      <c r="C1121" s="313">
        <v>236.14999399999999</v>
      </c>
      <c r="D1121" s="345">
        <f t="shared" ref="D1121:E1121" si="1130">B1121/B1120-1</f>
        <v>1.4140224980617067E-2</v>
      </c>
      <c r="E1121" s="345">
        <f t="shared" si="1130"/>
        <v>2.4620579138496801E-3</v>
      </c>
      <c r="F1121" s="313"/>
      <c r="G1121" s="313"/>
      <c r="H1121" s="313"/>
      <c r="I1121" s="313"/>
      <c r="J1121" s="313"/>
      <c r="K1121" s="313"/>
      <c r="L1121" s="313"/>
      <c r="M1121" s="313"/>
      <c r="N1121" s="313"/>
      <c r="O1121" s="313"/>
      <c r="P1121" s="313"/>
      <c r="Q1121" s="313"/>
      <c r="R1121" s="313"/>
      <c r="S1121" s="313"/>
      <c r="T1121" s="313"/>
      <c r="U1121" s="313"/>
      <c r="V1121" s="313"/>
      <c r="W1121" s="313"/>
      <c r="X1121" s="313"/>
      <c r="Y1121" s="313"/>
      <c r="Z1121" s="313"/>
      <c r="AA1121" s="313"/>
    </row>
    <row r="1122" spans="1:27" ht="14.25" customHeight="1" x14ac:dyDescent="0.2">
      <c r="A1122" s="346">
        <v>44230</v>
      </c>
      <c r="B1122" s="313">
        <v>381.85000600000001</v>
      </c>
      <c r="C1122" s="313">
        <v>232.30999800000001</v>
      </c>
      <c r="D1122" s="345">
        <f t="shared" ref="D1122:E1122" si="1131">B1122/B1121-1</f>
        <v>7.8631374508142393E-4</v>
      </c>
      <c r="E1122" s="345">
        <f t="shared" si="1131"/>
        <v>-1.6260834628689325E-2</v>
      </c>
      <c r="F1122" s="313"/>
      <c r="G1122" s="313"/>
      <c r="H1122" s="313"/>
      <c r="I1122" s="313"/>
      <c r="J1122" s="313"/>
      <c r="K1122" s="313"/>
      <c r="L1122" s="313"/>
      <c r="M1122" s="313"/>
      <c r="N1122" s="313"/>
      <c r="O1122" s="313"/>
      <c r="P1122" s="313"/>
      <c r="Q1122" s="313"/>
      <c r="R1122" s="313"/>
      <c r="S1122" s="313"/>
      <c r="T1122" s="313"/>
      <c r="U1122" s="313"/>
      <c r="V1122" s="313"/>
      <c r="W1122" s="313"/>
      <c r="X1122" s="313"/>
      <c r="Y1122" s="313"/>
      <c r="Z1122" s="313"/>
      <c r="AA1122" s="313"/>
    </row>
    <row r="1123" spans="1:27" ht="14.25" customHeight="1" x14ac:dyDescent="0.2">
      <c r="A1123" s="346">
        <v>44231</v>
      </c>
      <c r="B1123" s="313">
        <v>386.19000199999999</v>
      </c>
      <c r="C1123" s="313">
        <v>232.199997</v>
      </c>
      <c r="D1123" s="345">
        <f t="shared" ref="D1123:E1123" si="1132">B1123/B1122-1</f>
        <v>1.1365708869466307E-2</v>
      </c>
      <c r="E1123" s="345">
        <f t="shared" si="1132"/>
        <v>-4.7350953875002766E-4</v>
      </c>
      <c r="F1123" s="313"/>
      <c r="G1123" s="313"/>
      <c r="H1123" s="313"/>
      <c r="I1123" s="313"/>
      <c r="J1123" s="313"/>
      <c r="K1123" s="313"/>
      <c r="L1123" s="313"/>
      <c r="M1123" s="313"/>
      <c r="N1123" s="313"/>
      <c r="O1123" s="313"/>
      <c r="P1123" s="313"/>
      <c r="Q1123" s="313"/>
      <c r="R1123" s="313"/>
      <c r="S1123" s="313"/>
      <c r="T1123" s="313"/>
      <c r="U1123" s="313"/>
      <c r="V1123" s="313"/>
      <c r="W1123" s="313"/>
      <c r="X1123" s="313"/>
      <c r="Y1123" s="313"/>
      <c r="Z1123" s="313"/>
      <c r="AA1123" s="313"/>
    </row>
    <row r="1124" spans="1:27" ht="14.25" customHeight="1" x14ac:dyDescent="0.2">
      <c r="A1124" s="346">
        <v>44232</v>
      </c>
      <c r="B1124" s="313">
        <v>387.709991</v>
      </c>
      <c r="C1124" s="313">
        <v>232.990005</v>
      </c>
      <c r="D1124" s="345">
        <f t="shared" ref="D1124:E1124" si="1133">B1124/B1123-1</f>
        <v>3.9358579769759316E-3</v>
      </c>
      <c r="E1124" s="345">
        <f t="shared" si="1133"/>
        <v>3.4022739457657547E-3</v>
      </c>
      <c r="F1124" s="313"/>
      <c r="G1124" s="313"/>
      <c r="H1124" s="313"/>
      <c r="I1124" s="313"/>
      <c r="J1124" s="313"/>
      <c r="K1124" s="313"/>
      <c r="L1124" s="313"/>
      <c r="M1124" s="313"/>
      <c r="N1124" s="313"/>
      <c r="O1124" s="313"/>
      <c r="P1124" s="313"/>
      <c r="Q1124" s="313"/>
      <c r="R1124" s="313"/>
      <c r="S1124" s="313"/>
      <c r="T1124" s="313"/>
      <c r="U1124" s="313"/>
      <c r="V1124" s="313"/>
      <c r="W1124" s="313"/>
      <c r="X1124" s="313"/>
      <c r="Y1124" s="313"/>
      <c r="Z1124" s="313"/>
      <c r="AA1124" s="313"/>
    </row>
    <row r="1125" spans="1:27" ht="14.25" customHeight="1" x14ac:dyDescent="0.2">
      <c r="A1125" s="346">
        <v>44235</v>
      </c>
      <c r="B1125" s="313">
        <v>390.51001000000002</v>
      </c>
      <c r="C1125" s="313">
        <v>232.78999300000001</v>
      </c>
      <c r="D1125" s="345">
        <f t="shared" ref="D1125:E1125" si="1134">B1125/B1124-1</f>
        <v>7.2219418250689671E-3</v>
      </c>
      <c r="E1125" s="345">
        <f t="shared" si="1134"/>
        <v>-8.5845742610279885E-4</v>
      </c>
      <c r="F1125" s="313"/>
      <c r="G1125" s="313"/>
      <c r="H1125" s="313"/>
      <c r="I1125" s="313"/>
      <c r="J1125" s="313"/>
      <c r="K1125" s="313"/>
      <c r="L1125" s="313"/>
      <c r="M1125" s="313"/>
      <c r="N1125" s="313"/>
      <c r="O1125" s="313"/>
      <c r="P1125" s="313"/>
      <c r="Q1125" s="313"/>
      <c r="R1125" s="313"/>
      <c r="S1125" s="313"/>
      <c r="T1125" s="313"/>
      <c r="U1125" s="313"/>
      <c r="V1125" s="313"/>
      <c r="W1125" s="313"/>
      <c r="X1125" s="313"/>
      <c r="Y1125" s="313"/>
      <c r="Z1125" s="313"/>
      <c r="AA1125" s="313"/>
    </row>
    <row r="1126" spans="1:27" ht="14.25" customHeight="1" x14ac:dyDescent="0.2">
      <c r="A1126" s="346">
        <v>44236</v>
      </c>
      <c r="B1126" s="313">
        <v>390.25</v>
      </c>
      <c r="C1126" s="313">
        <v>231.66000399999999</v>
      </c>
      <c r="D1126" s="345">
        <f t="shared" ref="D1126:E1126" si="1135">B1126/B1125-1</f>
        <v>-6.658216008342821E-4</v>
      </c>
      <c r="E1126" s="345">
        <f t="shared" si="1135"/>
        <v>-4.854113295153617E-3</v>
      </c>
      <c r="F1126" s="313"/>
      <c r="G1126" s="313"/>
      <c r="H1126" s="313"/>
      <c r="I1126" s="313"/>
      <c r="J1126" s="313"/>
      <c r="K1126" s="313"/>
      <c r="L1126" s="313"/>
      <c r="M1126" s="313"/>
      <c r="N1126" s="313"/>
      <c r="O1126" s="313"/>
      <c r="P1126" s="313"/>
      <c r="Q1126" s="313"/>
      <c r="R1126" s="313"/>
      <c r="S1126" s="313"/>
      <c r="T1126" s="313"/>
      <c r="U1126" s="313"/>
      <c r="V1126" s="313"/>
      <c r="W1126" s="313"/>
      <c r="X1126" s="313"/>
      <c r="Y1126" s="313"/>
      <c r="Z1126" s="313"/>
      <c r="AA1126" s="313"/>
    </row>
    <row r="1127" spans="1:27" ht="14.25" customHeight="1" x14ac:dyDescent="0.2">
      <c r="A1127" s="346">
        <v>44237</v>
      </c>
      <c r="B1127" s="313">
        <v>390.07998700000002</v>
      </c>
      <c r="C1127" s="313">
        <v>231.66000399999999</v>
      </c>
      <c r="D1127" s="345">
        <f t="shared" ref="D1127:E1127" si="1136">B1127/B1126-1</f>
        <v>-4.3565150544522258E-4</v>
      </c>
      <c r="E1127" s="345">
        <f t="shared" si="1136"/>
        <v>0</v>
      </c>
      <c r="F1127" s="313"/>
      <c r="G1127" s="313"/>
      <c r="H1127" s="313"/>
      <c r="I1127" s="313"/>
      <c r="J1127" s="313"/>
      <c r="K1127" s="313"/>
      <c r="L1127" s="313"/>
      <c r="M1127" s="313"/>
      <c r="N1127" s="313"/>
      <c r="O1127" s="313"/>
      <c r="P1127" s="313"/>
      <c r="Q1127" s="313"/>
      <c r="R1127" s="313"/>
      <c r="S1127" s="313"/>
      <c r="T1127" s="313"/>
      <c r="U1127" s="313"/>
      <c r="V1127" s="313"/>
      <c r="W1127" s="313"/>
      <c r="X1127" s="313"/>
      <c r="Y1127" s="313"/>
      <c r="Z1127" s="313"/>
      <c r="AA1127" s="313"/>
    </row>
    <row r="1128" spans="1:27" ht="14.25" customHeight="1" x14ac:dyDescent="0.2">
      <c r="A1128" s="346">
        <v>44238</v>
      </c>
      <c r="B1128" s="313">
        <v>390.709991</v>
      </c>
      <c r="C1128" s="313">
        <v>227.820007</v>
      </c>
      <c r="D1128" s="345">
        <f t="shared" ref="D1128:E1128" si="1137">B1128/B1127-1</f>
        <v>1.6150636305265476E-3</v>
      </c>
      <c r="E1128" s="345">
        <f t="shared" si="1137"/>
        <v>-1.6576003339790923E-2</v>
      </c>
      <c r="F1128" s="313"/>
      <c r="G1128" s="313"/>
      <c r="H1128" s="313"/>
      <c r="I1128" s="313"/>
      <c r="J1128" s="313"/>
      <c r="K1128" s="313"/>
      <c r="L1128" s="313"/>
      <c r="M1128" s="313"/>
      <c r="N1128" s="313"/>
      <c r="O1128" s="313"/>
      <c r="P1128" s="313"/>
      <c r="Q1128" s="313"/>
      <c r="R1128" s="313"/>
      <c r="S1128" s="313"/>
      <c r="T1128" s="313"/>
      <c r="U1128" s="313"/>
      <c r="V1128" s="313"/>
      <c r="W1128" s="313"/>
      <c r="X1128" s="313"/>
      <c r="Y1128" s="313"/>
      <c r="Z1128" s="313"/>
      <c r="AA1128" s="313"/>
    </row>
    <row r="1129" spans="1:27" ht="14.25" customHeight="1" x14ac:dyDescent="0.2">
      <c r="A1129" s="346">
        <v>44239</v>
      </c>
      <c r="B1129" s="313">
        <v>392.64001500000001</v>
      </c>
      <c r="C1129" s="313">
        <v>227.19000199999999</v>
      </c>
      <c r="D1129" s="345">
        <f t="shared" ref="D1129:E1129" si="1138">B1129/B1128-1</f>
        <v>4.9397866562364001E-3</v>
      </c>
      <c r="E1129" s="345">
        <f t="shared" si="1138"/>
        <v>-2.765362920913339E-3</v>
      </c>
      <c r="F1129" s="313"/>
      <c r="G1129" s="313"/>
      <c r="H1129" s="313"/>
      <c r="I1129" s="313"/>
      <c r="J1129" s="313"/>
      <c r="K1129" s="313"/>
      <c r="L1129" s="313"/>
      <c r="M1129" s="313"/>
      <c r="N1129" s="313"/>
      <c r="O1129" s="313"/>
      <c r="P1129" s="313"/>
      <c r="Q1129" s="313"/>
      <c r="R1129" s="313"/>
      <c r="S1129" s="313"/>
      <c r="T1129" s="313"/>
      <c r="U1129" s="313"/>
      <c r="V1129" s="313"/>
      <c r="W1129" s="313"/>
      <c r="X1129" s="313"/>
      <c r="Y1129" s="313"/>
      <c r="Z1129" s="313"/>
      <c r="AA1129" s="313"/>
    </row>
    <row r="1130" spans="1:27" ht="14.25" customHeight="1" x14ac:dyDescent="0.2">
      <c r="A1130" s="346">
        <v>44243</v>
      </c>
      <c r="B1130" s="313">
        <v>392.29998799999998</v>
      </c>
      <c r="C1130" s="313">
        <v>224.979996</v>
      </c>
      <c r="D1130" s="345">
        <f t="shared" ref="D1130:E1130" si="1139">B1130/B1129-1</f>
        <v>-8.6600190253161013E-4</v>
      </c>
      <c r="E1130" s="345">
        <f t="shared" si="1139"/>
        <v>-9.7275671488395998E-3</v>
      </c>
      <c r="F1130" s="313"/>
      <c r="G1130" s="313"/>
      <c r="H1130" s="313"/>
      <c r="I1130" s="313"/>
      <c r="J1130" s="313"/>
      <c r="K1130" s="313"/>
      <c r="L1130" s="313"/>
      <c r="M1130" s="313"/>
      <c r="N1130" s="313"/>
      <c r="O1130" s="313"/>
      <c r="P1130" s="313"/>
      <c r="Q1130" s="313"/>
      <c r="R1130" s="313"/>
      <c r="S1130" s="313"/>
      <c r="T1130" s="313"/>
      <c r="U1130" s="313"/>
      <c r="V1130" s="313"/>
      <c r="W1130" s="313"/>
      <c r="X1130" s="313"/>
      <c r="Y1130" s="313"/>
      <c r="Z1130" s="313"/>
      <c r="AA1130" s="313"/>
    </row>
    <row r="1131" spans="1:27" ht="14.25" customHeight="1" x14ac:dyDescent="0.2">
      <c r="A1131" s="346">
        <v>44244</v>
      </c>
      <c r="B1131" s="313">
        <v>392.39001500000001</v>
      </c>
      <c r="C1131" s="313">
        <v>226.30999800000001</v>
      </c>
      <c r="D1131" s="345">
        <f t="shared" ref="D1131:E1131" si="1140">B1131/B1130-1</f>
        <v>2.294850949626781E-4</v>
      </c>
      <c r="E1131" s="345">
        <f t="shared" si="1140"/>
        <v>5.9116455847034732E-3</v>
      </c>
      <c r="F1131" s="313"/>
      <c r="G1131" s="313"/>
      <c r="H1131" s="313"/>
      <c r="I1131" s="313"/>
      <c r="J1131" s="313"/>
      <c r="K1131" s="313"/>
      <c r="L1131" s="313"/>
      <c r="M1131" s="313"/>
      <c r="N1131" s="313"/>
      <c r="O1131" s="313"/>
      <c r="P1131" s="313"/>
      <c r="Q1131" s="313"/>
      <c r="R1131" s="313"/>
      <c r="S1131" s="313"/>
      <c r="T1131" s="313"/>
      <c r="U1131" s="313"/>
      <c r="V1131" s="313"/>
      <c r="W1131" s="313"/>
      <c r="X1131" s="313"/>
      <c r="Y1131" s="313"/>
      <c r="Z1131" s="313"/>
      <c r="AA1131" s="313"/>
    </row>
    <row r="1132" spans="1:27" ht="14.25" customHeight="1" x14ac:dyDescent="0.2">
      <c r="A1132" s="346">
        <v>44245</v>
      </c>
      <c r="B1132" s="313">
        <v>390.72000100000002</v>
      </c>
      <c r="C1132" s="313">
        <v>228.259995</v>
      </c>
      <c r="D1132" s="345">
        <f t="shared" ref="D1132:E1132" si="1141">B1132/B1131-1</f>
        <v>-4.2560053420318544E-3</v>
      </c>
      <c r="E1132" s="345">
        <f t="shared" si="1141"/>
        <v>8.6164863118420865E-3</v>
      </c>
      <c r="F1132" s="313"/>
      <c r="G1132" s="313"/>
      <c r="H1132" s="313"/>
      <c r="I1132" s="313"/>
      <c r="J1132" s="313"/>
      <c r="K1132" s="313"/>
      <c r="L1132" s="313"/>
      <c r="M1132" s="313"/>
      <c r="N1132" s="313"/>
      <c r="O1132" s="313"/>
      <c r="P1132" s="313"/>
      <c r="Q1132" s="313"/>
      <c r="R1132" s="313"/>
      <c r="S1132" s="313"/>
      <c r="T1132" s="313"/>
      <c r="U1132" s="313"/>
      <c r="V1132" s="313"/>
      <c r="W1132" s="313"/>
      <c r="X1132" s="313"/>
      <c r="Y1132" s="313"/>
      <c r="Z1132" s="313"/>
      <c r="AA1132" s="313"/>
    </row>
    <row r="1133" spans="1:27" ht="14.25" customHeight="1" x14ac:dyDescent="0.2">
      <c r="A1133" s="346">
        <v>44246</v>
      </c>
      <c r="B1133" s="313">
        <v>390.02999899999998</v>
      </c>
      <c r="C1133" s="313">
        <v>226.36999499999999</v>
      </c>
      <c r="D1133" s="345">
        <f t="shared" ref="D1133:E1133" si="1142">B1133/B1132-1</f>
        <v>-1.7659756302059737E-3</v>
      </c>
      <c r="E1133" s="345">
        <f t="shared" si="1142"/>
        <v>-8.280031724350212E-3</v>
      </c>
      <c r="F1133" s="313"/>
      <c r="G1133" s="313"/>
      <c r="H1133" s="313"/>
      <c r="I1133" s="313"/>
      <c r="J1133" s="313"/>
      <c r="K1133" s="313"/>
      <c r="L1133" s="313"/>
      <c r="M1133" s="313"/>
      <c r="N1133" s="313"/>
      <c r="O1133" s="313"/>
      <c r="P1133" s="313"/>
      <c r="Q1133" s="313"/>
      <c r="R1133" s="313"/>
      <c r="S1133" s="313"/>
      <c r="T1133" s="313"/>
      <c r="U1133" s="313"/>
      <c r="V1133" s="313"/>
      <c r="W1133" s="313"/>
      <c r="X1133" s="313"/>
      <c r="Y1133" s="313"/>
      <c r="Z1133" s="313"/>
      <c r="AA1133" s="313"/>
    </row>
    <row r="1134" spans="1:27" ht="14.25" customHeight="1" x14ac:dyDescent="0.2">
      <c r="A1134" s="346">
        <v>44249</v>
      </c>
      <c r="B1134" s="313">
        <v>387.02999899999998</v>
      </c>
      <c r="C1134" s="313">
        <v>225.070007</v>
      </c>
      <c r="D1134" s="345">
        <f t="shared" ref="D1134:E1134" si="1143">B1134/B1133-1</f>
        <v>-7.6917160415652663E-3</v>
      </c>
      <c r="E1134" s="345">
        <f t="shared" si="1143"/>
        <v>-5.7427575593663738E-3</v>
      </c>
      <c r="F1134" s="313"/>
      <c r="G1134" s="313"/>
      <c r="H1134" s="313"/>
      <c r="I1134" s="313"/>
      <c r="J1134" s="313"/>
      <c r="K1134" s="313"/>
      <c r="L1134" s="313"/>
      <c r="M1134" s="313"/>
      <c r="N1134" s="313"/>
      <c r="O1134" s="313"/>
      <c r="P1134" s="313"/>
      <c r="Q1134" s="313"/>
      <c r="R1134" s="313"/>
      <c r="S1134" s="313"/>
      <c r="T1134" s="313"/>
      <c r="U1134" s="313"/>
      <c r="V1134" s="313"/>
      <c r="W1134" s="313"/>
      <c r="X1134" s="313"/>
      <c r="Y1134" s="313"/>
      <c r="Z1134" s="313"/>
      <c r="AA1134" s="313"/>
    </row>
    <row r="1135" spans="1:27" ht="14.25" customHeight="1" x14ac:dyDescent="0.2">
      <c r="A1135" s="346">
        <v>44250</v>
      </c>
      <c r="B1135" s="313">
        <v>387.5</v>
      </c>
      <c r="C1135" s="313">
        <v>223.16999799999999</v>
      </c>
      <c r="D1135" s="345">
        <f t="shared" ref="D1135:E1135" si="1144">B1135/B1134-1</f>
        <v>1.2143787334686351E-3</v>
      </c>
      <c r="E1135" s="345">
        <f t="shared" si="1144"/>
        <v>-8.4418578260407884E-3</v>
      </c>
      <c r="F1135" s="313"/>
      <c r="G1135" s="313"/>
      <c r="H1135" s="313"/>
      <c r="I1135" s="313"/>
      <c r="J1135" s="313"/>
      <c r="K1135" s="313"/>
      <c r="L1135" s="313"/>
      <c r="M1135" s="313"/>
      <c r="N1135" s="313"/>
      <c r="O1135" s="313"/>
      <c r="P1135" s="313"/>
      <c r="Q1135" s="313"/>
      <c r="R1135" s="313"/>
      <c r="S1135" s="313"/>
      <c r="T1135" s="313"/>
      <c r="U1135" s="313"/>
      <c r="V1135" s="313"/>
      <c r="W1135" s="313"/>
      <c r="X1135" s="313"/>
      <c r="Y1135" s="313"/>
      <c r="Z1135" s="313"/>
      <c r="AA1135" s="313"/>
    </row>
    <row r="1136" spans="1:27" ht="14.25" customHeight="1" x14ac:dyDescent="0.2">
      <c r="A1136" s="346">
        <v>44251</v>
      </c>
      <c r="B1136" s="313">
        <v>391.76998900000001</v>
      </c>
      <c r="C1136" s="313">
        <v>224.779999</v>
      </c>
      <c r="D1136" s="345">
        <f t="shared" ref="D1136:E1136" si="1145">B1136/B1135-1</f>
        <v>1.1019326451612965E-2</v>
      </c>
      <c r="E1136" s="345">
        <f t="shared" si="1145"/>
        <v>7.2142358490321357E-3</v>
      </c>
      <c r="F1136" s="313"/>
      <c r="G1136" s="313"/>
      <c r="H1136" s="313"/>
      <c r="I1136" s="313"/>
      <c r="J1136" s="313"/>
      <c r="K1136" s="313"/>
      <c r="L1136" s="313"/>
      <c r="M1136" s="313"/>
      <c r="N1136" s="313"/>
      <c r="O1136" s="313"/>
      <c r="P1136" s="313"/>
      <c r="Q1136" s="313"/>
      <c r="R1136" s="313"/>
      <c r="S1136" s="313"/>
      <c r="T1136" s="313"/>
      <c r="U1136" s="313"/>
      <c r="V1136" s="313"/>
      <c r="W1136" s="313"/>
      <c r="X1136" s="313"/>
      <c r="Y1136" s="313"/>
      <c r="Z1136" s="313"/>
      <c r="AA1136" s="313"/>
    </row>
    <row r="1137" spans="1:27" ht="14.25" customHeight="1" x14ac:dyDescent="0.2">
      <c r="A1137" s="346">
        <v>44252</v>
      </c>
      <c r="B1137" s="313">
        <v>382.32998700000002</v>
      </c>
      <c r="C1137" s="313">
        <v>224.75</v>
      </c>
      <c r="D1137" s="345">
        <f t="shared" ref="D1137:E1137" si="1146">B1137/B1136-1</f>
        <v>-2.4095776259166146E-2</v>
      </c>
      <c r="E1137" s="345">
        <f t="shared" si="1146"/>
        <v>-1.3345938310105332E-4</v>
      </c>
      <c r="F1137" s="313"/>
      <c r="G1137" s="313"/>
      <c r="H1137" s="313"/>
      <c r="I1137" s="313"/>
      <c r="J1137" s="313"/>
      <c r="K1137" s="313"/>
      <c r="L1137" s="313"/>
      <c r="M1137" s="313"/>
      <c r="N1137" s="313"/>
      <c r="O1137" s="313"/>
      <c r="P1137" s="313"/>
      <c r="Q1137" s="313"/>
      <c r="R1137" s="313"/>
      <c r="S1137" s="313"/>
      <c r="T1137" s="313"/>
      <c r="U1137" s="313"/>
      <c r="V1137" s="313"/>
      <c r="W1137" s="313"/>
      <c r="X1137" s="313"/>
      <c r="Y1137" s="313"/>
      <c r="Z1137" s="313"/>
      <c r="AA1137" s="313"/>
    </row>
    <row r="1138" spans="1:27" ht="14.25" customHeight="1" x14ac:dyDescent="0.2">
      <c r="A1138" s="346">
        <v>44253</v>
      </c>
      <c r="B1138" s="313">
        <v>380.35998499999999</v>
      </c>
      <c r="C1138" s="313">
        <v>216.13000500000001</v>
      </c>
      <c r="D1138" s="345">
        <f t="shared" ref="D1138:E1138" si="1147">B1138/B1137-1</f>
        <v>-5.1526222556014245E-3</v>
      </c>
      <c r="E1138" s="345">
        <f t="shared" si="1147"/>
        <v>-3.8353704115684062E-2</v>
      </c>
      <c r="F1138" s="313"/>
      <c r="G1138" s="313"/>
      <c r="H1138" s="313"/>
      <c r="I1138" s="313"/>
      <c r="J1138" s="313"/>
      <c r="K1138" s="313"/>
      <c r="L1138" s="313"/>
      <c r="M1138" s="313"/>
      <c r="N1138" s="313"/>
      <c r="O1138" s="313"/>
      <c r="P1138" s="313"/>
      <c r="Q1138" s="313"/>
      <c r="R1138" s="313"/>
      <c r="S1138" s="313"/>
      <c r="T1138" s="313"/>
      <c r="U1138" s="313"/>
      <c r="V1138" s="313"/>
      <c r="W1138" s="313"/>
      <c r="X1138" s="313"/>
      <c r="Y1138" s="313"/>
      <c r="Z1138" s="313"/>
      <c r="AA1138" s="313"/>
    </row>
    <row r="1139" spans="1:27" ht="14.25" customHeight="1" x14ac:dyDescent="0.2">
      <c r="A1139" s="346">
        <v>44256</v>
      </c>
      <c r="B1139" s="313">
        <v>389.57998700000002</v>
      </c>
      <c r="C1139" s="313">
        <v>213.770004</v>
      </c>
      <c r="D1139" s="345">
        <f t="shared" ref="D1139:E1139" si="1148">B1139/B1138-1</f>
        <v>2.4240199715014787E-2</v>
      </c>
      <c r="E1139" s="345">
        <f t="shared" si="1148"/>
        <v>-1.0919358466678464E-2</v>
      </c>
      <c r="F1139" s="313"/>
      <c r="G1139" s="313"/>
      <c r="H1139" s="313"/>
      <c r="I1139" s="313"/>
      <c r="J1139" s="313"/>
      <c r="K1139" s="313"/>
      <c r="L1139" s="313"/>
      <c r="M1139" s="313"/>
      <c r="N1139" s="313"/>
      <c r="O1139" s="313"/>
      <c r="P1139" s="313"/>
      <c r="Q1139" s="313"/>
      <c r="R1139" s="313"/>
      <c r="S1139" s="313"/>
      <c r="T1139" s="313"/>
      <c r="U1139" s="313"/>
      <c r="V1139" s="313"/>
      <c r="W1139" s="313"/>
      <c r="X1139" s="313"/>
      <c r="Y1139" s="313"/>
      <c r="Z1139" s="313"/>
      <c r="AA1139" s="313"/>
    </row>
    <row r="1140" spans="1:27" ht="14.25" customHeight="1" x14ac:dyDescent="0.2">
      <c r="A1140" s="346">
        <v>44257</v>
      </c>
      <c r="B1140" s="313">
        <v>386.540009</v>
      </c>
      <c r="C1140" s="313">
        <v>208.80999800000001</v>
      </c>
      <c r="D1140" s="345">
        <f t="shared" ref="D1140:E1140" si="1149">B1140/B1139-1</f>
        <v>-7.8032191114582039E-3</v>
      </c>
      <c r="E1140" s="345">
        <f t="shared" si="1149"/>
        <v>-2.3202535001122016E-2</v>
      </c>
      <c r="F1140" s="313"/>
      <c r="G1140" s="313"/>
      <c r="H1140" s="313"/>
      <c r="I1140" s="313"/>
      <c r="J1140" s="313"/>
      <c r="K1140" s="313"/>
      <c r="L1140" s="313"/>
      <c r="M1140" s="313"/>
      <c r="N1140" s="313"/>
      <c r="O1140" s="313"/>
      <c r="P1140" s="313"/>
      <c r="Q1140" s="313"/>
      <c r="R1140" s="313"/>
      <c r="S1140" s="313"/>
      <c r="T1140" s="313"/>
      <c r="U1140" s="313"/>
      <c r="V1140" s="313"/>
      <c r="W1140" s="313"/>
      <c r="X1140" s="313"/>
      <c r="Y1140" s="313"/>
      <c r="Z1140" s="313"/>
      <c r="AA1140" s="313"/>
    </row>
    <row r="1141" spans="1:27" ht="14.25" customHeight="1" x14ac:dyDescent="0.2">
      <c r="A1141" s="346">
        <v>44258</v>
      </c>
      <c r="B1141" s="313">
        <v>381.42001299999998</v>
      </c>
      <c r="C1141" s="313">
        <v>202.91000399999999</v>
      </c>
      <c r="D1141" s="345">
        <f t="shared" ref="D1141:E1141" si="1150">B1141/B1140-1</f>
        <v>-1.3245707768377524E-2</v>
      </c>
      <c r="E1141" s="345">
        <f t="shared" si="1150"/>
        <v>-2.8255323291560108E-2</v>
      </c>
      <c r="F1141" s="313"/>
      <c r="G1141" s="313"/>
      <c r="H1141" s="313"/>
      <c r="I1141" s="313"/>
      <c r="J1141" s="313"/>
      <c r="K1141" s="313"/>
      <c r="L1141" s="313"/>
      <c r="M1141" s="313"/>
      <c r="N1141" s="313"/>
      <c r="O1141" s="313"/>
      <c r="P1141" s="313"/>
      <c r="Q1141" s="313"/>
      <c r="R1141" s="313"/>
      <c r="S1141" s="313"/>
      <c r="T1141" s="313"/>
      <c r="U1141" s="313"/>
      <c r="V1141" s="313"/>
      <c r="W1141" s="313"/>
      <c r="X1141" s="313"/>
      <c r="Y1141" s="313"/>
      <c r="Z1141" s="313"/>
      <c r="AA1141" s="313"/>
    </row>
    <row r="1142" spans="1:27" ht="14.25" customHeight="1" x14ac:dyDescent="0.2">
      <c r="A1142" s="346">
        <v>44259</v>
      </c>
      <c r="B1142" s="313">
        <v>376.70001200000002</v>
      </c>
      <c r="C1142" s="313">
        <v>201.19000199999999</v>
      </c>
      <c r="D1142" s="345">
        <f t="shared" ref="D1142:E1142" si="1151">B1142/B1141-1</f>
        <v>-1.2374812120831136E-2</v>
      </c>
      <c r="E1142" s="345">
        <f t="shared" si="1151"/>
        <v>-8.476674220557423E-3</v>
      </c>
      <c r="F1142" s="313"/>
      <c r="G1142" s="313"/>
      <c r="H1142" s="313"/>
      <c r="I1142" s="313"/>
      <c r="J1142" s="313"/>
      <c r="K1142" s="313"/>
      <c r="L1142" s="313"/>
      <c r="M1142" s="313"/>
      <c r="N1142" s="313"/>
      <c r="O1142" s="313"/>
      <c r="P1142" s="313"/>
      <c r="Q1142" s="313"/>
      <c r="R1142" s="313"/>
      <c r="S1142" s="313"/>
      <c r="T1142" s="313"/>
      <c r="U1142" s="313"/>
      <c r="V1142" s="313"/>
      <c r="W1142" s="313"/>
      <c r="X1142" s="313"/>
      <c r="Y1142" s="313"/>
      <c r="Z1142" s="313"/>
      <c r="AA1142" s="313"/>
    </row>
    <row r="1143" spans="1:27" ht="14.25" customHeight="1" x14ac:dyDescent="0.2">
      <c r="A1143" s="346">
        <v>44260</v>
      </c>
      <c r="B1143" s="313">
        <v>383.63000499999998</v>
      </c>
      <c r="C1143" s="313">
        <v>200</v>
      </c>
      <c r="D1143" s="345">
        <f t="shared" ref="D1143:E1143" si="1152">B1143/B1142-1</f>
        <v>1.8396582902152847E-2</v>
      </c>
      <c r="E1143" s="345">
        <f t="shared" si="1152"/>
        <v>-5.9148167810048058E-3</v>
      </c>
      <c r="F1143" s="313"/>
      <c r="G1143" s="313"/>
      <c r="H1143" s="313"/>
      <c r="I1143" s="313"/>
      <c r="J1143" s="313"/>
      <c r="K1143" s="313"/>
      <c r="L1143" s="313"/>
      <c r="M1143" s="313"/>
      <c r="N1143" s="313"/>
      <c r="O1143" s="313"/>
      <c r="P1143" s="313"/>
      <c r="Q1143" s="313"/>
      <c r="R1143" s="313"/>
      <c r="S1143" s="313"/>
      <c r="T1143" s="313"/>
      <c r="U1143" s="313"/>
      <c r="V1143" s="313"/>
      <c r="W1143" s="313"/>
      <c r="X1143" s="313"/>
      <c r="Y1143" s="313"/>
      <c r="Z1143" s="313"/>
      <c r="AA1143" s="313"/>
    </row>
    <row r="1144" spans="1:27" ht="14.25" customHeight="1" x14ac:dyDescent="0.2">
      <c r="A1144" s="346">
        <v>44263</v>
      </c>
      <c r="B1144" s="313">
        <v>381.72000100000002</v>
      </c>
      <c r="C1144" s="313">
        <v>198.66000399999999</v>
      </c>
      <c r="D1144" s="345">
        <f t="shared" ref="D1144:E1144" si="1153">B1144/B1143-1</f>
        <v>-4.9787659335978063E-3</v>
      </c>
      <c r="E1144" s="345">
        <f t="shared" si="1153"/>
        <v>-6.6999800000000498E-3</v>
      </c>
      <c r="F1144" s="313"/>
      <c r="G1144" s="313"/>
      <c r="H1144" s="313"/>
      <c r="I1144" s="313"/>
      <c r="J1144" s="313"/>
      <c r="K1144" s="313"/>
      <c r="L1144" s="313"/>
      <c r="M1144" s="313"/>
      <c r="N1144" s="313"/>
      <c r="O1144" s="313"/>
      <c r="P1144" s="313"/>
      <c r="Q1144" s="313"/>
      <c r="R1144" s="313"/>
      <c r="S1144" s="313"/>
      <c r="T1144" s="313"/>
      <c r="U1144" s="313"/>
      <c r="V1144" s="313"/>
      <c r="W1144" s="313"/>
      <c r="X1144" s="313"/>
      <c r="Y1144" s="313"/>
      <c r="Z1144" s="313"/>
      <c r="AA1144" s="313"/>
    </row>
    <row r="1145" spans="1:27" ht="14.25" customHeight="1" x14ac:dyDescent="0.2">
      <c r="A1145" s="346">
        <v>44264</v>
      </c>
      <c r="B1145" s="313">
        <v>387.17001299999998</v>
      </c>
      <c r="C1145" s="313">
        <v>202.699997</v>
      </c>
      <c r="D1145" s="345">
        <f t="shared" ref="D1145:E1145" si="1154">B1145/B1144-1</f>
        <v>1.427751227528673E-2</v>
      </c>
      <c r="E1145" s="345">
        <f t="shared" si="1154"/>
        <v>2.0336217248843047E-2</v>
      </c>
      <c r="F1145" s="313"/>
      <c r="G1145" s="313"/>
      <c r="H1145" s="313"/>
      <c r="I1145" s="313"/>
      <c r="J1145" s="313"/>
      <c r="K1145" s="313"/>
      <c r="L1145" s="313"/>
      <c r="M1145" s="313"/>
      <c r="N1145" s="313"/>
      <c r="O1145" s="313"/>
      <c r="P1145" s="313"/>
      <c r="Q1145" s="313"/>
      <c r="R1145" s="313"/>
      <c r="S1145" s="313"/>
      <c r="T1145" s="313"/>
      <c r="U1145" s="313"/>
      <c r="V1145" s="313"/>
      <c r="W1145" s="313"/>
      <c r="X1145" s="313"/>
      <c r="Y1145" s="313"/>
      <c r="Z1145" s="313"/>
      <c r="AA1145" s="313"/>
    </row>
    <row r="1146" spans="1:27" ht="14.25" customHeight="1" x14ac:dyDescent="0.2">
      <c r="A1146" s="346">
        <v>44265</v>
      </c>
      <c r="B1146" s="313">
        <v>389.57998700000002</v>
      </c>
      <c r="C1146" s="313">
        <v>204.41999799999999</v>
      </c>
      <c r="D1146" s="345">
        <f t="shared" ref="D1146:E1146" si="1155">B1146/B1145-1</f>
        <v>6.2245884729714707E-3</v>
      </c>
      <c r="E1146" s="345">
        <f t="shared" si="1155"/>
        <v>8.4854515316050705E-3</v>
      </c>
      <c r="F1146" s="313"/>
      <c r="G1146" s="313"/>
      <c r="H1146" s="313"/>
      <c r="I1146" s="313"/>
      <c r="J1146" s="313"/>
      <c r="K1146" s="313"/>
      <c r="L1146" s="313"/>
      <c r="M1146" s="313"/>
      <c r="N1146" s="313"/>
      <c r="O1146" s="313"/>
      <c r="P1146" s="313"/>
      <c r="Q1146" s="313"/>
      <c r="R1146" s="313"/>
      <c r="S1146" s="313"/>
      <c r="T1146" s="313"/>
      <c r="U1146" s="313"/>
      <c r="V1146" s="313"/>
      <c r="W1146" s="313"/>
      <c r="X1146" s="313"/>
      <c r="Y1146" s="313"/>
      <c r="Z1146" s="313"/>
      <c r="AA1146" s="313"/>
    </row>
    <row r="1147" spans="1:27" ht="14.25" customHeight="1" x14ac:dyDescent="0.2">
      <c r="A1147" s="346">
        <v>44266</v>
      </c>
      <c r="B1147" s="313">
        <v>393.52999899999998</v>
      </c>
      <c r="C1147" s="313">
        <v>213.89999399999999</v>
      </c>
      <c r="D1147" s="345">
        <f t="shared" ref="D1147:E1147" si="1156">B1147/B1146-1</f>
        <v>1.0139155325758376E-2</v>
      </c>
      <c r="E1147" s="345">
        <f t="shared" si="1156"/>
        <v>4.6375090953674647E-2</v>
      </c>
      <c r="F1147" s="313"/>
      <c r="G1147" s="313"/>
      <c r="H1147" s="313"/>
      <c r="I1147" s="313"/>
      <c r="J1147" s="313"/>
      <c r="K1147" s="313"/>
      <c r="L1147" s="313"/>
      <c r="M1147" s="313"/>
      <c r="N1147" s="313"/>
      <c r="O1147" s="313"/>
      <c r="P1147" s="313"/>
      <c r="Q1147" s="313"/>
      <c r="R1147" s="313"/>
      <c r="S1147" s="313"/>
      <c r="T1147" s="313"/>
      <c r="U1147" s="313"/>
      <c r="V1147" s="313"/>
      <c r="W1147" s="313"/>
      <c r="X1147" s="313"/>
      <c r="Y1147" s="313"/>
      <c r="Z1147" s="313"/>
      <c r="AA1147" s="313"/>
    </row>
    <row r="1148" spans="1:27" ht="14.25" customHeight="1" x14ac:dyDescent="0.2">
      <c r="A1148" s="346">
        <v>44267</v>
      </c>
      <c r="B1148" s="313">
        <v>394.05999800000001</v>
      </c>
      <c r="C1148" s="313">
        <v>215.199997</v>
      </c>
      <c r="D1148" s="345">
        <f t="shared" ref="D1148:E1148" si="1157">B1148/B1147-1</f>
        <v>1.3467816973211644E-3</v>
      </c>
      <c r="E1148" s="345">
        <f t="shared" si="1157"/>
        <v>6.0776205538368711E-3</v>
      </c>
      <c r="F1148" s="313"/>
      <c r="G1148" s="313"/>
      <c r="H1148" s="313"/>
      <c r="I1148" s="313"/>
      <c r="J1148" s="313"/>
      <c r="K1148" s="313"/>
      <c r="L1148" s="313"/>
      <c r="M1148" s="313"/>
      <c r="N1148" s="313"/>
      <c r="O1148" s="313"/>
      <c r="P1148" s="313"/>
      <c r="Q1148" s="313"/>
      <c r="R1148" s="313"/>
      <c r="S1148" s="313"/>
      <c r="T1148" s="313"/>
      <c r="U1148" s="313"/>
      <c r="V1148" s="313"/>
      <c r="W1148" s="313"/>
      <c r="X1148" s="313"/>
      <c r="Y1148" s="313"/>
      <c r="Z1148" s="313"/>
      <c r="AA1148" s="313"/>
    </row>
    <row r="1149" spans="1:27" ht="14.25" customHeight="1" x14ac:dyDescent="0.2">
      <c r="A1149" s="346">
        <v>44270</v>
      </c>
      <c r="B1149" s="313">
        <v>396.41000400000001</v>
      </c>
      <c r="C1149" s="313">
        <v>218.490005</v>
      </c>
      <c r="D1149" s="345">
        <f t="shared" ref="D1149:E1149" si="1158">B1149/B1148-1</f>
        <v>5.9635741052812552E-3</v>
      </c>
      <c r="E1149" s="345">
        <f t="shared" si="1158"/>
        <v>1.5288141477065142E-2</v>
      </c>
      <c r="F1149" s="313"/>
      <c r="G1149" s="313"/>
      <c r="H1149" s="313"/>
      <c r="I1149" s="313"/>
      <c r="J1149" s="313"/>
      <c r="K1149" s="313"/>
      <c r="L1149" s="313"/>
      <c r="M1149" s="313"/>
      <c r="N1149" s="313"/>
      <c r="O1149" s="313"/>
      <c r="P1149" s="313"/>
      <c r="Q1149" s="313"/>
      <c r="R1149" s="313"/>
      <c r="S1149" s="313"/>
      <c r="T1149" s="313"/>
      <c r="U1149" s="313"/>
      <c r="V1149" s="313"/>
      <c r="W1149" s="313"/>
      <c r="X1149" s="313"/>
      <c r="Y1149" s="313"/>
      <c r="Z1149" s="313"/>
      <c r="AA1149" s="313"/>
    </row>
    <row r="1150" spans="1:27" ht="14.25" customHeight="1" x14ac:dyDescent="0.2">
      <c r="A1150" s="346">
        <v>44271</v>
      </c>
      <c r="B1150" s="313">
        <v>395.91000400000001</v>
      </c>
      <c r="C1150" s="313">
        <v>222.83999600000001</v>
      </c>
      <c r="D1150" s="345">
        <f t="shared" ref="D1150:E1150" si="1159">B1150/B1149-1</f>
        <v>-1.2613203374151061E-3</v>
      </c>
      <c r="E1150" s="345">
        <f t="shared" si="1159"/>
        <v>1.9909336356141338E-2</v>
      </c>
      <c r="F1150" s="313"/>
      <c r="G1150" s="313"/>
      <c r="H1150" s="313"/>
      <c r="I1150" s="313"/>
      <c r="J1150" s="313"/>
      <c r="K1150" s="313"/>
      <c r="L1150" s="313"/>
      <c r="M1150" s="313"/>
      <c r="N1150" s="313"/>
      <c r="O1150" s="313"/>
      <c r="P1150" s="313"/>
      <c r="Q1150" s="313"/>
      <c r="R1150" s="313"/>
      <c r="S1150" s="313"/>
      <c r="T1150" s="313"/>
      <c r="U1150" s="313"/>
      <c r="V1150" s="313"/>
      <c r="W1150" s="313"/>
      <c r="X1150" s="313"/>
      <c r="Y1150" s="313"/>
      <c r="Z1150" s="313"/>
      <c r="AA1150" s="313"/>
    </row>
    <row r="1151" spans="1:27" ht="14.25" customHeight="1" x14ac:dyDescent="0.2">
      <c r="A1151" s="346">
        <v>44272</v>
      </c>
      <c r="B1151" s="313">
        <v>397.26001000000002</v>
      </c>
      <c r="C1151" s="313">
        <v>223.16999799999999</v>
      </c>
      <c r="D1151" s="345">
        <f t="shared" ref="D1151:E1151" si="1160">B1151/B1150-1</f>
        <v>3.4098809991172097E-3</v>
      </c>
      <c r="E1151" s="345">
        <f t="shared" si="1160"/>
        <v>1.4808921464888325E-3</v>
      </c>
      <c r="F1151" s="313"/>
      <c r="G1151" s="313"/>
      <c r="H1151" s="313"/>
      <c r="I1151" s="313"/>
      <c r="J1151" s="313"/>
      <c r="K1151" s="313"/>
      <c r="L1151" s="313"/>
      <c r="M1151" s="313"/>
      <c r="N1151" s="313"/>
      <c r="O1151" s="313"/>
      <c r="P1151" s="313"/>
      <c r="Q1151" s="313"/>
      <c r="R1151" s="313"/>
      <c r="S1151" s="313"/>
      <c r="T1151" s="313"/>
      <c r="U1151" s="313"/>
      <c r="V1151" s="313"/>
      <c r="W1151" s="313"/>
      <c r="X1151" s="313"/>
      <c r="Y1151" s="313"/>
      <c r="Z1151" s="313"/>
      <c r="AA1151" s="313"/>
    </row>
    <row r="1152" spans="1:27" ht="14.25" customHeight="1" x14ac:dyDescent="0.2">
      <c r="A1152" s="346">
        <v>44273</v>
      </c>
      <c r="B1152" s="313">
        <v>391.48001099999999</v>
      </c>
      <c r="C1152" s="313">
        <v>222.509995</v>
      </c>
      <c r="D1152" s="345">
        <f t="shared" ref="D1152:E1152" si="1161">B1152/B1151-1</f>
        <v>-1.454966232317223E-2</v>
      </c>
      <c r="E1152" s="345">
        <f t="shared" si="1161"/>
        <v>-2.9574002147008116E-3</v>
      </c>
      <c r="F1152" s="313"/>
      <c r="G1152" s="313"/>
      <c r="H1152" s="313"/>
      <c r="I1152" s="313"/>
      <c r="J1152" s="313"/>
      <c r="K1152" s="313"/>
      <c r="L1152" s="313"/>
      <c r="M1152" s="313"/>
      <c r="N1152" s="313"/>
      <c r="O1152" s="313"/>
      <c r="P1152" s="313"/>
      <c r="Q1152" s="313"/>
      <c r="R1152" s="313"/>
      <c r="S1152" s="313"/>
      <c r="T1152" s="313"/>
      <c r="U1152" s="313"/>
      <c r="V1152" s="313"/>
      <c r="W1152" s="313"/>
      <c r="X1152" s="313"/>
      <c r="Y1152" s="313"/>
      <c r="Z1152" s="313"/>
      <c r="AA1152" s="313"/>
    </row>
    <row r="1153" spans="1:27" ht="14.25" customHeight="1" x14ac:dyDescent="0.2">
      <c r="A1153" s="346">
        <v>44274</v>
      </c>
      <c r="B1153" s="313">
        <v>389.48001099999999</v>
      </c>
      <c r="C1153" s="313">
        <v>221.86000100000001</v>
      </c>
      <c r="D1153" s="345">
        <f t="shared" ref="D1153:E1153" si="1162">B1153/B1152-1</f>
        <v>-5.1088176760064608E-3</v>
      </c>
      <c r="E1153" s="345">
        <f t="shared" si="1162"/>
        <v>-2.921190124515527E-3</v>
      </c>
      <c r="F1153" s="313"/>
      <c r="G1153" s="313"/>
      <c r="H1153" s="313"/>
      <c r="I1153" s="313"/>
      <c r="J1153" s="313"/>
      <c r="K1153" s="313"/>
      <c r="L1153" s="313"/>
      <c r="M1153" s="313"/>
      <c r="N1153" s="313"/>
      <c r="O1153" s="313"/>
      <c r="P1153" s="313"/>
      <c r="Q1153" s="313"/>
      <c r="R1153" s="313"/>
      <c r="S1153" s="313"/>
      <c r="T1153" s="313"/>
      <c r="U1153" s="313"/>
      <c r="V1153" s="313"/>
      <c r="W1153" s="313"/>
      <c r="X1153" s="313"/>
      <c r="Y1153" s="313"/>
      <c r="Z1153" s="313"/>
      <c r="AA1153" s="313"/>
    </row>
    <row r="1154" spans="1:27" ht="14.25" customHeight="1" x14ac:dyDescent="0.2">
      <c r="A1154" s="346">
        <v>44277</v>
      </c>
      <c r="B1154" s="313">
        <v>392.58999599999999</v>
      </c>
      <c r="C1154" s="313">
        <v>225.83000200000001</v>
      </c>
      <c r="D1154" s="345">
        <f t="shared" ref="D1154:E1154" si="1163">B1154/B1153-1</f>
        <v>7.9849669101503817E-3</v>
      </c>
      <c r="E1154" s="345">
        <f t="shared" si="1163"/>
        <v>1.7894171919705437E-2</v>
      </c>
      <c r="F1154" s="313"/>
      <c r="G1154" s="313"/>
      <c r="H1154" s="313"/>
      <c r="I1154" s="313"/>
      <c r="J1154" s="313"/>
      <c r="K1154" s="313"/>
      <c r="L1154" s="313"/>
      <c r="M1154" s="313"/>
      <c r="N1154" s="313"/>
      <c r="O1154" s="313"/>
      <c r="P1154" s="313"/>
      <c r="Q1154" s="313"/>
      <c r="R1154" s="313"/>
      <c r="S1154" s="313"/>
      <c r="T1154" s="313"/>
      <c r="U1154" s="313"/>
      <c r="V1154" s="313"/>
      <c r="W1154" s="313"/>
      <c r="X1154" s="313"/>
      <c r="Y1154" s="313"/>
      <c r="Z1154" s="313"/>
      <c r="AA1154" s="313"/>
    </row>
    <row r="1155" spans="1:27" ht="14.25" customHeight="1" x14ac:dyDescent="0.2">
      <c r="A1155" s="346">
        <v>44278</v>
      </c>
      <c r="B1155" s="313">
        <v>389.5</v>
      </c>
      <c r="C1155" s="313">
        <v>229.85000600000001</v>
      </c>
      <c r="D1155" s="345">
        <f t="shared" ref="D1155:E1155" si="1164">B1155/B1154-1</f>
        <v>-7.8707965854534212E-3</v>
      </c>
      <c r="E1155" s="345">
        <f t="shared" si="1164"/>
        <v>1.7801018307567418E-2</v>
      </c>
      <c r="F1155" s="313"/>
      <c r="G1155" s="313"/>
      <c r="H1155" s="313"/>
      <c r="I1155" s="313"/>
      <c r="J1155" s="313"/>
      <c r="K1155" s="313"/>
      <c r="L1155" s="313"/>
      <c r="M1155" s="313"/>
      <c r="N1155" s="313"/>
      <c r="O1155" s="313"/>
      <c r="P1155" s="313"/>
      <c r="Q1155" s="313"/>
      <c r="R1155" s="313"/>
      <c r="S1155" s="313"/>
      <c r="T1155" s="313"/>
      <c r="U1155" s="313"/>
      <c r="V1155" s="313"/>
      <c r="W1155" s="313"/>
      <c r="X1155" s="313"/>
      <c r="Y1155" s="313"/>
      <c r="Z1155" s="313"/>
      <c r="AA1155" s="313"/>
    </row>
    <row r="1156" spans="1:27" ht="14.25" customHeight="1" x14ac:dyDescent="0.2">
      <c r="A1156" s="346">
        <v>44279</v>
      </c>
      <c r="B1156" s="313">
        <v>387.51998900000001</v>
      </c>
      <c r="C1156" s="313">
        <v>227</v>
      </c>
      <c r="D1156" s="345">
        <f t="shared" ref="D1156:E1156" si="1165">B1156/B1155-1</f>
        <v>-5.0834685494223208E-3</v>
      </c>
      <c r="E1156" s="345">
        <f t="shared" si="1165"/>
        <v>-1.2399416687420062E-2</v>
      </c>
      <c r="F1156" s="313"/>
      <c r="G1156" s="313"/>
      <c r="H1156" s="313"/>
      <c r="I1156" s="313"/>
      <c r="J1156" s="313"/>
      <c r="K1156" s="313"/>
      <c r="L1156" s="313"/>
      <c r="M1156" s="313"/>
      <c r="N1156" s="313"/>
      <c r="O1156" s="313"/>
      <c r="P1156" s="313"/>
      <c r="Q1156" s="313"/>
      <c r="R1156" s="313"/>
      <c r="S1156" s="313"/>
      <c r="T1156" s="313"/>
      <c r="U1156" s="313"/>
      <c r="V1156" s="313"/>
      <c r="W1156" s="313"/>
      <c r="X1156" s="313"/>
      <c r="Y1156" s="313"/>
      <c r="Z1156" s="313"/>
      <c r="AA1156" s="313"/>
    </row>
    <row r="1157" spans="1:27" ht="14.25" customHeight="1" x14ac:dyDescent="0.2">
      <c r="A1157" s="346">
        <v>44280</v>
      </c>
      <c r="B1157" s="313">
        <v>389.70001200000002</v>
      </c>
      <c r="C1157" s="313">
        <v>227.220001</v>
      </c>
      <c r="D1157" s="345">
        <f t="shared" ref="D1157:E1157" si="1166">B1157/B1156-1</f>
        <v>5.6255756138556823E-3</v>
      </c>
      <c r="E1157" s="345">
        <f t="shared" si="1166"/>
        <v>9.6916740088093256E-4</v>
      </c>
      <c r="F1157" s="313"/>
      <c r="G1157" s="313"/>
      <c r="H1157" s="313"/>
      <c r="I1157" s="313"/>
      <c r="J1157" s="313"/>
      <c r="K1157" s="313"/>
      <c r="L1157" s="313"/>
      <c r="M1157" s="313"/>
      <c r="N1157" s="313"/>
      <c r="O1157" s="313"/>
      <c r="P1157" s="313"/>
      <c r="Q1157" s="313"/>
      <c r="R1157" s="313"/>
      <c r="S1157" s="313"/>
      <c r="T1157" s="313"/>
      <c r="U1157" s="313"/>
      <c r="V1157" s="313"/>
      <c r="W1157" s="313"/>
      <c r="X1157" s="313"/>
      <c r="Y1157" s="313"/>
      <c r="Z1157" s="313"/>
      <c r="AA1157" s="313"/>
    </row>
    <row r="1158" spans="1:27" ht="14.25" customHeight="1" x14ac:dyDescent="0.2">
      <c r="A1158" s="346">
        <v>44281</v>
      </c>
      <c r="B1158" s="313">
        <v>395.98001099999999</v>
      </c>
      <c r="C1158" s="313">
        <v>238.820007</v>
      </c>
      <c r="D1158" s="345">
        <f t="shared" ref="D1158:E1158" si="1167">B1158/B1157-1</f>
        <v>1.6114957163511745E-2</v>
      </c>
      <c r="E1158" s="345">
        <f t="shared" si="1167"/>
        <v>5.1051870209260386E-2</v>
      </c>
      <c r="F1158" s="313"/>
      <c r="G1158" s="313"/>
      <c r="H1158" s="313"/>
      <c r="I1158" s="313"/>
      <c r="J1158" s="313"/>
      <c r="K1158" s="313"/>
      <c r="L1158" s="313"/>
      <c r="M1158" s="313"/>
      <c r="N1158" s="313"/>
      <c r="O1158" s="313"/>
      <c r="P1158" s="313"/>
      <c r="Q1158" s="313"/>
      <c r="R1158" s="313"/>
      <c r="S1158" s="313"/>
      <c r="T1158" s="313"/>
      <c r="U1158" s="313"/>
      <c r="V1158" s="313"/>
      <c r="W1158" s="313"/>
      <c r="X1158" s="313"/>
      <c r="Y1158" s="313"/>
      <c r="Z1158" s="313"/>
      <c r="AA1158" s="313"/>
    </row>
    <row r="1159" spans="1:27" ht="14.25" customHeight="1" x14ac:dyDescent="0.2">
      <c r="A1159" s="346">
        <v>44284</v>
      </c>
      <c r="B1159" s="313">
        <v>395.77999899999998</v>
      </c>
      <c r="C1159" s="313">
        <v>241.83000200000001</v>
      </c>
      <c r="D1159" s="345">
        <f t="shared" ref="D1159:E1159" si="1168">B1159/B1158-1</f>
        <v>-5.0510630446953808E-4</v>
      </c>
      <c r="E1159" s="345">
        <f t="shared" si="1168"/>
        <v>1.2603613230779187E-2</v>
      </c>
      <c r="F1159" s="313"/>
      <c r="G1159" s="313"/>
      <c r="H1159" s="313"/>
      <c r="I1159" s="313"/>
      <c r="J1159" s="313"/>
      <c r="K1159" s="313"/>
      <c r="L1159" s="313"/>
      <c r="M1159" s="313"/>
      <c r="N1159" s="313"/>
      <c r="O1159" s="313"/>
      <c r="P1159" s="313"/>
      <c r="Q1159" s="313"/>
      <c r="R1159" s="313"/>
      <c r="S1159" s="313"/>
      <c r="T1159" s="313"/>
      <c r="U1159" s="313"/>
      <c r="V1159" s="313"/>
      <c r="W1159" s="313"/>
      <c r="X1159" s="313"/>
      <c r="Y1159" s="313"/>
      <c r="Z1159" s="313"/>
      <c r="AA1159" s="313"/>
    </row>
    <row r="1160" spans="1:27" ht="14.25" customHeight="1" x14ac:dyDescent="0.2">
      <c r="A1160" s="346">
        <v>44285</v>
      </c>
      <c r="B1160" s="313">
        <v>394.73001099999999</v>
      </c>
      <c r="C1160" s="313">
        <v>237.14999399999999</v>
      </c>
      <c r="D1160" s="345">
        <f t="shared" ref="D1160:E1160" si="1169">B1160/B1159-1</f>
        <v>-2.6529587211403527E-3</v>
      </c>
      <c r="E1160" s="345">
        <f t="shared" si="1169"/>
        <v>-1.9352470583860915E-2</v>
      </c>
      <c r="F1160" s="313"/>
      <c r="G1160" s="313"/>
      <c r="H1160" s="313"/>
      <c r="I1160" s="313"/>
      <c r="J1160" s="313"/>
      <c r="K1160" s="313"/>
      <c r="L1160" s="313"/>
      <c r="M1160" s="313"/>
      <c r="N1160" s="313"/>
      <c r="O1160" s="313"/>
      <c r="P1160" s="313"/>
      <c r="Q1160" s="313"/>
      <c r="R1160" s="313"/>
      <c r="S1160" s="313"/>
      <c r="T1160" s="313"/>
      <c r="U1160" s="313"/>
      <c r="V1160" s="313"/>
      <c r="W1160" s="313"/>
      <c r="X1160" s="313"/>
      <c r="Y1160" s="313"/>
      <c r="Z1160" s="313"/>
      <c r="AA1160" s="313"/>
    </row>
    <row r="1161" spans="1:27" ht="14.25" customHeight="1" x14ac:dyDescent="0.2">
      <c r="A1161" s="346">
        <v>44286</v>
      </c>
      <c r="B1161" s="313">
        <v>396.32998700000002</v>
      </c>
      <c r="C1161" s="313">
        <v>239.05999800000001</v>
      </c>
      <c r="D1161" s="345">
        <f t="shared" ref="D1161:E1161" si="1170">B1161/B1160-1</f>
        <v>4.0533426783200266E-3</v>
      </c>
      <c r="E1161" s="345">
        <f t="shared" si="1170"/>
        <v>8.0539913486146197E-3</v>
      </c>
      <c r="F1161" s="313"/>
      <c r="G1161" s="313"/>
      <c r="H1161" s="313"/>
      <c r="I1161" s="313"/>
      <c r="J1161" s="313"/>
      <c r="K1161" s="313"/>
      <c r="L1161" s="313"/>
      <c r="M1161" s="313"/>
      <c r="N1161" s="313"/>
      <c r="O1161" s="313"/>
      <c r="P1161" s="313"/>
      <c r="Q1161" s="313"/>
      <c r="R1161" s="313"/>
      <c r="S1161" s="313"/>
      <c r="T1161" s="313"/>
      <c r="U1161" s="313"/>
      <c r="V1161" s="313"/>
      <c r="W1161" s="313"/>
      <c r="X1161" s="313"/>
      <c r="Y1161" s="313"/>
      <c r="Z1161" s="313"/>
      <c r="AA1161" s="313"/>
    </row>
    <row r="1162" spans="1:27" ht="14.25" customHeight="1" x14ac:dyDescent="0.2">
      <c r="A1162" s="346">
        <v>44287</v>
      </c>
      <c r="B1162" s="313">
        <v>400.60998499999999</v>
      </c>
      <c r="C1162" s="313">
        <v>240.05999800000001</v>
      </c>
      <c r="D1162" s="345">
        <f t="shared" ref="D1162:E1162" si="1171">B1162/B1161-1</f>
        <v>1.0799076881356395E-2</v>
      </c>
      <c r="E1162" s="345">
        <f t="shared" si="1171"/>
        <v>4.1830503152602283E-3</v>
      </c>
      <c r="F1162" s="313"/>
      <c r="G1162" s="313"/>
      <c r="H1162" s="313"/>
      <c r="I1162" s="313"/>
      <c r="J1162" s="313"/>
      <c r="K1162" s="313"/>
      <c r="L1162" s="313"/>
      <c r="M1162" s="313"/>
      <c r="N1162" s="313"/>
      <c r="O1162" s="313"/>
      <c r="P1162" s="313"/>
      <c r="Q1162" s="313"/>
      <c r="R1162" s="313"/>
      <c r="S1162" s="313"/>
      <c r="T1162" s="313"/>
      <c r="U1162" s="313"/>
      <c r="V1162" s="313"/>
      <c r="W1162" s="313"/>
      <c r="X1162" s="313"/>
      <c r="Y1162" s="313"/>
      <c r="Z1162" s="313"/>
      <c r="AA1162" s="313"/>
    </row>
    <row r="1163" spans="1:27" ht="14.25" customHeight="1" x14ac:dyDescent="0.2">
      <c r="A1163" s="346">
        <v>44291</v>
      </c>
      <c r="B1163" s="313">
        <v>406.35998499999999</v>
      </c>
      <c r="C1163" s="313">
        <v>244.75</v>
      </c>
      <c r="D1163" s="345">
        <f t="shared" ref="D1163:E1163" si="1172">B1163/B1162-1</f>
        <v>1.4353112042376992E-2</v>
      </c>
      <c r="E1163" s="345">
        <f t="shared" si="1172"/>
        <v>1.9536790965065221E-2</v>
      </c>
      <c r="F1163" s="313"/>
      <c r="G1163" s="313"/>
      <c r="H1163" s="313"/>
      <c r="I1163" s="313"/>
      <c r="J1163" s="313"/>
      <c r="K1163" s="313"/>
      <c r="L1163" s="313"/>
      <c r="M1163" s="313"/>
      <c r="N1163" s="313"/>
      <c r="O1163" s="313"/>
      <c r="P1163" s="313"/>
      <c r="Q1163" s="313"/>
      <c r="R1163" s="313"/>
      <c r="S1163" s="313"/>
      <c r="T1163" s="313"/>
      <c r="U1163" s="313"/>
      <c r="V1163" s="313"/>
      <c r="W1163" s="313"/>
      <c r="X1163" s="313"/>
      <c r="Y1163" s="313"/>
      <c r="Z1163" s="313"/>
      <c r="AA1163" s="313"/>
    </row>
    <row r="1164" spans="1:27" ht="14.25" customHeight="1" x14ac:dyDescent="0.2">
      <c r="A1164" s="346">
        <v>44292</v>
      </c>
      <c r="B1164" s="313">
        <v>406.11999500000002</v>
      </c>
      <c r="C1164" s="313">
        <v>243.58000200000001</v>
      </c>
      <c r="D1164" s="345">
        <f t="shared" ref="D1164:E1164" si="1173">B1164/B1163-1</f>
        <v>-5.9058472501904991E-4</v>
      </c>
      <c r="E1164" s="345">
        <f t="shared" si="1173"/>
        <v>-4.7803799795709256E-3</v>
      </c>
      <c r="F1164" s="313"/>
      <c r="G1164" s="313"/>
      <c r="H1164" s="313"/>
      <c r="I1164" s="313"/>
      <c r="J1164" s="313"/>
      <c r="K1164" s="313"/>
      <c r="L1164" s="313"/>
      <c r="M1164" s="313"/>
      <c r="N1164" s="313"/>
      <c r="O1164" s="313"/>
      <c r="P1164" s="313"/>
      <c r="Q1164" s="313"/>
      <c r="R1164" s="313"/>
      <c r="S1164" s="313"/>
      <c r="T1164" s="313"/>
      <c r="U1164" s="313"/>
      <c r="V1164" s="313"/>
      <c r="W1164" s="313"/>
      <c r="X1164" s="313"/>
      <c r="Y1164" s="313"/>
      <c r="Z1164" s="313"/>
      <c r="AA1164" s="313"/>
    </row>
    <row r="1165" spans="1:27" ht="14.25" customHeight="1" x14ac:dyDescent="0.2">
      <c r="A1165" s="346">
        <v>44293</v>
      </c>
      <c r="B1165" s="313">
        <v>406.58999599999999</v>
      </c>
      <c r="C1165" s="313">
        <v>244.71000699999999</v>
      </c>
      <c r="D1165" s="345">
        <f t="shared" ref="D1165:E1165" si="1174">B1165/B1164-1</f>
        <v>1.1572958873891093E-3</v>
      </c>
      <c r="E1165" s="345">
        <f t="shared" si="1174"/>
        <v>4.6391534227838704E-3</v>
      </c>
      <c r="F1165" s="313"/>
      <c r="G1165" s="313"/>
      <c r="H1165" s="313"/>
      <c r="I1165" s="313"/>
      <c r="J1165" s="313"/>
      <c r="K1165" s="313"/>
      <c r="L1165" s="313"/>
      <c r="M1165" s="313"/>
      <c r="N1165" s="313"/>
      <c r="O1165" s="313"/>
      <c r="P1165" s="313"/>
      <c r="Q1165" s="313"/>
      <c r="R1165" s="313"/>
      <c r="S1165" s="313"/>
      <c r="T1165" s="313"/>
      <c r="U1165" s="313"/>
      <c r="V1165" s="313"/>
      <c r="W1165" s="313"/>
      <c r="X1165" s="313"/>
      <c r="Y1165" s="313"/>
      <c r="Z1165" s="313"/>
      <c r="AA1165" s="313"/>
    </row>
    <row r="1166" spans="1:27" ht="14.25" customHeight="1" x14ac:dyDescent="0.2">
      <c r="A1166" s="346">
        <v>44294</v>
      </c>
      <c r="B1166" s="313">
        <v>408.51998900000001</v>
      </c>
      <c r="C1166" s="313">
        <v>241.11000100000001</v>
      </c>
      <c r="D1166" s="345">
        <f t="shared" ref="D1166:E1166" si="1175">B1166/B1165-1</f>
        <v>4.7467793575521888E-3</v>
      </c>
      <c r="E1166" s="345">
        <f t="shared" si="1175"/>
        <v>-1.471131501377454E-2</v>
      </c>
      <c r="F1166" s="313"/>
      <c r="G1166" s="313"/>
      <c r="H1166" s="313"/>
      <c r="I1166" s="313"/>
      <c r="J1166" s="313"/>
      <c r="K1166" s="313"/>
      <c r="L1166" s="313"/>
      <c r="M1166" s="313"/>
      <c r="N1166" s="313"/>
      <c r="O1166" s="313"/>
      <c r="P1166" s="313"/>
      <c r="Q1166" s="313"/>
      <c r="R1166" s="313"/>
      <c r="S1166" s="313"/>
      <c r="T1166" s="313"/>
      <c r="U1166" s="313"/>
      <c r="V1166" s="313"/>
      <c r="W1166" s="313"/>
      <c r="X1166" s="313"/>
      <c r="Y1166" s="313"/>
      <c r="Z1166" s="313"/>
      <c r="AA1166" s="313"/>
    </row>
    <row r="1167" spans="1:27" ht="14.25" customHeight="1" x14ac:dyDescent="0.2">
      <c r="A1167" s="346">
        <v>44295</v>
      </c>
      <c r="B1167" s="313">
        <v>411.48998999999998</v>
      </c>
      <c r="C1167" s="313">
        <v>240.38999899999999</v>
      </c>
      <c r="D1167" s="345">
        <f t="shared" ref="D1167:E1167" si="1176">B1167/B1166-1</f>
        <v>7.270148536109966E-3</v>
      </c>
      <c r="E1167" s="345">
        <f t="shared" si="1176"/>
        <v>-2.9861971590303682E-3</v>
      </c>
      <c r="F1167" s="313"/>
      <c r="G1167" s="313"/>
      <c r="H1167" s="313"/>
      <c r="I1167" s="313"/>
      <c r="J1167" s="313"/>
      <c r="K1167" s="313"/>
      <c r="L1167" s="313"/>
      <c r="M1167" s="313"/>
      <c r="N1167" s="313"/>
      <c r="O1167" s="313"/>
      <c r="P1167" s="313"/>
      <c r="Q1167" s="313"/>
      <c r="R1167" s="313"/>
      <c r="S1167" s="313"/>
      <c r="T1167" s="313"/>
      <c r="U1167" s="313"/>
      <c r="V1167" s="313"/>
      <c r="W1167" s="313"/>
      <c r="X1167" s="313"/>
      <c r="Y1167" s="313"/>
      <c r="Z1167" s="313"/>
      <c r="AA1167" s="313"/>
    </row>
    <row r="1168" spans="1:27" ht="14.25" customHeight="1" x14ac:dyDescent="0.2">
      <c r="A1168" s="346">
        <v>44298</v>
      </c>
      <c r="B1168" s="313">
        <v>411.64001500000001</v>
      </c>
      <c r="C1168" s="313">
        <v>241.5</v>
      </c>
      <c r="D1168" s="345">
        <f t="shared" ref="D1168:E1168" si="1177">B1168/B1167-1</f>
        <v>3.6458967082042548E-4</v>
      </c>
      <c r="E1168" s="345">
        <f t="shared" si="1177"/>
        <v>4.6175007471920271E-3</v>
      </c>
      <c r="F1168" s="313"/>
      <c r="G1168" s="313"/>
      <c r="H1168" s="313"/>
      <c r="I1168" s="313"/>
      <c r="J1168" s="313"/>
      <c r="K1168" s="313"/>
      <c r="L1168" s="313"/>
      <c r="M1168" s="313"/>
      <c r="N1168" s="313"/>
      <c r="O1168" s="313"/>
      <c r="P1168" s="313"/>
      <c r="Q1168" s="313"/>
      <c r="R1168" s="313"/>
      <c r="S1168" s="313"/>
      <c r="T1168" s="313"/>
      <c r="U1168" s="313"/>
      <c r="V1168" s="313"/>
      <c r="W1168" s="313"/>
      <c r="X1168" s="313"/>
      <c r="Y1168" s="313"/>
      <c r="Z1168" s="313"/>
      <c r="AA1168" s="313"/>
    </row>
    <row r="1169" spans="1:27" ht="14.25" customHeight="1" x14ac:dyDescent="0.2">
      <c r="A1169" s="346">
        <v>44299</v>
      </c>
      <c r="B1169" s="313">
        <v>412.85998499999999</v>
      </c>
      <c r="C1169" s="313">
        <v>243.009995</v>
      </c>
      <c r="D1169" s="345">
        <f t="shared" ref="D1169:E1169" si="1178">B1169/B1168-1</f>
        <v>2.9636817499387735E-3</v>
      </c>
      <c r="E1169" s="345">
        <f t="shared" si="1178"/>
        <v>6.2525672877846716E-3</v>
      </c>
      <c r="F1169" s="313"/>
      <c r="G1169" s="313"/>
      <c r="H1169" s="313"/>
      <c r="I1169" s="313"/>
      <c r="J1169" s="313"/>
      <c r="K1169" s="313"/>
      <c r="L1169" s="313"/>
      <c r="M1169" s="313"/>
      <c r="N1169" s="313"/>
      <c r="O1169" s="313"/>
      <c r="P1169" s="313"/>
      <c r="Q1169" s="313"/>
      <c r="R1169" s="313"/>
      <c r="S1169" s="313"/>
      <c r="T1169" s="313"/>
      <c r="U1169" s="313"/>
      <c r="V1169" s="313"/>
      <c r="W1169" s="313"/>
      <c r="X1169" s="313"/>
      <c r="Y1169" s="313"/>
      <c r="Z1169" s="313"/>
      <c r="AA1169" s="313"/>
    </row>
    <row r="1170" spans="1:27" ht="14.25" customHeight="1" x14ac:dyDescent="0.2">
      <c r="A1170" s="346">
        <v>44300</v>
      </c>
      <c r="B1170" s="313">
        <v>411.45001200000002</v>
      </c>
      <c r="C1170" s="313">
        <v>241.679993</v>
      </c>
      <c r="D1170" s="345">
        <f t="shared" ref="D1170:E1170" si="1179">B1170/B1169-1</f>
        <v>-3.4151360054910374E-3</v>
      </c>
      <c r="E1170" s="345">
        <f t="shared" si="1179"/>
        <v>-5.4730341441305841E-3</v>
      </c>
      <c r="F1170" s="313"/>
      <c r="G1170" s="313"/>
      <c r="H1170" s="313"/>
      <c r="I1170" s="313"/>
      <c r="J1170" s="313"/>
      <c r="K1170" s="313"/>
      <c r="L1170" s="313"/>
      <c r="M1170" s="313"/>
      <c r="N1170" s="313"/>
      <c r="O1170" s="313"/>
      <c r="P1170" s="313"/>
      <c r="Q1170" s="313"/>
      <c r="R1170" s="313"/>
      <c r="S1170" s="313"/>
      <c r="T1170" s="313"/>
      <c r="U1170" s="313"/>
      <c r="V1170" s="313"/>
      <c r="W1170" s="313"/>
      <c r="X1170" s="313"/>
      <c r="Y1170" s="313"/>
      <c r="Z1170" s="313"/>
      <c r="AA1170" s="313"/>
    </row>
    <row r="1171" spans="1:27" ht="14.25" customHeight="1" x14ac:dyDescent="0.2">
      <c r="A1171" s="346">
        <v>44301</v>
      </c>
      <c r="B1171" s="313">
        <v>415.86999500000002</v>
      </c>
      <c r="C1171" s="313">
        <v>247.16000399999999</v>
      </c>
      <c r="D1171" s="345">
        <f t="shared" ref="D1171:E1171" si="1180">B1171/B1170-1</f>
        <v>1.074245441995525E-2</v>
      </c>
      <c r="E1171" s="345">
        <f t="shared" si="1180"/>
        <v>2.2674657227418793E-2</v>
      </c>
      <c r="F1171" s="313"/>
      <c r="G1171" s="313"/>
      <c r="H1171" s="313"/>
      <c r="I1171" s="313"/>
      <c r="J1171" s="313"/>
      <c r="K1171" s="313"/>
      <c r="L1171" s="313"/>
      <c r="M1171" s="313"/>
      <c r="N1171" s="313"/>
      <c r="O1171" s="313"/>
      <c r="P1171" s="313"/>
      <c r="Q1171" s="313"/>
      <c r="R1171" s="313"/>
      <c r="S1171" s="313"/>
      <c r="T1171" s="313"/>
      <c r="U1171" s="313"/>
      <c r="V1171" s="313"/>
      <c r="W1171" s="313"/>
      <c r="X1171" s="313"/>
      <c r="Y1171" s="313"/>
      <c r="Z1171" s="313"/>
      <c r="AA1171" s="313"/>
    </row>
    <row r="1172" spans="1:27" ht="14.25" customHeight="1" x14ac:dyDescent="0.2">
      <c r="A1172" s="346">
        <v>44302</v>
      </c>
      <c r="B1172" s="313">
        <v>417.26001000000002</v>
      </c>
      <c r="C1172" s="313">
        <v>248.61999499999999</v>
      </c>
      <c r="D1172" s="345">
        <f t="shared" ref="D1172:E1172" si="1181">B1172/B1171-1</f>
        <v>3.3424267600743462E-3</v>
      </c>
      <c r="E1172" s="345">
        <f t="shared" si="1181"/>
        <v>5.9070682002415609E-3</v>
      </c>
      <c r="F1172" s="313"/>
      <c r="G1172" s="313"/>
      <c r="H1172" s="313"/>
      <c r="I1172" s="313"/>
      <c r="J1172" s="313"/>
      <c r="K1172" s="313"/>
      <c r="L1172" s="313"/>
      <c r="M1172" s="313"/>
      <c r="N1172" s="313"/>
      <c r="O1172" s="313"/>
      <c r="P1172" s="313"/>
      <c r="Q1172" s="313"/>
      <c r="R1172" s="313"/>
      <c r="S1172" s="313"/>
      <c r="T1172" s="313"/>
      <c r="U1172" s="313"/>
      <c r="V1172" s="313"/>
      <c r="W1172" s="313"/>
      <c r="X1172" s="313"/>
      <c r="Y1172" s="313"/>
      <c r="Z1172" s="313"/>
      <c r="AA1172" s="313"/>
    </row>
    <row r="1173" spans="1:27" ht="14.25" customHeight="1" x14ac:dyDescent="0.2">
      <c r="A1173" s="346">
        <v>44305</v>
      </c>
      <c r="B1173" s="313">
        <v>415.209991</v>
      </c>
      <c r="C1173" s="313">
        <v>248.53999300000001</v>
      </c>
      <c r="D1173" s="345">
        <f t="shared" ref="D1173:E1173" si="1182">B1173/B1172-1</f>
        <v>-4.9130492998837871E-3</v>
      </c>
      <c r="E1173" s="345">
        <f t="shared" si="1182"/>
        <v>-3.2178425552609191E-4</v>
      </c>
      <c r="F1173" s="313"/>
      <c r="G1173" s="313"/>
      <c r="H1173" s="313"/>
      <c r="I1173" s="313"/>
      <c r="J1173" s="313"/>
      <c r="K1173" s="313"/>
      <c r="L1173" s="313"/>
      <c r="M1173" s="313"/>
      <c r="N1173" s="313"/>
      <c r="O1173" s="313"/>
      <c r="P1173" s="313"/>
      <c r="Q1173" s="313"/>
      <c r="R1173" s="313"/>
      <c r="S1173" s="313"/>
      <c r="T1173" s="313"/>
      <c r="U1173" s="313"/>
      <c r="V1173" s="313"/>
      <c r="W1173" s="313"/>
      <c r="X1173" s="313"/>
      <c r="Y1173" s="313"/>
      <c r="Z1173" s="313"/>
      <c r="AA1173" s="313"/>
    </row>
    <row r="1174" spans="1:27" ht="14.25" customHeight="1" x14ac:dyDescent="0.2">
      <c r="A1174" s="346">
        <v>44306</v>
      </c>
      <c r="B1174" s="313">
        <v>412.17001299999998</v>
      </c>
      <c r="C1174" s="313">
        <v>252.66999799999999</v>
      </c>
      <c r="D1174" s="345">
        <f t="shared" ref="D1174:E1174" si="1183">B1174/B1173-1</f>
        <v>-7.3215434741309426E-3</v>
      </c>
      <c r="E1174" s="345">
        <f t="shared" si="1183"/>
        <v>1.6617064119736957E-2</v>
      </c>
      <c r="F1174" s="313"/>
      <c r="G1174" s="313"/>
      <c r="H1174" s="313"/>
      <c r="I1174" s="313"/>
      <c r="J1174" s="313"/>
      <c r="K1174" s="313"/>
      <c r="L1174" s="313"/>
      <c r="M1174" s="313"/>
      <c r="N1174" s="313"/>
      <c r="O1174" s="313"/>
      <c r="P1174" s="313"/>
      <c r="Q1174" s="313"/>
      <c r="R1174" s="313"/>
      <c r="S1174" s="313"/>
      <c r="T1174" s="313"/>
      <c r="U1174" s="313"/>
      <c r="V1174" s="313"/>
      <c r="W1174" s="313"/>
      <c r="X1174" s="313"/>
      <c r="Y1174" s="313"/>
      <c r="Z1174" s="313"/>
      <c r="AA1174" s="313"/>
    </row>
    <row r="1175" spans="1:27" ht="14.25" customHeight="1" x14ac:dyDescent="0.2">
      <c r="A1175" s="346">
        <v>44307</v>
      </c>
      <c r="B1175" s="313">
        <v>416.07000699999998</v>
      </c>
      <c r="C1175" s="313">
        <v>252.179993</v>
      </c>
      <c r="D1175" s="345">
        <f t="shared" ref="D1175:E1175" si="1184">B1175/B1174-1</f>
        <v>9.4621002911243757E-3</v>
      </c>
      <c r="E1175" s="345">
        <f t="shared" si="1184"/>
        <v>-1.9393082038968723E-3</v>
      </c>
      <c r="F1175" s="313"/>
      <c r="G1175" s="313"/>
      <c r="H1175" s="313"/>
      <c r="I1175" s="313"/>
      <c r="J1175" s="313"/>
      <c r="K1175" s="313"/>
      <c r="L1175" s="313"/>
      <c r="M1175" s="313"/>
      <c r="N1175" s="313"/>
      <c r="O1175" s="313"/>
      <c r="P1175" s="313"/>
      <c r="Q1175" s="313"/>
      <c r="R1175" s="313"/>
      <c r="S1175" s="313"/>
      <c r="T1175" s="313"/>
      <c r="U1175" s="313"/>
      <c r="V1175" s="313"/>
      <c r="W1175" s="313"/>
      <c r="X1175" s="313"/>
      <c r="Y1175" s="313"/>
      <c r="Z1175" s="313"/>
      <c r="AA1175" s="313"/>
    </row>
    <row r="1176" spans="1:27" ht="14.25" customHeight="1" x14ac:dyDescent="0.2">
      <c r="A1176" s="346">
        <v>44308</v>
      </c>
      <c r="B1176" s="313">
        <v>412.26998900000001</v>
      </c>
      <c r="C1176" s="313">
        <v>251.53999300000001</v>
      </c>
      <c r="D1176" s="345">
        <f t="shared" ref="D1176:E1176" si="1185">B1176/B1175-1</f>
        <v>-9.1331216768046897E-3</v>
      </c>
      <c r="E1176" s="345">
        <f t="shared" si="1185"/>
        <v>-2.5378698460031268E-3</v>
      </c>
      <c r="F1176" s="313"/>
      <c r="G1176" s="313"/>
      <c r="H1176" s="313"/>
      <c r="I1176" s="313"/>
      <c r="J1176" s="313"/>
      <c r="K1176" s="313"/>
      <c r="L1176" s="313"/>
      <c r="M1176" s="313"/>
      <c r="N1176" s="313"/>
      <c r="O1176" s="313"/>
      <c r="P1176" s="313"/>
      <c r="Q1176" s="313"/>
      <c r="R1176" s="313"/>
      <c r="S1176" s="313"/>
      <c r="T1176" s="313"/>
      <c r="U1176" s="313"/>
      <c r="V1176" s="313"/>
      <c r="W1176" s="313"/>
      <c r="X1176" s="313"/>
      <c r="Y1176" s="313"/>
      <c r="Z1176" s="313"/>
      <c r="AA1176" s="313"/>
    </row>
    <row r="1177" spans="1:27" ht="14.25" customHeight="1" x14ac:dyDescent="0.2">
      <c r="A1177" s="346">
        <v>44309</v>
      </c>
      <c r="B1177" s="313">
        <v>416.73998999999998</v>
      </c>
      <c r="C1177" s="313">
        <v>254.03999300000001</v>
      </c>
      <c r="D1177" s="345">
        <f t="shared" ref="D1177:E1177" si="1186">B1177/B1176-1</f>
        <v>1.08424118157191E-2</v>
      </c>
      <c r="E1177" s="345">
        <f t="shared" si="1186"/>
        <v>9.9387774094434889E-3</v>
      </c>
      <c r="F1177" s="313"/>
      <c r="G1177" s="313"/>
      <c r="H1177" s="313"/>
      <c r="I1177" s="313"/>
      <c r="J1177" s="313"/>
      <c r="K1177" s="313"/>
      <c r="L1177" s="313"/>
      <c r="M1177" s="313"/>
      <c r="N1177" s="313"/>
      <c r="O1177" s="313"/>
      <c r="P1177" s="313"/>
      <c r="Q1177" s="313"/>
      <c r="R1177" s="313"/>
      <c r="S1177" s="313"/>
      <c r="T1177" s="313"/>
      <c r="U1177" s="313"/>
      <c r="V1177" s="313"/>
      <c r="W1177" s="313"/>
      <c r="X1177" s="313"/>
      <c r="Y1177" s="313"/>
      <c r="Z1177" s="313"/>
      <c r="AA1177" s="313"/>
    </row>
    <row r="1178" spans="1:27" ht="14.25" customHeight="1" x14ac:dyDescent="0.2">
      <c r="A1178" s="346">
        <v>44312</v>
      </c>
      <c r="B1178" s="313">
        <v>417.60998499999999</v>
      </c>
      <c r="C1178" s="313">
        <v>252.990005</v>
      </c>
      <c r="D1178" s="345">
        <f t="shared" ref="D1178:E1178" si="1187">B1178/B1177-1</f>
        <v>2.0876206288722443E-3</v>
      </c>
      <c r="E1178" s="345">
        <f t="shared" si="1187"/>
        <v>-4.1331602461507355E-3</v>
      </c>
      <c r="F1178" s="313"/>
      <c r="G1178" s="313"/>
      <c r="H1178" s="313"/>
      <c r="I1178" s="313"/>
      <c r="J1178" s="313"/>
      <c r="K1178" s="313"/>
      <c r="L1178" s="313"/>
      <c r="M1178" s="313"/>
      <c r="N1178" s="313"/>
      <c r="O1178" s="313"/>
      <c r="P1178" s="313"/>
      <c r="Q1178" s="313"/>
      <c r="R1178" s="313"/>
      <c r="S1178" s="313"/>
      <c r="T1178" s="313"/>
      <c r="U1178" s="313"/>
      <c r="V1178" s="313"/>
      <c r="W1178" s="313"/>
      <c r="X1178" s="313"/>
      <c r="Y1178" s="313"/>
      <c r="Z1178" s="313"/>
      <c r="AA1178" s="313"/>
    </row>
    <row r="1179" spans="1:27" ht="14.25" customHeight="1" x14ac:dyDescent="0.2">
      <c r="A1179" s="346">
        <v>44313</v>
      </c>
      <c r="B1179" s="313">
        <v>417.51998900000001</v>
      </c>
      <c r="C1179" s="313">
        <v>252.490005</v>
      </c>
      <c r="D1179" s="345">
        <f t="shared" ref="D1179:E1179" si="1188">B1179/B1178-1</f>
        <v>-2.1550251007529386E-4</v>
      </c>
      <c r="E1179" s="345">
        <f t="shared" si="1188"/>
        <v>-1.9763626630230346E-3</v>
      </c>
      <c r="F1179" s="313"/>
      <c r="G1179" s="313"/>
      <c r="H1179" s="313"/>
      <c r="I1179" s="313"/>
      <c r="J1179" s="313"/>
      <c r="K1179" s="313"/>
      <c r="L1179" s="313"/>
      <c r="M1179" s="313"/>
      <c r="N1179" s="313"/>
      <c r="O1179" s="313"/>
      <c r="P1179" s="313"/>
      <c r="Q1179" s="313"/>
      <c r="R1179" s="313"/>
      <c r="S1179" s="313"/>
      <c r="T1179" s="313"/>
      <c r="U1179" s="313"/>
      <c r="V1179" s="313"/>
      <c r="W1179" s="313"/>
      <c r="X1179" s="313"/>
      <c r="Y1179" s="313"/>
      <c r="Z1179" s="313"/>
      <c r="AA1179" s="313"/>
    </row>
    <row r="1180" spans="1:27" ht="14.25" customHeight="1" x14ac:dyDescent="0.2">
      <c r="A1180" s="346">
        <v>44314</v>
      </c>
      <c r="B1180" s="313">
        <v>417.39999399999999</v>
      </c>
      <c r="C1180" s="313">
        <v>251.949997</v>
      </c>
      <c r="D1180" s="345">
        <f t="shared" ref="D1180:E1180" si="1189">B1180/B1179-1</f>
        <v>-2.8739941358835175E-4</v>
      </c>
      <c r="E1180" s="345">
        <f t="shared" si="1189"/>
        <v>-2.138730204389705E-3</v>
      </c>
      <c r="F1180" s="313"/>
      <c r="G1180" s="313"/>
      <c r="H1180" s="313"/>
      <c r="I1180" s="313"/>
      <c r="J1180" s="313"/>
      <c r="K1180" s="313"/>
      <c r="L1180" s="313"/>
      <c r="M1180" s="313"/>
      <c r="N1180" s="313"/>
      <c r="O1180" s="313"/>
      <c r="P1180" s="313"/>
      <c r="Q1180" s="313"/>
      <c r="R1180" s="313"/>
      <c r="S1180" s="313"/>
      <c r="T1180" s="313"/>
      <c r="U1180" s="313"/>
      <c r="V1180" s="313"/>
      <c r="W1180" s="313"/>
      <c r="X1180" s="313"/>
      <c r="Y1180" s="313"/>
      <c r="Z1180" s="313"/>
      <c r="AA1180" s="313"/>
    </row>
    <row r="1181" spans="1:27" ht="14.25" customHeight="1" x14ac:dyDescent="0.2">
      <c r="A1181" s="346">
        <v>44315</v>
      </c>
      <c r="B1181" s="313">
        <v>420.05999800000001</v>
      </c>
      <c r="C1181" s="313">
        <v>250.41000399999999</v>
      </c>
      <c r="D1181" s="345">
        <f t="shared" ref="D1181:E1181" si="1190">B1181/B1180-1</f>
        <v>6.3727935750761411E-3</v>
      </c>
      <c r="E1181" s="345">
        <f t="shared" si="1190"/>
        <v>-6.1122961632740225E-3</v>
      </c>
      <c r="F1181" s="313"/>
      <c r="G1181" s="313"/>
      <c r="H1181" s="313"/>
      <c r="I1181" s="313"/>
      <c r="J1181" s="313"/>
      <c r="K1181" s="313"/>
      <c r="L1181" s="313"/>
      <c r="M1181" s="313"/>
      <c r="N1181" s="313"/>
      <c r="O1181" s="313"/>
      <c r="P1181" s="313"/>
      <c r="Q1181" s="313"/>
      <c r="R1181" s="313"/>
      <c r="S1181" s="313"/>
      <c r="T1181" s="313"/>
      <c r="U1181" s="313"/>
      <c r="V1181" s="313"/>
      <c r="W1181" s="313"/>
      <c r="X1181" s="313"/>
      <c r="Y1181" s="313"/>
      <c r="Z1181" s="313"/>
      <c r="AA1181" s="313"/>
    </row>
    <row r="1182" spans="1:27" ht="14.25" customHeight="1" x14ac:dyDescent="0.2">
      <c r="A1182" s="346">
        <v>44316</v>
      </c>
      <c r="B1182" s="313">
        <v>417.29998799999998</v>
      </c>
      <c r="C1182" s="313">
        <v>254.770004</v>
      </c>
      <c r="D1182" s="345">
        <f t="shared" ref="D1182:E1182" si="1191">B1182/B1181-1</f>
        <v>-6.5705137674166858E-3</v>
      </c>
      <c r="E1182" s="345">
        <f t="shared" si="1191"/>
        <v>1.741144495169622E-2</v>
      </c>
      <c r="F1182" s="313"/>
      <c r="G1182" s="313"/>
      <c r="H1182" s="313"/>
      <c r="I1182" s="313"/>
      <c r="J1182" s="313"/>
      <c r="K1182" s="313"/>
      <c r="L1182" s="313"/>
      <c r="M1182" s="313"/>
      <c r="N1182" s="313"/>
      <c r="O1182" s="313"/>
      <c r="P1182" s="313"/>
      <c r="Q1182" s="313"/>
      <c r="R1182" s="313"/>
      <c r="S1182" s="313"/>
      <c r="T1182" s="313"/>
      <c r="U1182" s="313"/>
      <c r="V1182" s="313"/>
      <c r="W1182" s="313"/>
      <c r="X1182" s="313"/>
      <c r="Y1182" s="313"/>
      <c r="Z1182" s="313"/>
      <c r="AA1182" s="313"/>
    </row>
    <row r="1183" spans="1:27" ht="14.25" customHeight="1" x14ac:dyDescent="0.2">
      <c r="A1183" s="346">
        <v>44319</v>
      </c>
      <c r="B1183" s="313">
        <v>418.20001200000002</v>
      </c>
      <c r="C1183" s="313">
        <v>252.41999799999999</v>
      </c>
      <c r="D1183" s="345">
        <f t="shared" ref="D1183:E1183" si="1192">B1183/B1182-1</f>
        <v>2.1567793574919225E-3</v>
      </c>
      <c r="E1183" s="345">
        <f t="shared" si="1192"/>
        <v>-9.2240293719978439E-3</v>
      </c>
      <c r="F1183" s="313"/>
      <c r="G1183" s="313"/>
      <c r="H1183" s="313"/>
      <c r="I1183" s="313"/>
      <c r="J1183" s="313"/>
      <c r="K1183" s="313"/>
      <c r="L1183" s="313"/>
      <c r="M1183" s="313"/>
      <c r="N1183" s="313"/>
      <c r="O1183" s="313"/>
      <c r="P1183" s="313"/>
      <c r="Q1183" s="313"/>
      <c r="R1183" s="313"/>
      <c r="S1183" s="313"/>
      <c r="T1183" s="313"/>
      <c r="U1183" s="313"/>
      <c r="V1183" s="313"/>
      <c r="W1183" s="313"/>
      <c r="X1183" s="313"/>
      <c r="Y1183" s="313"/>
      <c r="Z1183" s="313"/>
      <c r="AA1183" s="313"/>
    </row>
    <row r="1184" spans="1:27" ht="14.25" customHeight="1" x14ac:dyDescent="0.2">
      <c r="A1184" s="346">
        <v>44320</v>
      </c>
      <c r="B1184" s="313">
        <v>415.61999500000002</v>
      </c>
      <c r="C1184" s="313">
        <v>248.88000500000001</v>
      </c>
      <c r="D1184" s="345">
        <f t="shared" ref="D1184:E1184" si="1193">B1184/B1183-1</f>
        <v>-6.1693374604685491E-3</v>
      </c>
      <c r="E1184" s="345">
        <f t="shared" si="1193"/>
        <v>-1.4024217685002838E-2</v>
      </c>
      <c r="F1184" s="313"/>
      <c r="G1184" s="313"/>
      <c r="H1184" s="313"/>
      <c r="I1184" s="313"/>
      <c r="J1184" s="313"/>
      <c r="K1184" s="313"/>
      <c r="L1184" s="313"/>
      <c r="M1184" s="313"/>
      <c r="N1184" s="313"/>
      <c r="O1184" s="313"/>
      <c r="P1184" s="313"/>
      <c r="Q1184" s="313"/>
      <c r="R1184" s="313"/>
      <c r="S1184" s="313"/>
      <c r="T1184" s="313"/>
      <c r="U1184" s="313"/>
      <c r="V1184" s="313"/>
      <c r="W1184" s="313"/>
      <c r="X1184" s="313"/>
      <c r="Y1184" s="313"/>
      <c r="Z1184" s="313"/>
      <c r="AA1184" s="313"/>
    </row>
    <row r="1185" spans="1:27" ht="14.25" customHeight="1" x14ac:dyDescent="0.2">
      <c r="A1185" s="346">
        <v>44321</v>
      </c>
      <c r="B1185" s="313">
        <v>415.75</v>
      </c>
      <c r="C1185" s="313">
        <v>248.60000600000001</v>
      </c>
      <c r="D1185" s="345">
        <f t="shared" ref="D1185:E1185" si="1194">B1185/B1184-1</f>
        <v>3.1279775170589552E-4</v>
      </c>
      <c r="E1185" s="345">
        <f t="shared" si="1194"/>
        <v>-1.1250361394038455E-3</v>
      </c>
      <c r="F1185" s="313"/>
      <c r="G1185" s="313"/>
      <c r="H1185" s="313"/>
      <c r="I1185" s="313"/>
      <c r="J1185" s="313"/>
      <c r="K1185" s="313"/>
      <c r="L1185" s="313"/>
      <c r="M1185" s="313"/>
      <c r="N1185" s="313"/>
      <c r="O1185" s="313"/>
      <c r="P1185" s="313"/>
      <c r="Q1185" s="313"/>
      <c r="R1185" s="313"/>
      <c r="S1185" s="313"/>
      <c r="T1185" s="313"/>
      <c r="U1185" s="313"/>
      <c r="V1185" s="313"/>
      <c r="W1185" s="313"/>
      <c r="X1185" s="313"/>
      <c r="Y1185" s="313"/>
      <c r="Z1185" s="313"/>
      <c r="AA1185" s="313"/>
    </row>
    <row r="1186" spans="1:27" ht="14.25" customHeight="1" x14ac:dyDescent="0.2">
      <c r="A1186" s="346">
        <v>44322</v>
      </c>
      <c r="B1186" s="313">
        <v>419.07000699999998</v>
      </c>
      <c r="C1186" s="313">
        <v>244.020004</v>
      </c>
      <c r="D1186" s="345">
        <f t="shared" ref="D1186:E1186" si="1195">B1186/B1185-1</f>
        <v>7.9855850871917156E-3</v>
      </c>
      <c r="E1186" s="345">
        <f t="shared" si="1195"/>
        <v>-1.8423177351009401E-2</v>
      </c>
      <c r="F1186" s="313"/>
      <c r="G1186" s="313"/>
      <c r="H1186" s="313"/>
      <c r="I1186" s="313"/>
      <c r="J1186" s="313"/>
      <c r="K1186" s="313"/>
      <c r="L1186" s="313"/>
      <c r="M1186" s="313"/>
      <c r="N1186" s="313"/>
      <c r="O1186" s="313"/>
      <c r="P1186" s="313"/>
      <c r="Q1186" s="313"/>
      <c r="R1186" s="313"/>
      <c r="S1186" s="313"/>
      <c r="T1186" s="313"/>
      <c r="U1186" s="313"/>
      <c r="V1186" s="313"/>
      <c r="W1186" s="313"/>
      <c r="X1186" s="313"/>
      <c r="Y1186" s="313"/>
      <c r="Z1186" s="313"/>
      <c r="AA1186" s="313"/>
    </row>
    <row r="1187" spans="1:27" ht="14.25" customHeight="1" x14ac:dyDescent="0.2">
      <c r="A1187" s="346">
        <v>44323</v>
      </c>
      <c r="B1187" s="313">
        <v>422.11999500000002</v>
      </c>
      <c r="C1187" s="313">
        <v>247.490005</v>
      </c>
      <c r="D1187" s="345">
        <f t="shared" ref="D1187:E1187" si="1196">B1187/B1186-1</f>
        <v>7.277991622053781E-3</v>
      </c>
      <c r="E1187" s="345">
        <f t="shared" si="1196"/>
        <v>1.4220149754607725E-2</v>
      </c>
      <c r="F1187" s="313"/>
      <c r="G1187" s="313"/>
      <c r="H1187" s="313"/>
      <c r="I1187" s="313"/>
      <c r="J1187" s="313"/>
      <c r="K1187" s="313"/>
      <c r="L1187" s="313"/>
      <c r="M1187" s="313"/>
      <c r="N1187" s="313"/>
      <c r="O1187" s="313"/>
      <c r="P1187" s="313"/>
      <c r="Q1187" s="313"/>
      <c r="R1187" s="313"/>
      <c r="S1187" s="313"/>
      <c r="T1187" s="313"/>
      <c r="U1187" s="313"/>
      <c r="V1187" s="313"/>
      <c r="W1187" s="313"/>
      <c r="X1187" s="313"/>
      <c r="Y1187" s="313"/>
      <c r="Z1187" s="313"/>
      <c r="AA1187" s="313"/>
    </row>
    <row r="1188" spans="1:27" ht="14.25" customHeight="1" x14ac:dyDescent="0.2">
      <c r="A1188" s="346">
        <v>44326</v>
      </c>
      <c r="B1188" s="313">
        <v>417.94000199999999</v>
      </c>
      <c r="C1188" s="313">
        <v>248.61999499999999</v>
      </c>
      <c r="D1188" s="345">
        <f t="shared" ref="D1188:E1188" si="1197">B1188/B1187-1</f>
        <v>-9.9023809568651311E-3</v>
      </c>
      <c r="E1188" s="345">
        <f t="shared" si="1197"/>
        <v>4.5658005461675089E-3</v>
      </c>
      <c r="F1188" s="313"/>
      <c r="G1188" s="313"/>
      <c r="H1188" s="313"/>
      <c r="I1188" s="313"/>
      <c r="J1188" s="313"/>
      <c r="K1188" s="313"/>
      <c r="L1188" s="313"/>
      <c r="M1188" s="313"/>
      <c r="N1188" s="313"/>
      <c r="O1188" s="313"/>
      <c r="P1188" s="313"/>
      <c r="Q1188" s="313"/>
      <c r="R1188" s="313"/>
      <c r="S1188" s="313"/>
      <c r="T1188" s="313"/>
      <c r="U1188" s="313"/>
      <c r="V1188" s="313"/>
      <c r="W1188" s="313"/>
      <c r="X1188" s="313"/>
      <c r="Y1188" s="313"/>
      <c r="Z1188" s="313"/>
      <c r="AA1188" s="313"/>
    </row>
    <row r="1189" spans="1:27" ht="14.25" customHeight="1" x14ac:dyDescent="0.2">
      <c r="A1189" s="346">
        <v>44327</v>
      </c>
      <c r="B1189" s="313">
        <v>414.209991</v>
      </c>
      <c r="C1189" s="313">
        <v>247.320007</v>
      </c>
      <c r="D1189" s="345">
        <f t="shared" ref="D1189:E1189" si="1198">B1189/B1188-1</f>
        <v>-8.9247523140892904E-3</v>
      </c>
      <c r="E1189" s="345">
        <f t="shared" si="1198"/>
        <v>-5.2288151642830849E-3</v>
      </c>
      <c r="F1189" s="313"/>
      <c r="G1189" s="313"/>
      <c r="H1189" s="313"/>
      <c r="I1189" s="313"/>
      <c r="J1189" s="313"/>
      <c r="K1189" s="313"/>
      <c r="L1189" s="313"/>
      <c r="M1189" s="313"/>
      <c r="N1189" s="313"/>
      <c r="O1189" s="313"/>
      <c r="P1189" s="313"/>
      <c r="Q1189" s="313"/>
      <c r="R1189" s="313"/>
      <c r="S1189" s="313"/>
      <c r="T1189" s="313"/>
      <c r="U1189" s="313"/>
      <c r="V1189" s="313"/>
      <c r="W1189" s="313"/>
      <c r="X1189" s="313"/>
      <c r="Y1189" s="313"/>
      <c r="Z1189" s="313"/>
      <c r="AA1189" s="313"/>
    </row>
    <row r="1190" spans="1:27" ht="14.25" customHeight="1" x14ac:dyDescent="0.2">
      <c r="A1190" s="346">
        <v>44328</v>
      </c>
      <c r="B1190" s="313">
        <v>405.41000400000001</v>
      </c>
      <c r="C1190" s="313">
        <v>241.96000699999999</v>
      </c>
      <c r="D1190" s="345">
        <f t="shared" ref="D1190:E1190" si="1199">B1190/B1189-1</f>
        <v>-2.1245231141708509E-2</v>
      </c>
      <c r="E1190" s="345">
        <f t="shared" si="1199"/>
        <v>-2.1672326735782454E-2</v>
      </c>
      <c r="F1190" s="313"/>
      <c r="G1190" s="313"/>
      <c r="H1190" s="313"/>
      <c r="I1190" s="313"/>
      <c r="J1190" s="313"/>
      <c r="K1190" s="313"/>
      <c r="L1190" s="313"/>
      <c r="M1190" s="313"/>
      <c r="N1190" s="313"/>
      <c r="O1190" s="313"/>
      <c r="P1190" s="313"/>
      <c r="Q1190" s="313"/>
      <c r="R1190" s="313"/>
      <c r="S1190" s="313"/>
      <c r="T1190" s="313"/>
      <c r="U1190" s="313"/>
      <c r="V1190" s="313"/>
      <c r="W1190" s="313"/>
      <c r="X1190" s="313"/>
      <c r="Y1190" s="313"/>
      <c r="Z1190" s="313"/>
      <c r="AA1190" s="313"/>
    </row>
    <row r="1191" spans="1:27" ht="14.25" customHeight="1" x14ac:dyDescent="0.2">
      <c r="A1191" s="346">
        <v>44329</v>
      </c>
      <c r="B1191" s="313">
        <v>410.27999899999998</v>
      </c>
      <c r="C1191" s="313">
        <v>244</v>
      </c>
      <c r="D1191" s="345">
        <f t="shared" ref="D1191:E1191" si="1200">B1191/B1190-1</f>
        <v>1.2012518072938239E-2</v>
      </c>
      <c r="E1191" s="345">
        <f t="shared" si="1200"/>
        <v>8.4311164695907159E-3</v>
      </c>
      <c r="F1191" s="313"/>
      <c r="G1191" s="313"/>
      <c r="H1191" s="313"/>
      <c r="I1191" s="313"/>
      <c r="J1191" s="313"/>
      <c r="K1191" s="313"/>
      <c r="L1191" s="313"/>
      <c r="M1191" s="313"/>
      <c r="N1191" s="313"/>
      <c r="O1191" s="313"/>
      <c r="P1191" s="313"/>
      <c r="Q1191" s="313"/>
      <c r="R1191" s="313"/>
      <c r="S1191" s="313"/>
      <c r="T1191" s="313"/>
      <c r="U1191" s="313"/>
      <c r="V1191" s="313"/>
      <c r="W1191" s="313"/>
      <c r="X1191" s="313"/>
      <c r="Y1191" s="313"/>
      <c r="Z1191" s="313"/>
      <c r="AA1191" s="313"/>
    </row>
    <row r="1192" spans="1:27" ht="14.25" customHeight="1" x14ac:dyDescent="0.2">
      <c r="A1192" s="346">
        <v>44330</v>
      </c>
      <c r="B1192" s="313">
        <v>416.57998700000002</v>
      </c>
      <c r="C1192" s="313">
        <v>246.759995</v>
      </c>
      <c r="D1192" s="345">
        <f t="shared" ref="D1192:E1192" si="1201">B1192/B1191-1</f>
        <v>1.5355337855502027E-2</v>
      </c>
      <c r="E1192" s="345">
        <f t="shared" si="1201"/>
        <v>1.1311454918032871E-2</v>
      </c>
      <c r="F1192" s="313"/>
      <c r="G1192" s="313"/>
      <c r="H1192" s="313"/>
      <c r="I1192" s="313"/>
      <c r="J1192" s="313"/>
      <c r="K1192" s="313"/>
      <c r="L1192" s="313"/>
      <c r="M1192" s="313"/>
      <c r="N1192" s="313"/>
      <c r="O1192" s="313"/>
      <c r="P1192" s="313"/>
      <c r="Q1192" s="313"/>
      <c r="R1192" s="313"/>
      <c r="S1192" s="313"/>
      <c r="T1192" s="313"/>
      <c r="U1192" s="313"/>
      <c r="V1192" s="313"/>
      <c r="W1192" s="313"/>
      <c r="X1192" s="313"/>
      <c r="Y1192" s="313"/>
      <c r="Z1192" s="313"/>
      <c r="AA1192" s="313"/>
    </row>
    <row r="1193" spans="1:27" ht="14.25" customHeight="1" x14ac:dyDescent="0.2">
      <c r="A1193" s="346">
        <v>44333</v>
      </c>
      <c r="B1193" s="313">
        <v>415.51998900000001</v>
      </c>
      <c r="C1193" s="313">
        <v>245.88999899999999</v>
      </c>
      <c r="D1193" s="345">
        <f t="shared" ref="D1193:E1193" si="1202">B1193/B1192-1</f>
        <v>-2.5445245404935868E-3</v>
      </c>
      <c r="E1193" s="345">
        <f t="shared" si="1202"/>
        <v>-3.5256768423910234E-3</v>
      </c>
      <c r="F1193" s="313"/>
      <c r="G1193" s="313"/>
      <c r="H1193" s="313"/>
      <c r="I1193" s="313"/>
      <c r="J1193" s="313"/>
      <c r="K1193" s="313"/>
      <c r="L1193" s="313"/>
      <c r="M1193" s="313"/>
      <c r="N1193" s="313"/>
      <c r="O1193" s="313"/>
      <c r="P1193" s="313"/>
      <c r="Q1193" s="313"/>
      <c r="R1193" s="313"/>
      <c r="S1193" s="313"/>
      <c r="T1193" s="313"/>
      <c r="U1193" s="313"/>
      <c r="V1193" s="313"/>
      <c r="W1193" s="313"/>
      <c r="X1193" s="313"/>
      <c r="Y1193" s="313"/>
      <c r="Z1193" s="313"/>
      <c r="AA1193" s="313"/>
    </row>
    <row r="1194" spans="1:27" ht="14.25" customHeight="1" x14ac:dyDescent="0.2">
      <c r="A1194" s="346">
        <v>44334</v>
      </c>
      <c r="B1194" s="313">
        <v>411.94000199999999</v>
      </c>
      <c r="C1194" s="313">
        <v>246.35000600000001</v>
      </c>
      <c r="D1194" s="345">
        <f t="shared" ref="D1194:E1194" si="1203">B1194/B1193-1</f>
        <v>-8.6156793770997275E-3</v>
      </c>
      <c r="E1194" s="345">
        <f t="shared" si="1203"/>
        <v>1.8707836913693932E-3</v>
      </c>
      <c r="F1194" s="313"/>
      <c r="G1194" s="313"/>
      <c r="H1194" s="313"/>
      <c r="I1194" s="313"/>
      <c r="J1194" s="313"/>
      <c r="K1194" s="313"/>
      <c r="L1194" s="313"/>
      <c r="M1194" s="313"/>
      <c r="N1194" s="313"/>
      <c r="O1194" s="313"/>
      <c r="P1194" s="313"/>
      <c r="Q1194" s="313"/>
      <c r="R1194" s="313"/>
      <c r="S1194" s="313"/>
      <c r="T1194" s="313"/>
      <c r="U1194" s="313"/>
      <c r="V1194" s="313"/>
      <c r="W1194" s="313"/>
      <c r="X1194" s="313"/>
      <c r="Y1194" s="313"/>
      <c r="Z1194" s="313"/>
      <c r="AA1194" s="313"/>
    </row>
    <row r="1195" spans="1:27" ht="14.25" customHeight="1" x14ac:dyDescent="0.2">
      <c r="A1195" s="346">
        <v>44335</v>
      </c>
      <c r="B1195" s="313">
        <v>410.85998499999999</v>
      </c>
      <c r="C1195" s="313">
        <v>246.03999300000001</v>
      </c>
      <c r="D1195" s="345">
        <f t="shared" ref="D1195:E1195" si="1204">B1195/B1194-1</f>
        <v>-2.6217822856640094E-3</v>
      </c>
      <c r="E1195" s="345">
        <f t="shared" si="1204"/>
        <v>-1.2584249744244103E-3</v>
      </c>
      <c r="F1195" s="313"/>
      <c r="G1195" s="313"/>
      <c r="H1195" s="313"/>
      <c r="I1195" s="313"/>
      <c r="J1195" s="313"/>
      <c r="K1195" s="313"/>
      <c r="L1195" s="313"/>
      <c r="M1195" s="313"/>
      <c r="N1195" s="313"/>
      <c r="O1195" s="313"/>
      <c r="P1195" s="313"/>
      <c r="Q1195" s="313"/>
      <c r="R1195" s="313"/>
      <c r="S1195" s="313"/>
      <c r="T1195" s="313"/>
      <c r="U1195" s="313"/>
      <c r="V1195" s="313"/>
      <c r="W1195" s="313"/>
      <c r="X1195" s="313"/>
      <c r="Y1195" s="313"/>
      <c r="Z1195" s="313"/>
      <c r="AA1195" s="313"/>
    </row>
    <row r="1196" spans="1:27" ht="14.25" customHeight="1" x14ac:dyDescent="0.2">
      <c r="A1196" s="346">
        <v>44336</v>
      </c>
      <c r="B1196" s="313">
        <v>415.27999899999998</v>
      </c>
      <c r="C1196" s="313">
        <v>250.820007</v>
      </c>
      <c r="D1196" s="345">
        <f t="shared" ref="D1196:E1196" si="1205">B1196/B1195-1</f>
        <v>1.0757956874286378E-2</v>
      </c>
      <c r="E1196" s="345">
        <f t="shared" si="1205"/>
        <v>1.9427792781639308E-2</v>
      </c>
      <c r="F1196" s="313"/>
      <c r="G1196" s="313"/>
      <c r="H1196" s="313"/>
      <c r="I1196" s="313"/>
      <c r="J1196" s="313"/>
      <c r="K1196" s="313"/>
      <c r="L1196" s="313"/>
      <c r="M1196" s="313"/>
      <c r="N1196" s="313"/>
      <c r="O1196" s="313"/>
      <c r="P1196" s="313"/>
      <c r="Q1196" s="313"/>
      <c r="R1196" s="313"/>
      <c r="S1196" s="313"/>
      <c r="T1196" s="313"/>
      <c r="U1196" s="313"/>
      <c r="V1196" s="313"/>
      <c r="W1196" s="313"/>
      <c r="X1196" s="313"/>
      <c r="Y1196" s="313"/>
      <c r="Z1196" s="313"/>
      <c r="AA1196" s="313"/>
    </row>
    <row r="1197" spans="1:27" ht="14.25" customHeight="1" x14ac:dyDescent="0.2">
      <c r="A1197" s="346">
        <v>44337</v>
      </c>
      <c r="B1197" s="313">
        <v>414.94000199999999</v>
      </c>
      <c r="C1197" s="313">
        <v>249.949997</v>
      </c>
      <c r="D1197" s="345">
        <f t="shared" ref="D1197:E1197" si="1206">B1197/B1196-1</f>
        <v>-8.1871749378414904E-4</v>
      </c>
      <c r="E1197" s="345">
        <f t="shared" si="1206"/>
        <v>-3.4686626892567185E-3</v>
      </c>
      <c r="F1197" s="313"/>
      <c r="G1197" s="313"/>
      <c r="H1197" s="313"/>
      <c r="I1197" s="313"/>
      <c r="J1197" s="313"/>
      <c r="K1197" s="313"/>
      <c r="L1197" s="313"/>
      <c r="M1197" s="313"/>
      <c r="N1197" s="313"/>
      <c r="O1197" s="313"/>
      <c r="P1197" s="313"/>
      <c r="Q1197" s="313"/>
      <c r="R1197" s="313"/>
      <c r="S1197" s="313"/>
      <c r="T1197" s="313"/>
      <c r="U1197" s="313"/>
      <c r="V1197" s="313"/>
      <c r="W1197" s="313"/>
      <c r="X1197" s="313"/>
      <c r="Y1197" s="313"/>
      <c r="Z1197" s="313"/>
      <c r="AA1197" s="313"/>
    </row>
    <row r="1198" spans="1:27" ht="14.25" customHeight="1" x14ac:dyDescent="0.2">
      <c r="A1198" s="346">
        <v>44340</v>
      </c>
      <c r="B1198" s="313">
        <v>419.17001299999998</v>
      </c>
      <c r="C1198" s="313">
        <v>252.779999</v>
      </c>
      <c r="D1198" s="345">
        <f t="shared" ref="D1198:E1198" si="1207">B1198/B1197-1</f>
        <v>1.0194271411797962E-2</v>
      </c>
      <c r="E1198" s="345">
        <f t="shared" si="1207"/>
        <v>1.1322272590385429E-2</v>
      </c>
      <c r="F1198" s="313"/>
      <c r="G1198" s="313"/>
      <c r="H1198" s="313"/>
      <c r="I1198" s="313"/>
      <c r="J1198" s="313"/>
      <c r="K1198" s="313"/>
      <c r="L1198" s="313"/>
      <c r="M1198" s="313"/>
      <c r="N1198" s="313"/>
      <c r="O1198" s="313"/>
      <c r="P1198" s="313"/>
      <c r="Q1198" s="313"/>
      <c r="R1198" s="313"/>
      <c r="S1198" s="313"/>
      <c r="T1198" s="313"/>
      <c r="U1198" s="313"/>
      <c r="V1198" s="313"/>
      <c r="W1198" s="313"/>
      <c r="X1198" s="313"/>
      <c r="Y1198" s="313"/>
      <c r="Z1198" s="313"/>
      <c r="AA1198" s="313"/>
    </row>
    <row r="1199" spans="1:27" ht="14.25" customHeight="1" x14ac:dyDescent="0.2">
      <c r="A1199" s="346">
        <v>44341</v>
      </c>
      <c r="B1199" s="313">
        <v>418.23998999999998</v>
      </c>
      <c r="C1199" s="313">
        <v>253.36999499999999</v>
      </c>
      <c r="D1199" s="345">
        <f t="shared" ref="D1199:E1199" si="1208">B1199/B1198-1</f>
        <v>-2.2187250307907913E-3</v>
      </c>
      <c r="E1199" s="345">
        <f t="shared" si="1208"/>
        <v>2.3340296001821415E-3</v>
      </c>
      <c r="F1199" s="313"/>
      <c r="G1199" s="313"/>
      <c r="H1199" s="313"/>
      <c r="I1199" s="313"/>
      <c r="J1199" s="313"/>
      <c r="K1199" s="313"/>
      <c r="L1199" s="313"/>
      <c r="M1199" s="313"/>
      <c r="N1199" s="313"/>
      <c r="O1199" s="313"/>
      <c r="P1199" s="313"/>
      <c r="Q1199" s="313"/>
      <c r="R1199" s="313"/>
      <c r="S1199" s="313"/>
      <c r="T1199" s="313"/>
      <c r="U1199" s="313"/>
      <c r="V1199" s="313"/>
      <c r="W1199" s="313"/>
      <c r="X1199" s="313"/>
      <c r="Y1199" s="313"/>
      <c r="Z1199" s="313"/>
      <c r="AA1199" s="313"/>
    </row>
    <row r="1200" spans="1:27" ht="14.25" customHeight="1" x14ac:dyDescent="0.2">
      <c r="A1200" s="346">
        <v>44342</v>
      </c>
      <c r="B1200" s="313">
        <v>419.07000699999998</v>
      </c>
      <c r="C1200" s="313">
        <v>254.46000699999999</v>
      </c>
      <c r="D1200" s="345">
        <f t="shared" ref="D1200:E1200" si="1209">B1200/B1199-1</f>
        <v>1.9845471974118123E-3</v>
      </c>
      <c r="E1200" s="345">
        <f t="shared" si="1209"/>
        <v>4.3020563662243827E-3</v>
      </c>
      <c r="F1200" s="313"/>
      <c r="G1200" s="313"/>
      <c r="H1200" s="313"/>
      <c r="I1200" s="313"/>
      <c r="J1200" s="313"/>
      <c r="K1200" s="313"/>
      <c r="L1200" s="313"/>
      <c r="M1200" s="313"/>
      <c r="N1200" s="313"/>
      <c r="O1200" s="313"/>
      <c r="P1200" s="313"/>
      <c r="Q1200" s="313"/>
      <c r="R1200" s="313"/>
      <c r="S1200" s="313"/>
      <c r="T1200" s="313"/>
      <c r="U1200" s="313"/>
      <c r="V1200" s="313"/>
      <c r="W1200" s="313"/>
      <c r="X1200" s="313"/>
      <c r="Y1200" s="313"/>
      <c r="Z1200" s="313"/>
      <c r="AA1200" s="313"/>
    </row>
    <row r="1201" spans="1:27" ht="14.25" customHeight="1" x14ac:dyDescent="0.2">
      <c r="A1201" s="346">
        <v>44343</v>
      </c>
      <c r="B1201" s="313">
        <v>419.290009</v>
      </c>
      <c r="C1201" s="313">
        <v>254.11000100000001</v>
      </c>
      <c r="D1201" s="345">
        <f t="shared" ref="D1201:E1201" si="1210">B1201/B1200-1</f>
        <v>5.2497672542828333E-4</v>
      </c>
      <c r="E1201" s="345">
        <f t="shared" si="1210"/>
        <v>-1.3754853036688219E-3</v>
      </c>
      <c r="F1201" s="313"/>
      <c r="G1201" s="313"/>
      <c r="H1201" s="313"/>
      <c r="I1201" s="313"/>
      <c r="J1201" s="313"/>
      <c r="K1201" s="313"/>
      <c r="L1201" s="313"/>
      <c r="M1201" s="313"/>
      <c r="N1201" s="313"/>
      <c r="O1201" s="313"/>
      <c r="P1201" s="313"/>
      <c r="Q1201" s="313"/>
      <c r="R1201" s="313"/>
      <c r="S1201" s="313"/>
      <c r="T1201" s="313"/>
      <c r="U1201" s="313"/>
      <c r="V1201" s="313"/>
      <c r="W1201" s="313"/>
      <c r="X1201" s="313"/>
      <c r="Y1201" s="313"/>
      <c r="Z1201" s="313"/>
      <c r="AA1201" s="313"/>
    </row>
    <row r="1202" spans="1:27" ht="14.25" customHeight="1" x14ac:dyDescent="0.2">
      <c r="A1202" s="346">
        <v>44344</v>
      </c>
      <c r="B1202" s="313">
        <v>420.040009</v>
      </c>
      <c r="C1202" s="313">
        <v>255.46000699999999</v>
      </c>
      <c r="D1202" s="345">
        <f t="shared" ref="D1202:E1202" si="1211">B1202/B1201-1</f>
        <v>1.7887380664964869E-3</v>
      </c>
      <c r="E1202" s="345">
        <f t="shared" si="1211"/>
        <v>5.3126834626235908E-3</v>
      </c>
      <c r="F1202" s="313"/>
      <c r="G1202" s="313"/>
      <c r="H1202" s="313"/>
      <c r="I1202" s="313"/>
      <c r="J1202" s="313"/>
      <c r="K1202" s="313"/>
      <c r="L1202" s="313"/>
      <c r="M1202" s="313"/>
      <c r="N1202" s="313"/>
      <c r="O1202" s="313"/>
      <c r="P1202" s="313"/>
      <c r="Q1202" s="313"/>
      <c r="R1202" s="313"/>
      <c r="S1202" s="313"/>
      <c r="T1202" s="313"/>
      <c r="U1202" s="313"/>
      <c r="V1202" s="313"/>
      <c r="W1202" s="313"/>
      <c r="X1202" s="313"/>
      <c r="Y1202" s="313"/>
      <c r="Z1202" s="313"/>
      <c r="AA1202" s="313"/>
    </row>
    <row r="1203" spans="1:27" ht="14.25" customHeight="1" x14ac:dyDescent="0.2">
      <c r="A1203" s="346">
        <v>44348</v>
      </c>
      <c r="B1203" s="313">
        <v>419.67001299999998</v>
      </c>
      <c r="C1203" s="313">
        <v>258.57000699999998</v>
      </c>
      <c r="D1203" s="345">
        <f t="shared" ref="D1203:E1203" si="1212">B1203/B1202-1</f>
        <v>-8.8085894693901157E-4</v>
      </c>
      <c r="E1203" s="345">
        <f t="shared" si="1212"/>
        <v>1.2174116945044888E-2</v>
      </c>
      <c r="F1203" s="313"/>
      <c r="G1203" s="313"/>
      <c r="H1203" s="313"/>
      <c r="I1203" s="313"/>
      <c r="J1203" s="313"/>
      <c r="K1203" s="313"/>
      <c r="L1203" s="313"/>
      <c r="M1203" s="313"/>
      <c r="N1203" s="313"/>
      <c r="O1203" s="313"/>
      <c r="P1203" s="313"/>
      <c r="Q1203" s="313"/>
      <c r="R1203" s="313"/>
      <c r="S1203" s="313"/>
      <c r="T1203" s="313"/>
      <c r="U1203" s="313"/>
      <c r="V1203" s="313"/>
      <c r="W1203" s="313"/>
      <c r="X1203" s="313"/>
      <c r="Y1203" s="313"/>
      <c r="Z1203" s="313"/>
      <c r="AA1203" s="313"/>
    </row>
    <row r="1204" spans="1:27" ht="14.25" customHeight="1" x14ac:dyDescent="0.2">
      <c r="A1204" s="346">
        <v>44349</v>
      </c>
      <c r="B1204" s="313">
        <v>420.32998700000002</v>
      </c>
      <c r="C1204" s="313">
        <v>262.92999300000002</v>
      </c>
      <c r="D1204" s="345">
        <f t="shared" ref="D1204:E1204" si="1213">B1204/B1203-1</f>
        <v>1.5726022340318835E-3</v>
      </c>
      <c r="E1204" s="345">
        <f t="shared" si="1213"/>
        <v>1.6861917012672034E-2</v>
      </c>
      <c r="F1204" s="313"/>
      <c r="G1204" s="313"/>
      <c r="H1204" s="313"/>
      <c r="I1204" s="313"/>
      <c r="J1204" s="313"/>
      <c r="K1204" s="313"/>
      <c r="L1204" s="313"/>
      <c r="M1204" s="313"/>
      <c r="N1204" s="313"/>
      <c r="O1204" s="313"/>
      <c r="P1204" s="313"/>
      <c r="Q1204" s="313"/>
      <c r="R1204" s="313"/>
      <c r="S1204" s="313"/>
      <c r="T1204" s="313"/>
      <c r="U1204" s="313"/>
      <c r="V1204" s="313"/>
      <c r="W1204" s="313"/>
      <c r="X1204" s="313"/>
      <c r="Y1204" s="313"/>
      <c r="Z1204" s="313"/>
      <c r="AA1204" s="313"/>
    </row>
    <row r="1205" spans="1:27" ht="14.25" customHeight="1" x14ac:dyDescent="0.2">
      <c r="A1205" s="346">
        <v>44350</v>
      </c>
      <c r="B1205" s="313">
        <v>418.76998900000001</v>
      </c>
      <c r="C1205" s="313">
        <v>263.35000600000001</v>
      </c>
      <c r="D1205" s="345">
        <f t="shared" ref="D1205:E1205" si="1214">B1205/B1204-1</f>
        <v>-3.7113649947606575E-3</v>
      </c>
      <c r="E1205" s="345">
        <f t="shared" si="1214"/>
        <v>1.5974328193131271E-3</v>
      </c>
      <c r="F1205" s="313"/>
      <c r="G1205" s="313"/>
      <c r="H1205" s="313"/>
      <c r="I1205" s="313"/>
      <c r="J1205" s="313"/>
      <c r="K1205" s="313"/>
      <c r="L1205" s="313"/>
      <c r="M1205" s="313"/>
      <c r="N1205" s="313"/>
      <c r="O1205" s="313"/>
      <c r="P1205" s="313"/>
      <c r="Q1205" s="313"/>
      <c r="R1205" s="313"/>
      <c r="S1205" s="313"/>
      <c r="T1205" s="313"/>
      <c r="U1205" s="313"/>
      <c r="V1205" s="313"/>
      <c r="W1205" s="313"/>
      <c r="X1205" s="313"/>
      <c r="Y1205" s="313"/>
      <c r="Z1205" s="313"/>
      <c r="AA1205" s="313"/>
    </row>
    <row r="1206" spans="1:27" ht="14.25" customHeight="1" x14ac:dyDescent="0.2">
      <c r="A1206" s="346">
        <v>44351</v>
      </c>
      <c r="B1206" s="313">
        <v>422.60000600000001</v>
      </c>
      <c r="C1206" s="313">
        <v>265.27999899999998</v>
      </c>
      <c r="D1206" s="345">
        <f t="shared" ref="D1206:E1206" si="1215">B1206/B1205-1</f>
        <v>9.1458726761817211E-3</v>
      </c>
      <c r="E1206" s="345">
        <f t="shared" si="1215"/>
        <v>7.3286233378706545E-3</v>
      </c>
      <c r="F1206" s="313"/>
      <c r="G1206" s="313"/>
      <c r="H1206" s="313"/>
      <c r="I1206" s="313"/>
      <c r="J1206" s="313"/>
      <c r="K1206" s="313"/>
      <c r="L1206" s="313"/>
      <c r="M1206" s="313"/>
      <c r="N1206" s="313"/>
      <c r="O1206" s="313"/>
      <c r="P1206" s="313"/>
      <c r="Q1206" s="313"/>
      <c r="R1206" s="313"/>
      <c r="S1206" s="313"/>
      <c r="T1206" s="313"/>
      <c r="U1206" s="313"/>
      <c r="V1206" s="313"/>
      <c r="W1206" s="313"/>
      <c r="X1206" s="313"/>
      <c r="Y1206" s="313"/>
      <c r="Z1206" s="313"/>
      <c r="AA1206" s="313"/>
    </row>
    <row r="1207" spans="1:27" ht="14.25" customHeight="1" x14ac:dyDescent="0.2">
      <c r="A1207" s="346">
        <v>44354</v>
      </c>
      <c r="B1207" s="313">
        <v>422.19000199999999</v>
      </c>
      <c r="C1207" s="313">
        <v>268.63000499999998</v>
      </c>
      <c r="D1207" s="345">
        <f t="shared" ref="D1207:E1207" si="1216">B1207/B1206-1</f>
        <v>-9.7019402313969216E-4</v>
      </c>
      <c r="E1207" s="345">
        <f t="shared" si="1216"/>
        <v>1.2628189130836187E-2</v>
      </c>
      <c r="F1207" s="313"/>
      <c r="G1207" s="313"/>
      <c r="H1207" s="313"/>
      <c r="I1207" s="313"/>
      <c r="J1207" s="313"/>
      <c r="K1207" s="313"/>
      <c r="L1207" s="313"/>
      <c r="M1207" s="313"/>
      <c r="N1207" s="313"/>
      <c r="O1207" s="313"/>
      <c r="P1207" s="313"/>
      <c r="Q1207" s="313"/>
      <c r="R1207" s="313"/>
      <c r="S1207" s="313"/>
      <c r="T1207" s="313"/>
      <c r="U1207" s="313"/>
      <c r="V1207" s="313"/>
      <c r="W1207" s="313"/>
      <c r="X1207" s="313"/>
      <c r="Y1207" s="313"/>
      <c r="Z1207" s="313"/>
      <c r="AA1207" s="313"/>
    </row>
    <row r="1208" spans="1:27" ht="14.25" customHeight="1" x14ac:dyDescent="0.2">
      <c r="A1208" s="346">
        <v>44355</v>
      </c>
      <c r="B1208" s="313">
        <v>422.27999899999998</v>
      </c>
      <c r="C1208" s="313">
        <v>266.01998900000001</v>
      </c>
      <c r="D1208" s="345">
        <f t="shared" ref="D1208:E1208" si="1217">B1208/B1207-1</f>
        <v>2.1316705647600465E-4</v>
      </c>
      <c r="E1208" s="345">
        <f t="shared" si="1217"/>
        <v>-9.7160255794953576E-3</v>
      </c>
      <c r="F1208" s="313"/>
      <c r="G1208" s="313"/>
      <c r="H1208" s="313"/>
      <c r="I1208" s="313"/>
      <c r="J1208" s="313"/>
      <c r="K1208" s="313"/>
      <c r="L1208" s="313"/>
      <c r="M1208" s="313"/>
      <c r="N1208" s="313"/>
      <c r="O1208" s="313"/>
      <c r="P1208" s="313"/>
      <c r="Q1208" s="313"/>
      <c r="R1208" s="313"/>
      <c r="S1208" s="313"/>
      <c r="T1208" s="313"/>
      <c r="U1208" s="313"/>
      <c r="V1208" s="313"/>
      <c r="W1208" s="313"/>
      <c r="X1208" s="313"/>
      <c r="Y1208" s="313"/>
      <c r="Z1208" s="313"/>
      <c r="AA1208" s="313"/>
    </row>
    <row r="1209" spans="1:27" ht="14.25" customHeight="1" x14ac:dyDescent="0.2">
      <c r="A1209" s="346">
        <v>44356</v>
      </c>
      <c r="B1209" s="313">
        <v>421.64999399999999</v>
      </c>
      <c r="C1209" s="313">
        <v>267.01001000000002</v>
      </c>
      <c r="D1209" s="345">
        <f t="shared" ref="D1209:E1209" si="1218">B1209/B1208-1</f>
        <v>-1.4919129522873442E-3</v>
      </c>
      <c r="E1209" s="345">
        <f t="shared" si="1218"/>
        <v>3.7216037927134682E-3</v>
      </c>
      <c r="F1209" s="313"/>
      <c r="G1209" s="313"/>
      <c r="H1209" s="313"/>
      <c r="I1209" s="313"/>
      <c r="J1209" s="313"/>
      <c r="K1209" s="313"/>
      <c r="L1209" s="313"/>
      <c r="M1209" s="313"/>
      <c r="N1209" s="313"/>
      <c r="O1209" s="313"/>
      <c r="P1209" s="313"/>
      <c r="Q1209" s="313"/>
      <c r="R1209" s="313"/>
      <c r="S1209" s="313"/>
      <c r="T1209" s="313"/>
      <c r="U1209" s="313"/>
      <c r="V1209" s="313"/>
      <c r="W1209" s="313"/>
      <c r="X1209" s="313"/>
      <c r="Y1209" s="313"/>
      <c r="Z1209" s="313"/>
      <c r="AA1209" s="313"/>
    </row>
    <row r="1210" spans="1:27" ht="14.25" customHeight="1" x14ac:dyDescent="0.2">
      <c r="A1210" s="346">
        <v>44357</v>
      </c>
      <c r="B1210" s="313">
        <v>423.60998499999999</v>
      </c>
      <c r="C1210" s="313">
        <v>270.82000699999998</v>
      </c>
      <c r="D1210" s="345">
        <f t="shared" ref="D1210:E1210" si="1219">B1210/B1209-1</f>
        <v>4.6483837967279396E-3</v>
      </c>
      <c r="E1210" s="345">
        <f t="shared" si="1219"/>
        <v>1.4269116727121833E-2</v>
      </c>
      <c r="F1210" s="313"/>
      <c r="G1210" s="313"/>
      <c r="H1210" s="313"/>
      <c r="I1210" s="313"/>
      <c r="J1210" s="313"/>
      <c r="K1210" s="313"/>
      <c r="L1210" s="313"/>
      <c r="M1210" s="313"/>
      <c r="N1210" s="313"/>
      <c r="O1210" s="313"/>
      <c r="P1210" s="313"/>
      <c r="Q1210" s="313"/>
      <c r="R1210" s="313"/>
      <c r="S1210" s="313"/>
      <c r="T1210" s="313"/>
      <c r="U1210" s="313"/>
      <c r="V1210" s="313"/>
      <c r="W1210" s="313"/>
      <c r="X1210" s="313"/>
      <c r="Y1210" s="313"/>
      <c r="Z1210" s="313"/>
      <c r="AA1210" s="313"/>
    </row>
    <row r="1211" spans="1:27" ht="14.25" customHeight="1" x14ac:dyDescent="0.2">
      <c r="A1211" s="346">
        <v>44358</v>
      </c>
      <c r="B1211" s="313">
        <v>424.30999800000001</v>
      </c>
      <c r="C1211" s="313">
        <v>268.35000600000001</v>
      </c>
      <c r="D1211" s="345">
        <f t="shared" ref="D1211:E1211" si="1220">B1211/B1210-1</f>
        <v>1.6524940978432934E-3</v>
      </c>
      <c r="E1211" s="345">
        <f t="shared" si="1220"/>
        <v>-9.1204524634694861E-3</v>
      </c>
      <c r="F1211" s="313"/>
      <c r="G1211" s="313"/>
      <c r="H1211" s="313"/>
      <c r="I1211" s="313"/>
      <c r="J1211" s="313"/>
      <c r="K1211" s="313"/>
      <c r="L1211" s="313"/>
      <c r="M1211" s="313"/>
      <c r="N1211" s="313"/>
      <c r="O1211" s="313"/>
      <c r="P1211" s="313"/>
      <c r="Q1211" s="313"/>
      <c r="R1211" s="313"/>
      <c r="S1211" s="313"/>
      <c r="T1211" s="313"/>
      <c r="U1211" s="313"/>
      <c r="V1211" s="313"/>
      <c r="W1211" s="313"/>
      <c r="X1211" s="313"/>
      <c r="Y1211" s="313"/>
      <c r="Z1211" s="313"/>
      <c r="AA1211" s="313"/>
    </row>
    <row r="1212" spans="1:27" ht="14.25" customHeight="1" x14ac:dyDescent="0.2">
      <c r="A1212" s="346">
        <v>44361</v>
      </c>
      <c r="B1212" s="313">
        <v>425.26001000000002</v>
      </c>
      <c r="C1212" s="313">
        <v>270.94000199999999</v>
      </c>
      <c r="D1212" s="345">
        <f t="shared" ref="D1212:E1212" si="1221">B1212/B1211-1</f>
        <v>2.2389573766301574E-3</v>
      </c>
      <c r="E1212" s="345">
        <f t="shared" si="1221"/>
        <v>9.6515593146659917E-3</v>
      </c>
      <c r="F1212" s="313"/>
      <c r="G1212" s="313"/>
      <c r="H1212" s="313"/>
      <c r="I1212" s="313"/>
      <c r="J1212" s="313"/>
      <c r="K1212" s="313"/>
      <c r="L1212" s="313"/>
      <c r="M1212" s="313"/>
      <c r="N1212" s="313"/>
      <c r="O1212" s="313"/>
      <c r="P1212" s="313"/>
      <c r="Q1212" s="313"/>
      <c r="R1212" s="313"/>
      <c r="S1212" s="313"/>
      <c r="T1212" s="313"/>
      <c r="U1212" s="313"/>
      <c r="V1212" s="313"/>
      <c r="W1212" s="313"/>
      <c r="X1212" s="313"/>
      <c r="Y1212" s="313"/>
      <c r="Z1212" s="313"/>
      <c r="AA1212" s="313"/>
    </row>
    <row r="1213" spans="1:27" ht="14.25" customHeight="1" x14ac:dyDescent="0.2">
      <c r="A1213" s="346">
        <v>44362</v>
      </c>
      <c r="B1213" s="313">
        <v>424.48001099999999</v>
      </c>
      <c r="C1213" s="313">
        <v>270.47000100000002</v>
      </c>
      <c r="D1213" s="345">
        <f t="shared" ref="D1213:E1213" si="1222">B1213/B1212-1</f>
        <v>-1.8341696412979003E-3</v>
      </c>
      <c r="E1213" s="345">
        <f t="shared" si="1222"/>
        <v>-1.7347050879551462E-3</v>
      </c>
      <c r="F1213" s="313"/>
      <c r="G1213" s="313"/>
      <c r="H1213" s="313"/>
      <c r="I1213" s="313"/>
      <c r="J1213" s="313"/>
      <c r="K1213" s="313"/>
      <c r="L1213" s="313"/>
      <c r="M1213" s="313"/>
      <c r="N1213" s="313"/>
      <c r="O1213" s="313"/>
      <c r="P1213" s="313"/>
      <c r="Q1213" s="313"/>
      <c r="R1213" s="313"/>
      <c r="S1213" s="313"/>
      <c r="T1213" s="313"/>
      <c r="U1213" s="313"/>
      <c r="V1213" s="313"/>
      <c r="W1213" s="313"/>
      <c r="X1213" s="313"/>
      <c r="Y1213" s="313"/>
      <c r="Z1213" s="313"/>
      <c r="AA1213" s="313"/>
    </row>
    <row r="1214" spans="1:27" ht="14.25" customHeight="1" x14ac:dyDescent="0.2">
      <c r="A1214" s="346">
        <v>44363</v>
      </c>
      <c r="B1214" s="313">
        <v>422.10998499999999</v>
      </c>
      <c r="C1214" s="313">
        <v>266.52999899999998</v>
      </c>
      <c r="D1214" s="345">
        <f t="shared" ref="D1214:E1214" si="1223">B1214/B1213-1</f>
        <v>-5.5833630290779146E-3</v>
      </c>
      <c r="E1214" s="345">
        <f t="shared" si="1223"/>
        <v>-1.4567242154149507E-2</v>
      </c>
      <c r="F1214" s="313"/>
      <c r="G1214" s="313"/>
      <c r="H1214" s="313"/>
      <c r="I1214" s="313"/>
      <c r="J1214" s="313"/>
      <c r="K1214" s="313"/>
      <c r="L1214" s="313"/>
      <c r="M1214" s="313"/>
      <c r="N1214" s="313"/>
      <c r="O1214" s="313"/>
      <c r="P1214" s="313"/>
      <c r="Q1214" s="313"/>
      <c r="R1214" s="313"/>
      <c r="S1214" s="313"/>
      <c r="T1214" s="313"/>
      <c r="U1214" s="313"/>
      <c r="V1214" s="313"/>
      <c r="W1214" s="313"/>
      <c r="X1214" s="313"/>
      <c r="Y1214" s="313"/>
      <c r="Z1214" s="313"/>
      <c r="AA1214" s="313"/>
    </row>
    <row r="1215" spans="1:27" ht="14.25" customHeight="1" x14ac:dyDescent="0.2">
      <c r="A1215" s="346">
        <v>44364</v>
      </c>
      <c r="B1215" s="313">
        <v>421.97000100000002</v>
      </c>
      <c r="C1215" s="313">
        <v>269.51001000000002</v>
      </c>
      <c r="D1215" s="345">
        <f t="shared" ref="D1215:E1215" si="1224">B1215/B1214-1</f>
        <v>-3.3162920796570017E-4</v>
      </c>
      <c r="E1215" s="345">
        <f t="shared" si="1224"/>
        <v>1.1180771437289572E-2</v>
      </c>
      <c r="F1215" s="313"/>
      <c r="G1215" s="313"/>
      <c r="H1215" s="313"/>
      <c r="I1215" s="313"/>
      <c r="J1215" s="313"/>
      <c r="K1215" s="313"/>
      <c r="L1215" s="313"/>
      <c r="M1215" s="313"/>
      <c r="N1215" s="313"/>
      <c r="O1215" s="313"/>
      <c r="P1215" s="313"/>
      <c r="Q1215" s="313"/>
      <c r="R1215" s="313"/>
      <c r="S1215" s="313"/>
      <c r="T1215" s="313"/>
      <c r="U1215" s="313"/>
      <c r="V1215" s="313"/>
      <c r="W1215" s="313"/>
      <c r="X1215" s="313"/>
      <c r="Y1215" s="313"/>
      <c r="Z1215" s="313"/>
      <c r="AA1215" s="313"/>
    </row>
    <row r="1216" spans="1:27" ht="14.25" customHeight="1" x14ac:dyDescent="0.2">
      <c r="A1216" s="346">
        <v>44365</v>
      </c>
      <c r="B1216" s="313">
        <v>414.92001299999998</v>
      </c>
      <c r="C1216" s="313">
        <v>265.94000199999999</v>
      </c>
      <c r="D1216" s="345">
        <f t="shared" ref="D1216:E1216" si="1225">B1216/B1215-1</f>
        <v>-1.6707320386029179E-2</v>
      </c>
      <c r="E1216" s="345">
        <f t="shared" si="1225"/>
        <v>-1.3246290926262949E-2</v>
      </c>
      <c r="F1216" s="313"/>
      <c r="G1216" s="313"/>
      <c r="H1216" s="313"/>
      <c r="I1216" s="313"/>
      <c r="J1216" s="313"/>
      <c r="K1216" s="313"/>
      <c r="L1216" s="313"/>
      <c r="M1216" s="313"/>
      <c r="N1216" s="313"/>
      <c r="O1216" s="313"/>
      <c r="P1216" s="313"/>
      <c r="Q1216" s="313"/>
      <c r="R1216" s="313"/>
      <c r="S1216" s="313"/>
      <c r="T1216" s="313"/>
      <c r="U1216" s="313"/>
      <c r="V1216" s="313"/>
      <c r="W1216" s="313"/>
      <c r="X1216" s="313"/>
      <c r="Y1216" s="313"/>
      <c r="Z1216" s="313"/>
      <c r="AA1216" s="313"/>
    </row>
    <row r="1217" spans="1:27" ht="14.25" customHeight="1" x14ac:dyDescent="0.2">
      <c r="A1217" s="346">
        <v>44368</v>
      </c>
      <c r="B1217" s="313">
        <v>420.85998499999999</v>
      </c>
      <c r="C1217" s="313">
        <v>267.73998999999998</v>
      </c>
      <c r="D1217" s="345">
        <f t="shared" ref="D1217:E1217" si="1226">B1217/B1216-1</f>
        <v>1.4315944793918733E-2</v>
      </c>
      <c r="E1217" s="345">
        <f t="shared" si="1226"/>
        <v>6.7683988360651703E-3</v>
      </c>
      <c r="F1217" s="313"/>
      <c r="G1217" s="313"/>
      <c r="H1217" s="313"/>
      <c r="I1217" s="313"/>
      <c r="J1217" s="313"/>
      <c r="K1217" s="313"/>
      <c r="L1217" s="313"/>
      <c r="M1217" s="313"/>
      <c r="N1217" s="313"/>
      <c r="O1217" s="313"/>
      <c r="P1217" s="313"/>
      <c r="Q1217" s="313"/>
      <c r="R1217" s="313"/>
      <c r="S1217" s="313"/>
      <c r="T1217" s="313"/>
      <c r="U1217" s="313"/>
      <c r="V1217" s="313"/>
      <c r="W1217" s="313"/>
      <c r="X1217" s="313"/>
      <c r="Y1217" s="313"/>
      <c r="Z1217" s="313"/>
      <c r="AA1217" s="313"/>
    </row>
    <row r="1218" spans="1:27" ht="14.25" customHeight="1" x14ac:dyDescent="0.2">
      <c r="A1218" s="346">
        <v>44369</v>
      </c>
      <c r="B1218" s="313">
        <v>423.10998499999999</v>
      </c>
      <c r="C1218" s="313">
        <v>266.60998499999999</v>
      </c>
      <c r="D1218" s="345">
        <f t="shared" ref="D1218:E1218" si="1227">B1218/B1217-1</f>
        <v>5.3461960751626236E-3</v>
      </c>
      <c r="E1218" s="345">
        <f t="shared" si="1227"/>
        <v>-4.2205312699085118E-3</v>
      </c>
      <c r="F1218" s="313"/>
      <c r="G1218" s="313"/>
      <c r="H1218" s="313"/>
      <c r="I1218" s="313"/>
      <c r="J1218" s="313"/>
      <c r="K1218" s="313"/>
      <c r="L1218" s="313"/>
      <c r="M1218" s="313"/>
      <c r="N1218" s="313"/>
      <c r="O1218" s="313"/>
      <c r="P1218" s="313"/>
      <c r="Q1218" s="313"/>
      <c r="R1218" s="313"/>
      <c r="S1218" s="313"/>
      <c r="T1218" s="313"/>
      <c r="U1218" s="313"/>
      <c r="V1218" s="313"/>
      <c r="W1218" s="313"/>
      <c r="X1218" s="313"/>
      <c r="Y1218" s="313"/>
      <c r="Z1218" s="313"/>
      <c r="AA1218" s="313"/>
    </row>
    <row r="1219" spans="1:27" ht="14.25" customHeight="1" x14ac:dyDescent="0.2">
      <c r="A1219" s="346">
        <v>44370</v>
      </c>
      <c r="B1219" s="313">
        <v>422.60000600000001</v>
      </c>
      <c r="C1219" s="313">
        <v>264.22000100000002</v>
      </c>
      <c r="D1219" s="345">
        <f t="shared" ref="D1219:E1219" si="1228">B1219/B1218-1</f>
        <v>-1.2053107184412104E-3</v>
      </c>
      <c r="E1219" s="345">
        <f t="shared" si="1228"/>
        <v>-8.9643454276476797E-3</v>
      </c>
      <c r="F1219" s="313"/>
      <c r="G1219" s="313"/>
      <c r="H1219" s="313"/>
      <c r="I1219" s="313"/>
      <c r="J1219" s="313"/>
      <c r="K1219" s="313"/>
      <c r="L1219" s="313"/>
      <c r="M1219" s="313"/>
      <c r="N1219" s="313"/>
      <c r="O1219" s="313"/>
      <c r="P1219" s="313"/>
      <c r="Q1219" s="313"/>
      <c r="R1219" s="313"/>
      <c r="S1219" s="313"/>
      <c r="T1219" s="313"/>
      <c r="U1219" s="313"/>
      <c r="V1219" s="313"/>
      <c r="W1219" s="313"/>
      <c r="X1219" s="313"/>
      <c r="Y1219" s="313"/>
      <c r="Z1219" s="313"/>
      <c r="AA1219" s="313"/>
    </row>
    <row r="1220" spans="1:27" ht="14.25" customHeight="1" x14ac:dyDescent="0.2">
      <c r="A1220" s="346">
        <v>44371</v>
      </c>
      <c r="B1220" s="313">
        <v>425.10000600000001</v>
      </c>
      <c r="C1220" s="313">
        <v>264.14999399999999</v>
      </c>
      <c r="D1220" s="345">
        <f t="shared" ref="D1220:E1220" si="1229">B1220/B1219-1</f>
        <v>5.9157594995395968E-3</v>
      </c>
      <c r="E1220" s="345">
        <f t="shared" si="1229"/>
        <v>-2.6495723160646634E-4</v>
      </c>
      <c r="F1220" s="313"/>
      <c r="G1220" s="313"/>
      <c r="H1220" s="313"/>
      <c r="I1220" s="313"/>
      <c r="J1220" s="313"/>
      <c r="K1220" s="313"/>
      <c r="L1220" s="313"/>
      <c r="M1220" s="313"/>
      <c r="N1220" s="313"/>
      <c r="O1220" s="313"/>
      <c r="P1220" s="313"/>
      <c r="Q1220" s="313"/>
      <c r="R1220" s="313"/>
      <c r="S1220" s="313"/>
      <c r="T1220" s="313"/>
      <c r="U1220" s="313"/>
      <c r="V1220" s="313"/>
      <c r="W1220" s="313"/>
      <c r="X1220" s="313"/>
      <c r="Y1220" s="313"/>
      <c r="Z1220" s="313"/>
      <c r="AA1220" s="313"/>
    </row>
    <row r="1221" spans="1:27" ht="14.25" customHeight="1" x14ac:dyDescent="0.2">
      <c r="A1221" s="346">
        <v>44372</v>
      </c>
      <c r="B1221" s="313">
        <v>426.60998499999999</v>
      </c>
      <c r="C1221" s="313">
        <v>266.540009</v>
      </c>
      <c r="D1221" s="345">
        <f t="shared" ref="D1221:E1221" si="1230">B1221/B1220-1</f>
        <v>3.5520559366917226E-3</v>
      </c>
      <c r="E1221" s="345">
        <f t="shared" si="1230"/>
        <v>9.0479464481836303E-3</v>
      </c>
      <c r="F1221" s="313"/>
      <c r="G1221" s="313"/>
      <c r="H1221" s="313"/>
      <c r="I1221" s="313"/>
      <c r="J1221" s="313"/>
      <c r="K1221" s="313"/>
      <c r="L1221" s="313"/>
      <c r="M1221" s="313"/>
      <c r="N1221" s="313"/>
      <c r="O1221" s="313"/>
      <c r="P1221" s="313"/>
      <c r="Q1221" s="313"/>
      <c r="R1221" s="313"/>
      <c r="S1221" s="313"/>
      <c r="T1221" s="313"/>
      <c r="U1221" s="313"/>
      <c r="V1221" s="313"/>
      <c r="W1221" s="313"/>
      <c r="X1221" s="313"/>
      <c r="Y1221" s="313"/>
      <c r="Z1221" s="313"/>
      <c r="AA1221" s="313"/>
    </row>
    <row r="1222" spans="1:27" ht="14.25" customHeight="1" x14ac:dyDescent="0.2">
      <c r="A1222" s="346">
        <v>44375</v>
      </c>
      <c r="B1222" s="313">
        <v>427.47000100000002</v>
      </c>
      <c r="C1222" s="313">
        <v>271.790009</v>
      </c>
      <c r="D1222" s="345">
        <f t="shared" ref="D1222:E1222" si="1231">B1222/B1221-1</f>
        <v>2.0159303116171756E-3</v>
      </c>
      <c r="E1222" s="345">
        <f t="shared" si="1231"/>
        <v>1.9696855341518438E-2</v>
      </c>
      <c r="F1222" s="313"/>
      <c r="G1222" s="313"/>
      <c r="H1222" s="313"/>
      <c r="I1222" s="313"/>
      <c r="J1222" s="313"/>
      <c r="K1222" s="313"/>
      <c r="L1222" s="313"/>
      <c r="M1222" s="313"/>
      <c r="N1222" s="313"/>
      <c r="O1222" s="313"/>
      <c r="P1222" s="313"/>
      <c r="Q1222" s="313"/>
      <c r="R1222" s="313"/>
      <c r="S1222" s="313"/>
      <c r="T1222" s="313"/>
      <c r="U1222" s="313"/>
      <c r="V1222" s="313"/>
      <c r="W1222" s="313"/>
      <c r="X1222" s="313"/>
      <c r="Y1222" s="313"/>
      <c r="Z1222" s="313"/>
      <c r="AA1222" s="313"/>
    </row>
    <row r="1223" spans="1:27" ht="14.25" customHeight="1" x14ac:dyDescent="0.2">
      <c r="A1223" s="346">
        <v>44376</v>
      </c>
      <c r="B1223" s="313">
        <v>427.70001200000002</v>
      </c>
      <c r="C1223" s="313">
        <v>272.790009</v>
      </c>
      <c r="D1223" s="345">
        <f t="shared" ref="D1223:E1223" si="1232">B1223/B1222-1</f>
        <v>5.3807518530413212E-4</v>
      </c>
      <c r="E1223" s="345">
        <f t="shared" si="1232"/>
        <v>3.6793111111013133E-3</v>
      </c>
      <c r="F1223" s="313"/>
      <c r="G1223" s="313"/>
      <c r="H1223" s="313"/>
      <c r="I1223" s="313"/>
      <c r="J1223" s="313"/>
      <c r="K1223" s="313"/>
      <c r="L1223" s="313"/>
      <c r="M1223" s="313"/>
      <c r="N1223" s="313"/>
      <c r="O1223" s="313"/>
      <c r="P1223" s="313"/>
      <c r="Q1223" s="313"/>
      <c r="R1223" s="313"/>
      <c r="S1223" s="313"/>
      <c r="T1223" s="313"/>
      <c r="U1223" s="313"/>
      <c r="V1223" s="313"/>
      <c r="W1223" s="313"/>
      <c r="X1223" s="313"/>
      <c r="Y1223" s="313"/>
      <c r="Z1223" s="313"/>
      <c r="AA1223" s="313"/>
    </row>
    <row r="1224" spans="1:27" ht="14.25" customHeight="1" x14ac:dyDescent="0.2">
      <c r="A1224" s="346">
        <v>44377</v>
      </c>
      <c r="B1224" s="313">
        <v>428.05999800000001</v>
      </c>
      <c r="C1224" s="313">
        <v>270.14001500000001</v>
      </c>
      <c r="D1224" s="345">
        <f t="shared" ref="D1224:E1224" si="1233">B1224/B1223-1</f>
        <v>8.4167872316998071E-4</v>
      </c>
      <c r="E1224" s="345">
        <f t="shared" si="1233"/>
        <v>-9.714410031783749E-3</v>
      </c>
      <c r="F1224" s="313"/>
      <c r="G1224" s="313"/>
      <c r="H1224" s="313"/>
      <c r="I1224" s="313"/>
      <c r="J1224" s="313"/>
      <c r="K1224" s="313"/>
      <c r="L1224" s="313"/>
      <c r="M1224" s="313"/>
      <c r="N1224" s="313"/>
      <c r="O1224" s="313"/>
      <c r="P1224" s="313"/>
      <c r="Q1224" s="313"/>
      <c r="R1224" s="313"/>
      <c r="S1224" s="313"/>
      <c r="T1224" s="313"/>
      <c r="U1224" s="313"/>
      <c r="V1224" s="313"/>
      <c r="W1224" s="313"/>
      <c r="X1224" s="313"/>
      <c r="Y1224" s="313"/>
      <c r="Z1224" s="313"/>
      <c r="AA1224" s="313"/>
    </row>
    <row r="1225" spans="1:27" ht="14.25" customHeight="1" x14ac:dyDescent="0.2">
      <c r="A1225" s="346">
        <v>44378</v>
      </c>
      <c r="B1225" s="313">
        <v>430.42999300000002</v>
      </c>
      <c r="C1225" s="313">
        <v>270.32998700000002</v>
      </c>
      <c r="D1225" s="345">
        <f t="shared" ref="D1225:E1225" si="1234">B1225/B1224-1</f>
        <v>5.5365953629706866E-3</v>
      </c>
      <c r="E1225" s="345">
        <f t="shared" si="1234"/>
        <v>7.0323532039484604E-4</v>
      </c>
      <c r="F1225" s="313"/>
      <c r="G1225" s="313"/>
      <c r="H1225" s="313"/>
      <c r="I1225" s="313"/>
      <c r="J1225" s="313"/>
      <c r="K1225" s="313"/>
      <c r="L1225" s="313"/>
      <c r="M1225" s="313"/>
      <c r="N1225" s="313"/>
      <c r="O1225" s="313"/>
      <c r="P1225" s="313"/>
      <c r="Q1225" s="313"/>
      <c r="R1225" s="313"/>
      <c r="S1225" s="313"/>
      <c r="T1225" s="313"/>
      <c r="U1225" s="313"/>
      <c r="V1225" s="313"/>
      <c r="W1225" s="313"/>
      <c r="X1225" s="313"/>
      <c r="Y1225" s="313"/>
      <c r="Z1225" s="313"/>
      <c r="AA1225" s="313"/>
    </row>
    <row r="1226" spans="1:27" ht="14.25" customHeight="1" x14ac:dyDescent="0.2">
      <c r="A1226" s="346">
        <v>44379</v>
      </c>
      <c r="B1226" s="313">
        <v>433.72000100000002</v>
      </c>
      <c r="C1226" s="313">
        <v>272.86999500000002</v>
      </c>
      <c r="D1226" s="345">
        <f t="shared" ref="D1226:E1226" si="1235">B1226/B1225-1</f>
        <v>7.643537981796733E-3</v>
      </c>
      <c r="E1226" s="345">
        <f t="shared" si="1235"/>
        <v>9.3959535462115884E-3</v>
      </c>
      <c r="F1226" s="313"/>
      <c r="G1226" s="313"/>
      <c r="H1226" s="313"/>
      <c r="I1226" s="313"/>
      <c r="J1226" s="313"/>
      <c r="K1226" s="313"/>
      <c r="L1226" s="313"/>
      <c r="M1226" s="313"/>
      <c r="N1226" s="313"/>
      <c r="O1226" s="313"/>
      <c r="P1226" s="313"/>
      <c r="Q1226" s="313"/>
      <c r="R1226" s="313"/>
      <c r="S1226" s="313"/>
      <c r="T1226" s="313"/>
      <c r="U1226" s="313"/>
      <c r="V1226" s="313"/>
      <c r="W1226" s="313"/>
      <c r="X1226" s="313"/>
      <c r="Y1226" s="313"/>
      <c r="Z1226" s="313"/>
      <c r="AA1226" s="313"/>
    </row>
    <row r="1227" spans="1:27" ht="14.25" customHeight="1" x14ac:dyDescent="0.2">
      <c r="A1227" s="346">
        <v>44383</v>
      </c>
      <c r="B1227" s="313">
        <v>432.92999300000002</v>
      </c>
      <c r="C1227" s="313">
        <v>275.73001099999999</v>
      </c>
      <c r="D1227" s="345">
        <f t="shared" ref="D1227:E1227" si="1236">B1227/B1226-1</f>
        <v>-1.821470068658404E-3</v>
      </c>
      <c r="E1227" s="345">
        <f t="shared" si="1236"/>
        <v>1.0481240343043208E-2</v>
      </c>
      <c r="F1227" s="313"/>
      <c r="G1227" s="313"/>
      <c r="H1227" s="313"/>
      <c r="I1227" s="313"/>
      <c r="J1227" s="313"/>
      <c r="K1227" s="313"/>
      <c r="L1227" s="313"/>
      <c r="M1227" s="313"/>
      <c r="N1227" s="313"/>
      <c r="O1227" s="313"/>
      <c r="P1227" s="313"/>
      <c r="Q1227" s="313"/>
      <c r="R1227" s="313"/>
      <c r="S1227" s="313"/>
      <c r="T1227" s="313"/>
      <c r="U1227" s="313"/>
      <c r="V1227" s="313"/>
      <c r="W1227" s="313"/>
      <c r="X1227" s="313"/>
      <c r="Y1227" s="313"/>
      <c r="Z1227" s="313"/>
      <c r="AA1227" s="313"/>
    </row>
    <row r="1228" spans="1:27" ht="14.25" customHeight="1" x14ac:dyDescent="0.2">
      <c r="A1228" s="346">
        <v>44384</v>
      </c>
      <c r="B1228" s="313">
        <v>434.459991</v>
      </c>
      <c r="C1228" s="313">
        <v>278.17001299999998</v>
      </c>
      <c r="D1228" s="345">
        <f t="shared" ref="D1228:E1228" si="1237">B1228/B1227-1</f>
        <v>3.5340540612531779E-3</v>
      </c>
      <c r="E1228" s="345">
        <f t="shared" si="1237"/>
        <v>8.8492434724487534E-3</v>
      </c>
      <c r="F1228" s="313"/>
      <c r="G1228" s="313"/>
      <c r="H1228" s="313"/>
      <c r="I1228" s="313"/>
      <c r="J1228" s="313"/>
      <c r="K1228" s="313"/>
      <c r="L1228" s="313"/>
      <c r="M1228" s="313"/>
      <c r="N1228" s="313"/>
      <c r="O1228" s="313"/>
      <c r="P1228" s="313"/>
      <c r="Q1228" s="313"/>
      <c r="R1228" s="313"/>
      <c r="S1228" s="313"/>
      <c r="T1228" s="313"/>
      <c r="U1228" s="313"/>
      <c r="V1228" s="313"/>
      <c r="W1228" s="313"/>
      <c r="X1228" s="313"/>
      <c r="Y1228" s="313"/>
      <c r="Z1228" s="313"/>
      <c r="AA1228" s="313"/>
    </row>
    <row r="1229" spans="1:27" ht="14.25" customHeight="1" x14ac:dyDescent="0.2">
      <c r="A1229" s="346">
        <v>44385</v>
      </c>
      <c r="B1229" s="313">
        <v>430.92001299999998</v>
      </c>
      <c r="C1229" s="313">
        <v>277.92001299999998</v>
      </c>
      <c r="D1229" s="345">
        <f t="shared" ref="D1229:E1229" si="1238">B1229/B1228-1</f>
        <v>-8.1479953812364503E-3</v>
      </c>
      <c r="E1229" s="345">
        <f t="shared" si="1238"/>
        <v>-8.9873094983816681E-4</v>
      </c>
      <c r="F1229" s="313"/>
      <c r="G1229" s="313"/>
      <c r="H1229" s="313"/>
      <c r="I1229" s="313"/>
      <c r="J1229" s="313"/>
      <c r="K1229" s="313"/>
      <c r="L1229" s="313"/>
      <c r="M1229" s="313"/>
      <c r="N1229" s="313"/>
      <c r="O1229" s="313"/>
      <c r="P1229" s="313"/>
      <c r="Q1229" s="313"/>
      <c r="R1229" s="313"/>
      <c r="S1229" s="313"/>
      <c r="T1229" s="313"/>
      <c r="U1229" s="313"/>
      <c r="V1229" s="313"/>
      <c r="W1229" s="313"/>
      <c r="X1229" s="313"/>
      <c r="Y1229" s="313"/>
      <c r="Z1229" s="313"/>
      <c r="AA1229" s="313"/>
    </row>
    <row r="1230" spans="1:27" ht="14.25" customHeight="1" x14ac:dyDescent="0.2">
      <c r="A1230" s="346">
        <v>44386</v>
      </c>
      <c r="B1230" s="313">
        <v>435.51998900000001</v>
      </c>
      <c r="C1230" s="313">
        <v>278.45001200000002</v>
      </c>
      <c r="D1230" s="345">
        <f t="shared" ref="D1230:E1230" si="1239">B1230/B1229-1</f>
        <v>1.0674779219409292E-2</v>
      </c>
      <c r="E1230" s="345">
        <f t="shared" si="1239"/>
        <v>1.9070199165542867E-3</v>
      </c>
      <c r="F1230" s="313"/>
      <c r="G1230" s="313"/>
      <c r="H1230" s="313"/>
      <c r="I1230" s="313"/>
      <c r="J1230" s="313"/>
      <c r="K1230" s="313"/>
      <c r="L1230" s="313"/>
      <c r="M1230" s="313"/>
      <c r="N1230" s="313"/>
      <c r="O1230" s="313"/>
      <c r="P1230" s="313"/>
      <c r="Q1230" s="313"/>
      <c r="R1230" s="313"/>
      <c r="S1230" s="313"/>
      <c r="T1230" s="313"/>
      <c r="U1230" s="313"/>
      <c r="V1230" s="313"/>
      <c r="W1230" s="313"/>
      <c r="X1230" s="313"/>
      <c r="Y1230" s="313"/>
      <c r="Z1230" s="313"/>
      <c r="AA1230" s="313"/>
    </row>
    <row r="1231" spans="1:27" ht="14.25" customHeight="1" x14ac:dyDescent="0.2">
      <c r="A1231" s="346">
        <v>44389</v>
      </c>
      <c r="B1231" s="313">
        <v>437.07998700000002</v>
      </c>
      <c r="C1231" s="313">
        <v>279.98998999999998</v>
      </c>
      <c r="D1231" s="345">
        <f t="shared" ref="D1231:E1231" si="1240">B1231/B1230-1</f>
        <v>3.5819205533640375E-3</v>
      </c>
      <c r="E1231" s="345">
        <f t="shared" si="1240"/>
        <v>5.530536662357699E-3</v>
      </c>
      <c r="F1231" s="313"/>
      <c r="G1231" s="313"/>
      <c r="H1231" s="313"/>
      <c r="I1231" s="313"/>
      <c r="J1231" s="313"/>
      <c r="K1231" s="313"/>
      <c r="L1231" s="313"/>
      <c r="M1231" s="313"/>
      <c r="N1231" s="313"/>
      <c r="O1231" s="313"/>
      <c r="P1231" s="313"/>
      <c r="Q1231" s="313"/>
      <c r="R1231" s="313"/>
      <c r="S1231" s="313"/>
      <c r="T1231" s="313"/>
      <c r="U1231" s="313"/>
      <c r="V1231" s="313"/>
      <c r="W1231" s="313"/>
      <c r="X1231" s="313"/>
      <c r="Y1231" s="313"/>
      <c r="Z1231" s="313"/>
      <c r="AA1231" s="313"/>
    </row>
    <row r="1232" spans="1:27" ht="14.25" customHeight="1" x14ac:dyDescent="0.2">
      <c r="A1232" s="346">
        <v>44390</v>
      </c>
      <c r="B1232" s="313">
        <v>435.58999599999999</v>
      </c>
      <c r="C1232" s="313">
        <v>278.52999899999998</v>
      </c>
      <c r="D1232" s="345">
        <f t="shared" ref="D1232:E1232" si="1241">B1232/B1231-1</f>
        <v>-3.4089664233472039E-3</v>
      </c>
      <c r="E1232" s="345">
        <f t="shared" si="1241"/>
        <v>-5.2144399876581371E-3</v>
      </c>
      <c r="F1232" s="313"/>
      <c r="G1232" s="313"/>
      <c r="H1232" s="313"/>
      <c r="I1232" s="313"/>
      <c r="J1232" s="313"/>
      <c r="K1232" s="313"/>
      <c r="L1232" s="313"/>
      <c r="M1232" s="313"/>
      <c r="N1232" s="313"/>
      <c r="O1232" s="313"/>
      <c r="P1232" s="313"/>
      <c r="Q1232" s="313"/>
      <c r="R1232" s="313"/>
      <c r="S1232" s="313"/>
      <c r="T1232" s="313"/>
      <c r="U1232" s="313"/>
      <c r="V1232" s="313"/>
      <c r="W1232" s="313"/>
      <c r="X1232" s="313"/>
      <c r="Y1232" s="313"/>
      <c r="Z1232" s="313"/>
      <c r="AA1232" s="313"/>
    </row>
    <row r="1233" spans="1:27" ht="14.25" customHeight="1" x14ac:dyDescent="0.2">
      <c r="A1233" s="346">
        <v>44391</v>
      </c>
      <c r="B1233" s="313">
        <v>436.23998999999998</v>
      </c>
      <c r="C1233" s="313">
        <v>281.36999500000002</v>
      </c>
      <c r="D1233" s="345">
        <f t="shared" ref="D1233:E1233" si="1242">B1233/B1232-1</f>
        <v>1.4922151701572961E-3</v>
      </c>
      <c r="E1233" s="345">
        <f t="shared" si="1242"/>
        <v>1.0196373856304231E-2</v>
      </c>
      <c r="F1233" s="313"/>
      <c r="G1233" s="313"/>
      <c r="H1233" s="313"/>
      <c r="I1233" s="313"/>
      <c r="J1233" s="313"/>
      <c r="K1233" s="313"/>
      <c r="L1233" s="313"/>
      <c r="M1233" s="313"/>
      <c r="N1233" s="313"/>
      <c r="O1233" s="313"/>
      <c r="P1233" s="313"/>
      <c r="Q1233" s="313"/>
      <c r="R1233" s="313"/>
      <c r="S1233" s="313"/>
      <c r="T1233" s="313"/>
      <c r="U1233" s="313"/>
      <c r="V1233" s="313"/>
      <c r="W1233" s="313"/>
      <c r="X1233" s="313"/>
      <c r="Y1233" s="313"/>
      <c r="Z1233" s="313"/>
      <c r="AA1233" s="313"/>
    </row>
    <row r="1234" spans="1:27" ht="14.25" customHeight="1" x14ac:dyDescent="0.2">
      <c r="A1234" s="346">
        <v>44392</v>
      </c>
      <c r="B1234" s="313">
        <v>434.75</v>
      </c>
      <c r="C1234" s="313">
        <v>281.27999899999998</v>
      </c>
      <c r="D1234" s="345">
        <f t="shared" ref="D1234:E1234" si="1243">B1234/B1233-1</f>
        <v>-3.4155282279370036E-3</v>
      </c>
      <c r="E1234" s="345">
        <f t="shared" si="1243"/>
        <v>-3.1984931442330389E-4</v>
      </c>
      <c r="F1234" s="313"/>
      <c r="G1234" s="313"/>
      <c r="H1234" s="313"/>
      <c r="I1234" s="313"/>
      <c r="J1234" s="313"/>
      <c r="K1234" s="313"/>
      <c r="L1234" s="313"/>
      <c r="M1234" s="313"/>
      <c r="N1234" s="313"/>
      <c r="O1234" s="313"/>
      <c r="P1234" s="313"/>
      <c r="Q1234" s="313"/>
      <c r="R1234" s="313"/>
      <c r="S1234" s="313"/>
      <c r="T1234" s="313"/>
      <c r="U1234" s="313"/>
      <c r="V1234" s="313"/>
      <c r="W1234" s="313"/>
      <c r="X1234" s="313"/>
      <c r="Y1234" s="313"/>
      <c r="Z1234" s="313"/>
      <c r="AA1234" s="313"/>
    </row>
    <row r="1235" spans="1:27" ht="14.25" customHeight="1" x14ac:dyDescent="0.2">
      <c r="A1235" s="346">
        <v>44393</v>
      </c>
      <c r="B1235" s="313">
        <v>431.33999599999999</v>
      </c>
      <c r="C1235" s="313">
        <v>282.459991</v>
      </c>
      <c r="D1235" s="345">
        <f t="shared" ref="D1235:E1235" si="1244">B1235/B1234-1</f>
        <v>-7.8435974698102262E-3</v>
      </c>
      <c r="E1235" s="345">
        <f t="shared" si="1244"/>
        <v>4.1950796508642973E-3</v>
      </c>
      <c r="F1235" s="313"/>
      <c r="G1235" s="313"/>
      <c r="H1235" s="313"/>
      <c r="I1235" s="313"/>
      <c r="J1235" s="313"/>
      <c r="K1235" s="313"/>
      <c r="L1235" s="313"/>
      <c r="M1235" s="313"/>
      <c r="N1235" s="313"/>
      <c r="O1235" s="313"/>
      <c r="P1235" s="313"/>
      <c r="Q1235" s="313"/>
      <c r="R1235" s="313"/>
      <c r="S1235" s="313"/>
      <c r="T1235" s="313"/>
      <c r="U1235" s="313"/>
      <c r="V1235" s="313"/>
      <c r="W1235" s="313"/>
      <c r="X1235" s="313"/>
      <c r="Y1235" s="313"/>
      <c r="Z1235" s="313"/>
      <c r="AA1235" s="313"/>
    </row>
    <row r="1236" spans="1:27" ht="14.25" customHeight="1" x14ac:dyDescent="0.2">
      <c r="A1236" s="346">
        <v>44396</v>
      </c>
      <c r="B1236" s="313">
        <v>424.97000100000002</v>
      </c>
      <c r="C1236" s="313">
        <v>280.89001500000001</v>
      </c>
      <c r="D1236" s="345">
        <f t="shared" ref="D1236:E1236" si="1245">B1236/B1235-1</f>
        <v>-1.4767921034616882E-2</v>
      </c>
      <c r="E1236" s="345">
        <f t="shared" si="1245"/>
        <v>-5.5582243504355144E-3</v>
      </c>
      <c r="F1236" s="313"/>
      <c r="G1236" s="313"/>
      <c r="H1236" s="313"/>
      <c r="I1236" s="313"/>
      <c r="J1236" s="313"/>
      <c r="K1236" s="313"/>
      <c r="L1236" s="313"/>
      <c r="M1236" s="313"/>
      <c r="N1236" s="313"/>
      <c r="O1236" s="313"/>
      <c r="P1236" s="313"/>
      <c r="Q1236" s="313"/>
      <c r="R1236" s="313"/>
      <c r="S1236" s="313"/>
      <c r="T1236" s="313"/>
      <c r="U1236" s="313"/>
      <c r="V1236" s="313"/>
      <c r="W1236" s="313"/>
      <c r="X1236" s="313"/>
      <c r="Y1236" s="313"/>
      <c r="Z1236" s="313"/>
      <c r="AA1236" s="313"/>
    </row>
    <row r="1237" spans="1:27" ht="14.25" customHeight="1" x14ac:dyDescent="0.2">
      <c r="A1237" s="346">
        <v>44397</v>
      </c>
      <c r="B1237" s="313">
        <v>431.05999800000001</v>
      </c>
      <c r="C1237" s="313">
        <v>283</v>
      </c>
      <c r="D1237" s="345">
        <f t="shared" ref="D1237:E1237" si="1246">B1237/B1236-1</f>
        <v>1.4330416230956544E-2</v>
      </c>
      <c r="E1237" s="345">
        <f t="shared" si="1246"/>
        <v>7.5117835712315006E-3</v>
      </c>
      <c r="F1237" s="313"/>
      <c r="G1237" s="313"/>
      <c r="H1237" s="313"/>
      <c r="I1237" s="313"/>
      <c r="J1237" s="313"/>
      <c r="K1237" s="313"/>
      <c r="L1237" s="313"/>
      <c r="M1237" s="313"/>
      <c r="N1237" s="313"/>
      <c r="O1237" s="313"/>
      <c r="P1237" s="313"/>
      <c r="Q1237" s="313"/>
      <c r="R1237" s="313"/>
      <c r="S1237" s="313"/>
      <c r="T1237" s="313"/>
      <c r="U1237" s="313"/>
      <c r="V1237" s="313"/>
      <c r="W1237" s="313"/>
      <c r="X1237" s="313"/>
      <c r="Y1237" s="313"/>
      <c r="Z1237" s="313"/>
      <c r="AA1237" s="313"/>
    </row>
    <row r="1238" spans="1:27" ht="14.25" customHeight="1" x14ac:dyDescent="0.2">
      <c r="A1238" s="346">
        <v>44398</v>
      </c>
      <c r="B1238" s="313">
        <v>434.54998799999998</v>
      </c>
      <c r="C1238" s="313">
        <v>280.26001000000002</v>
      </c>
      <c r="D1238" s="345">
        <f t="shared" ref="D1238:E1238" si="1247">B1238/B1237-1</f>
        <v>8.0962975367526724E-3</v>
      </c>
      <c r="E1238" s="345">
        <f t="shared" si="1247"/>
        <v>-9.6819434628974133E-3</v>
      </c>
      <c r="F1238" s="313"/>
      <c r="G1238" s="313"/>
      <c r="H1238" s="313"/>
      <c r="I1238" s="313"/>
      <c r="J1238" s="313"/>
      <c r="K1238" s="313"/>
      <c r="L1238" s="313"/>
      <c r="M1238" s="313"/>
      <c r="N1238" s="313"/>
      <c r="O1238" s="313"/>
      <c r="P1238" s="313"/>
      <c r="Q1238" s="313"/>
      <c r="R1238" s="313"/>
      <c r="S1238" s="313"/>
      <c r="T1238" s="313"/>
      <c r="U1238" s="313"/>
      <c r="V1238" s="313"/>
      <c r="W1238" s="313"/>
      <c r="X1238" s="313"/>
      <c r="Y1238" s="313"/>
      <c r="Z1238" s="313"/>
      <c r="AA1238" s="313"/>
    </row>
    <row r="1239" spans="1:27" ht="14.25" customHeight="1" x14ac:dyDescent="0.2">
      <c r="A1239" s="346">
        <v>44399</v>
      </c>
      <c r="B1239" s="313">
        <v>435.459991</v>
      </c>
      <c r="C1239" s="313">
        <v>281.60000600000001</v>
      </c>
      <c r="D1239" s="345">
        <f t="shared" ref="D1239:E1239" si="1248">B1239/B1238-1</f>
        <v>2.0941273159120755E-3</v>
      </c>
      <c r="E1239" s="345">
        <f t="shared" si="1248"/>
        <v>4.78126008773061E-3</v>
      </c>
      <c r="F1239" s="313"/>
      <c r="G1239" s="313"/>
      <c r="H1239" s="313"/>
      <c r="I1239" s="313"/>
      <c r="J1239" s="313"/>
      <c r="K1239" s="313"/>
      <c r="L1239" s="313"/>
      <c r="M1239" s="313"/>
      <c r="N1239" s="313"/>
      <c r="O1239" s="313"/>
      <c r="P1239" s="313"/>
      <c r="Q1239" s="313"/>
      <c r="R1239" s="313"/>
      <c r="S1239" s="313"/>
      <c r="T1239" s="313"/>
      <c r="U1239" s="313"/>
      <c r="V1239" s="313"/>
      <c r="W1239" s="313"/>
      <c r="X1239" s="313"/>
      <c r="Y1239" s="313"/>
      <c r="Z1239" s="313"/>
      <c r="AA1239" s="313"/>
    </row>
    <row r="1240" spans="1:27" ht="14.25" customHeight="1" x14ac:dyDescent="0.2">
      <c r="A1240" s="346">
        <v>44400</v>
      </c>
      <c r="B1240" s="313">
        <v>439.94000199999999</v>
      </c>
      <c r="C1240" s="313">
        <v>285.26001000000002</v>
      </c>
      <c r="D1240" s="345">
        <f t="shared" ref="D1240:E1240" si="1249">B1240/B1239-1</f>
        <v>1.0287996813925337E-2</v>
      </c>
      <c r="E1240" s="345">
        <f t="shared" si="1249"/>
        <v>1.2997173018526098E-2</v>
      </c>
      <c r="F1240" s="313"/>
      <c r="G1240" s="313"/>
      <c r="H1240" s="313"/>
      <c r="I1240" s="313"/>
      <c r="J1240" s="313"/>
      <c r="K1240" s="313"/>
      <c r="L1240" s="313"/>
      <c r="M1240" s="313"/>
      <c r="N1240" s="313"/>
      <c r="O1240" s="313"/>
      <c r="P1240" s="313"/>
      <c r="Q1240" s="313"/>
      <c r="R1240" s="313"/>
      <c r="S1240" s="313"/>
      <c r="T1240" s="313"/>
      <c r="U1240" s="313"/>
      <c r="V1240" s="313"/>
      <c r="W1240" s="313"/>
      <c r="X1240" s="313"/>
      <c r="Y1240" s="313"/>
      <c r="Z1240" s="313"/>
      <c r="AA1240" s="313"/>
    </row>
    <row r="1241" spans="1:27" ht="14.25" customHeight="1" x14ac:dyDescent="0.2">
      <c r="A1241" s="346">
        <v>44403</v>
      </c>
      <c r="B1241" s="313">
        <v>441.01998900000001</v>
      </c>
      <c r="C1241" s="313">
        <v>284.60998499999999</v>
      </c>
      <c r="D1241" s="345">
        <f t="shared" ref="D1241:E1241" si="1250">B1241/B1240-1</f>
        <v>2.4548506502939382E-3</v>
      </c>
      <c r="E1241" s="345">
        <f t="shared" si="1250"/>
        <v>-2.2787105700515786E-3</v>
      </c>
      <c r="F1241" s="313"/>
      <c r="G1241" s="313"/>
      <c r="H1241" s="313"/>
      <c r="I1241" s="313"/>
      <c r="J1241" s="313"/>
      <c r="K1241" s="313"/>
      <c r="L1241" s="313"/>
      <c r="M1241" s="313"/>
      <c r="N1241" s="313"/>
      <c r="O1241" s="313"/>
      <c r="P1241" s="313"/>
      <c r="Q1241" s="313"/>
      <c r="R1241" s="313"/>
      <c r="S1241" s="313"/>
      <c r="T1241" s="313"/>
      <c r="U1241" s="313"/>
      <c r="V1241" s="313"/>
      <c r="W1241" s="313"/>
      <c r="X1241" s="313"/>
      <c r="Y1241" s="313"/>
      <c r="Z1241" s="313"/>
      <c r="AA1241" s="313"/>
    </row>
    <row r="1242" spans="1:27" ht="14.25" customHeight="1" x14ac:dyDescent="0.2">
      <c r="A1242" s="346">
        <v>44404</v>
      </c>
      <c r="B1242" s="313">
        <v>439.01001000000002</v>
      </c>
      <c r="C1242" s="313">
        <v>286.88000499999998</v>
      </c>
      <c r="D1242" s="345">
        <f t="shared" ref="D1242:E1242" si="1251">B1242/B1241-1</f>
        <v>-4.5575689314163448E-3</v>
      </c>
      <c r="E1242" s="345">
        <f t="shared" si="1251"/>
        <v>7.9758972616508217E-3</v>
      </c>
      <c r="F1242" s="313"/>
      <c r="G1242" s="313"/>
      <c r="H1242" s="313"/>
      <c r="I1242" s="313"/>
      <c r="J1242" s="313"/>
      <c r="K1242" s="313"/>
      <c r="L1242" s="313"/>
      <c r="M1242" s="313"/>
      <c r="N1242" s="313"/>
      <c r="O1242" s="313"/>
      <c r="P1242" s="313"/>
      <c r="Q1242" s="313"/>
      <c r="R1242" s="313"/>
      <c r="S1242" s="313"/>
      <c r="T1242" s="313"/>
      <c r="U1242" s="313"/>
      <c r="V1242" s="313"/>
      <c r="W1242" s="313"/>
      <c r="X1242" s="313"/>
      <c r="Y1242" s="313"/>
      <c r="Z1242" s="313"/>
      <c r="AA1242" s="313"/>
    </row>
    <row r="1243" spans="1:27" ht="14.25" customHeight="1" x14ac:dyDescent="0.2">
      <c r="A1243" s="346">
        <v>44405</v>
      </c>
      <c r="B1243" s="313">
        <v>438.82998700000002</v>
      </c>
      <c r="C1243" s="313">
        <v>284.98001099999999</v>
      </c>
      <c r="D1243" s="345">
        <f t="shared" ref="D1243:E1243" si="1252">B1243/B1242-1</f>
        <v>-4.1006582059488483E-4</v>
      </c>
      <c r="E1243" s="345">
        <f t="shared" si="1252"/>
        <v>-6.6229572186461416E-3</v>
      </c>
      <c r="F1243" s="313"/>
      <c r="G1243" s="313"/>
      <c r="H1243" s="313"/>
      <c r="I1243" s="313"/>
      <c r="J1243" s="313"/>
      <c r="K1243" s="313"/>
      <c r="L1243" s="313"/>
      <c r="M1243" s="313"/>
      <c r="N1243" s="313"/>
      <c r="O1243" s="313"/>
      <c r="P1243" s="313"/>
      <c r="Q1243" s="313"/>
      <c r="R1243" s="313"/>
      <c r="S1243" s="313"/>
      <c r="T1243" s="313"/>
      <c r="U1243" s="313"/>
      <c r="V1243" s="313"/>
      <c r="W1243" s="313"/>
      <c r="X1243" s="313"/>
      <c r="Y1243" s="313"/>
      <c r="Z1243" s="313"/>
      <c r="AA1243" s="313"/>
    </row>
    <row r="1244" spans="1:27" ht="14.25" customHeight="1" x14ac:dyDescent="0.2">
      <c r="A1244" s="346">
        <v>44406</v>
      </c>
      <c r="B1244" s="313">
        <v>440.64999399999999</v>
      </c>
      <c r="C1244" s="313">
        <v>283</v>
      </c>
      <c r="D1244" s="345">
        <f t="shared" ref="D1244:E1244" si="1253">B1244/B1243-1</f>
        <v>4.1474080029084703E-3</v>
      </c>
      <c r="E1244" s="345">
        <f t="shared" si="1253"/>
        <v>-6.9478943209108079E-3</v>
      </c>
      <c r="F1244" s="313"/>
      <c r="G1244" s="313"/>
      <c r="H1244" s="313"/>
      <c r="I1244" s="313"/>
      <c r="J1244" s="313"/>
      <c r="K1244" s="313"/>
      <c r="L1244" s="313"/>
      <c r="M1244" s="313"/>
      <c r="N1244" s="313"/>
      <c r="O1244" s="313"/>
      <c r="P1244" s="313"/>
      <c r="Q1244" s="313"/>
      <c r="R1244" s="313"/>
      <c r="S1244" s="313"/>
      <c r="T1244" s="313"/>
      <c r="U1244" s="313"/>
      <c r="V1244" s="313"/>
      <c r="W1244" s="313"/>
      <c r="X1244" s="313"/>
      <c r="Y1244" s="313"/>
      <c r="Z1244" s="313"/>
      <c r="AA1244" s="313"/>
    </row>
    <row r="1245" spans="1:27" ht="14.25" customHeight="1" x14ac:dyDescent="0.2">
      <c r="A1245" s="346">
        <v>44407</v>
      </c>
      <c r="B1245" s="313">
        <v>438.51001000000002</v>
      </c>
      <c r="C1245" s="313">
        <v>282.79998799999998</v>
      </c>
      <c r="D1245" s="345">
        <f t="shared" ref="D1245:E1245" si="1254">B1245/B1244-1</f>
        <v>-4.8564258008363392E-3</v>
      </c>
      <c r="E1245" s="345">
        <f t="shared" si="1254"/>
        <v>-7.0675618374560489E-4</v>
      </c>
      <c r="F1245" s="313"/>
      <c r="G1245" s="313"/>
      <c r="H1245" s="313"/>
      <c r="I1245" s="313"/>
      <c r="J1245" s="313"/>
      <c r="K1245" s="313"/>
      <c r="L1245" s="313"/>
      <c r="M1245" s="313"/>
      <c r="N1245" s="313"/>
      <c r="O1245" s="313"/>
      <c r="P1245" s="313"/>
      <c r="Q1245" s="313"/>
      <c r="R1245" s="313"/>
      <c r="S1245" s="313"/>
      <c r="T1245" s="313"/>
      <c r="U1245" s="313"/>
      <c r="V1245" s="313"/>
      <c r="W1245" s="313"/>
      <c r="X1245" s="313"/>
      <c r="Y1245" s="313"/>
      <c r="Z1245" s="313"/>
      <c r="AA1245" s="313"/>
    </row>
    <row r="1246" spans="1:27" ht="14.25" customHeight="1" x14ac:dyDescent="0.2">
      <c r="A1246" s="346">
        <v>44410</v>
      </c>
      <c r="B1246" s="313">
        <v>437.58999599999999</v>
      </c>
      <c r="C1246" s="313">
        <v>283.61999500000002</v>
      </c>
      <c r="D1246" s="345">
        <f t="shared" ref="D1246:E1246" si="1255">B1246/B1245-1</f>
        <v>-2.0980456067583031E-3</v>
      </c>
      <c r="E1246" s="345">
        <f t="shared" si="1255"/>
        <v>2.8996005473664876E-3</v>
      </c>
      <c r="F1246" s="313"/>
      <c r="G1246" s="313"/>
      <c r="H1246" s="313"/>
      <c r="I1246" s="313"/>
      <c r="J1246" s="313"/>
      <c r="K1246" s="313"/>
      <c r="L1246" s="313"/>
      <c r="M1246" s="313"/>
      <c r="N1246" s="313"/>
      <c r="O1246" s="313"/>
      <c r="P1246" s="313"/>
      <c r="Q1246" s="313"/>
      <c r="R1246" s="313"/>
      <c r="S1246" s="313"/>
      <c r="T1246" s="313"/>
      <c r="U1246" s="313"/>
      <c r="V1246" s="313"/>
      <c r="W1246" s="313"/>
      <c r="X1246" s="313"/>
      <c r="Y1246" s="313"/>
      <c r="Z1246" s="313"/>
      <c r="AA1246" s="313"/>
    </row>
    <row r="1247" spans="1:27" ht="14.25" customHeight="1" x14ac:dyDescent="0.2">
      <c r="A1247" s="346">
        <v>44411</v>
      </c>
      <c r="B1247" s="313">
        <v>441.14999399999999</v>
      </c>
      <c r="C1247" s="313">
        <v>284.35000600000001</v>
      </c>
      <c r="D1247" s="345">
        <f t="shared" ref="D1247:E1247" si="1256">B1247/B1246-1</f>
        <v>8.1354647787696965E-3</v>
      </c>
      <c r="E1247" s="345">
        <f t="shared" si="1256"/>
        <v>2.5739052706774679E-3</v>
      </c>
      <c r="F1247" s="313"/>
      <c r="G1247" s="313"/>
      <c r="H1247" s="313"/>
      <c r="I1247" s="313"/>
      <c r="J1247" s="313"/>
      <c r="K1247" s="313"/>
      <c r="L1247" s="313"/>
      <c r="M1247" s="313"/>
      <c r="N1247" s="313"/>
      <c r="O1247" s="313"/>
      <c r="P1247" s="313"/>
      <c r="Q1247" s="313"/>
      <c r="R1247" s="313"/>
      <c r="S1247" s="313"/>
      <c r="T1247" s="313"/>
      <c r="U1247" s="313"/>
      <c r="V1247" s="313"/>
      <c r="W1247" s="313"/>
      <c r="X1247" s="313"/>
      <c r="Y1247" s="313"/>
      <c r="Z1247" s="313"/>
      <c r="AA1247" s="313"/>
    </row>
    <row r="1248" spans="1:27" ht="14.25" customHeight="1" x14ac:dyDescent="0.2">
      <c r="A1248" s="346">
        <v>44412</v>
      </c>
      <c r="B1248" s="313">
        <v>438.98001099999999</v>
      </c>
      <c r="C1248" s="313">
        <v>284.86999500000002</v>
      </c>
      <c r="D1248" s="345">
        <f t="shared" ref="D1248:E1248" si="1257">B1248/B1247-1</f>
        <v>-4.9189233356308204E-3</v>
      </c>
      <c r="E1248" s="345">
        <f t="shared" si="1257"/>
        <v>1.828693472930798E-3</v>
      </c>
      <c r="F1248" s="313"/>
      <c r="G1248" s="313"/>
      <c r="H1248" s="313"/>
      <c r="I1248" s="313"/>
      <c r="J1248" s="313"/>
      <c r="K1248" s="313"/>
      <c r="L1248" s="313"/>
      <c r="M1248" s="313"/>
      <c r="N1248" s="313"/>
      <c r="O1248" s="313"/>
      <c r="P1248" s="313"/>
      <c r="Q1248" s="313"/>
      <c r="R1248" s="313"/>
      <c r="S1248" s="313"/>
      <c r="T1248" s="313"/>
      <c r="U1248" s="313"/>
      <c r="V1248" s="313"/>
      <c r="W1248" s="313"/>
      <c r="X1248" s="313"/>
      <c r="Y1248" s="313"/>
      <c r="Z1248" s="313"/>
      <c r="AA1248" s="313"/>
    </row>
    <row r="1249" spans="1:27" ht="14.25" customHeight="1" x14ac:dyDescent="0.2">
      <c r="A1249" s="346">
        <v>44413</v>
      </c>
      <c r="B1249" s="313">
        <v>441.76001000000002</v>
      </c>
      <c r="C1249" s="313">
        <v>282.76001000000002</v>
      </c>
      <c r="D1249" s="345">
        <f t="shared" ref="D1249:E1249" si="1258">B1249/B1248-1</f>
        <v>6.332860108293259E-3</v>
      </c>
      <c r="E1249" s="345">
        <f t="shared" si="1258"/>
        <v>-7.4068348265320383E-3</v>
      </c>
      <c r="F1249" s="313"/>
      <c r="G1249" s="313"/>
      <c r="H1249" s="313"/>
      <c r="I1249" s="313"/>
      <c r="J1249" s="313"/>
      <c r="K1249" s="313"/>
      <c r="L1249" s="313"/>
      <c r="M1249" s="313"/>
      <c r="N1249" s="313"/>
      <c r="O1249" s="313"/>
      <c r="P1249" s="313"/>
      <c r="Q1249" s="313"/>
      <c r="R1249" s="313"/>
      <c r="S1249" s="313"/>
      <c r="T1249" s="313"/>
      <c r="U1249" s="313"/>
      <c r="V1249" s="313"/>
      <c r="W1249" s="313"/>
      <c r="X1249" s="313"/>
      <c r="Y1249" s="313"/>
      <c r="Z1249" s="313"/>
      <c r="AA1249" s="313"/>
    </row>
    <row r="1250" spans="1:27" ht="14.25" customHeight="1" x14ac:dyDescent="0.2">
      <c r="A1250" s="346">
        <v>44414</v>
      </c>
      <c r="B1250" s="313">
        <v>442.48998999999998</v>
      </c>
      <c r="C1250" s="313">
        <v>282.11999500000002</v>
      </c>
      <c r="D1250" s="345">
        <f t="shared" ref="D1250:E1250" si="1259">B1250/B1249-1</f>
        <v>1.6524356742928514E-3</v>
      </c>
      <c r="E1250" s="345">
        <f t="shared" si="1259"/>
        <v>-2.263456561626298E-3</v>
      </c>
      <c r="F1250" s="313"/>
      <c r="G1250" s="313"/>
      <c r="H1250" s="313"/>
      <c r="I1250" s="313"/>
      <c r="J1250" s="313"/>
      <c r="K1250" s="313"/>
      <c r="L1250" s="313"/>
      <c r="M1250" s="313"/>
      <c r="N1250" s="313"/>
      <c r="O1250" s="313"/>
      <c r="P1250" s="313"/>
      <c r="Q1250" s="313"/>
      <c r="R1250" s="313"/>
      <c r="S1250" s="313"/>
      <c r="T1250" s="313"/>
      <c r="U1250" s="313"/>
      <c r="V1250" s="313"/>
      <c r="W1250" s="313"/>
      <c r="X1250" s="313"/>
      <c r="Y1250" s="313"/>
      <c r="Z1250" s="313"/>
      <c r="AA1250" s="313"/>
    </row>
    <row r="1251" spans="1:27" ht="14.25" customHeight="1" x14ac:dyDescent="0.2">
      <c r="A1251" s="346">
        <v>44417</v>
      </c>
      <c r="B1251" s="313">
        <v>442.13000499999998</v>
      </c>
      <c r="C1251" s="313">
        <v>280.05999800000001</v>
      </c>
      <c r="D1251" s="345">
        <f t="shared" ref="D1251:E1251" si="1260">B1251/B1250-1</f>
        <v>-8.1354382728515695E-4</v>
      </c>
      <c r="E1251" s="345">
        <f t="shared" si="1260"/>
        <v>-7.301846861297423E-3</v>
      </c>
      <c r="F1251" s="313"/>
      <c r="G1251" s="313"/>
      <c r="H1251" s="313"/>
      <c r="I1251" s="313"/>
      <c r="J1251" s="313"/>
      <c r="K1251" s="313"/>
      <c r="L1251" s="313"/>
      <c r="M1251" s="313"/>
      <c r="N1251" s="313"/>
      <c r="O1251" s="313"/>
      <c r="P1251" s="313"/>
      <c r="Q1251" s="313"/>
      <c r="R1251" s="313"/>
      <c r="S1251" s="313"/>
      <c r="T1251" s="313"/>
      <c r="U1251" s="313"/>
      <c r="V1251" s="313"/>
      <c r="W1251" s="313"/>
      <c r="X1251" s="313"/>
      <c r="Y1251" s="313"/>
      <c r="Z1251" s="313"/>
      <c r="AA1251" s="313"/>
    </row>
    <row r="1252" spans="1:27" ht="14.25" customHeight="1" x14ac:dyDescent="0.2">
      <c r="A1252" s="346">
        <v>44418</v>
      </c>
      <c r="B1252" s="313">
        <v>442.67999300000002</v>
      </c>
      <c r="C1252" s="313">
        <v>275.29998799999998</v>
      </c>
      <c r="D1252" s="345">
        <f t="shared" ref="D1252:E1252" si="1261">B1252/B1251-1</f>
        <v>1.2439508601096438E-3</v>
      </c>
      <c r="E1252" s="345">
        <f t="shared" si="1261"/>
        <v>-1.6996393751313343E-2</v>
      </c>
      <c r="F1252" s="313"/>
      <c r="G1252" s="313"/>
      <c r="H1252" s="313"/>
      <c r="I1252" s="313"/>
      <c r="J1252" s="313"/>
      <c r="K1252" s="313"/>
      <c r="L1252" s="313"/>
      <c r="M1252" s="313"/>
      <c r="N1252" s="313"/>
      <c r="O1252" s="313"/>
      <c r="P1252" s="313"/>
      <c r="Q1252" s="313"/>
      <c r="R1252" s="313"/>
      <c r="S1252" s="313"/>
      <c r="T1252" s="313"/>
      <c r="U1252" s="313"/>
      <c r="V1252" s="313"/>
      <c r="W1252" s="313"/>
      <c r="X1252" s="313"/>
      <c r="Y1252" s="313"/>
      <c r="Z1252" s="313"/>
      <c r="AA1252" s="313"/>
    </row>
    <row r="1253" spans="1:27" ht="14.25" customHeight="1" x14ac:dyDescent="0.2">
      <c r="A1253" s="346">
        <v>44419</v>
      </c>
      <c r="B1253" s="313">
        <v>443.77999899999998</v>
      </c>
      <c r="C1253" s="313">
        <v>277.22000100000002</v>
      </c>
      <c r="D1253" s="345">
        <f t="shared" ref="D1253:E1253" si="1262">B1253/B1252-1</f>
        <v>2.4848785068087853E-3</v>
      </c>
      <c r="E1253" s="345">
        <f t="shared" si="1262"/>
        <v>6.974257477991852E-3</v>
      </c>
      <c r="F1253" s="313"/>
      <c r="G1253" s="313"/>
      <c r="H1253" s="313"/>
      <c r="I1253" s="313"/>
      <c r="J1253" s="313"/>
      <c r="K1253" s="313"/>
      <c r="L1253" s="313"/>
      <c r="M1253" s="313"/>
      <c r="N1253" s="313"/>
      <c r="O1253" s="313"/>
      <c r="P1253" s="313"/>
      <c r="Q1253" s="313"/>
      <c r="R1253" s="313"/>
      <c r="S1253" s="313"/>
      <c r="T1253" s="313"/>
      <c r="U1253" s="313"/>
      <c r="V1253" s="313"/>
      <c r="W1253" s="313"/>
      <c r="X1253" s="313"/>
      <c r="Y1253" s="313"/>
      <c r="Z1253" s="313"/>
      <c r="AA1253" s="313"/>
    </row>
    <row r="1254" spans="1:27" ht="14.25" customHeight="1" x14ac:dyDescent="0.2">
      <c r="A1254" s="346">
        <v>44420</v>
      </c>
      <c r="B1254" s="313">
        <v>445.10998499999999</v>
      </c>
      <c r="C1254" s="313">
        <v>280.04998799999998</v>
      </c>
      <c r="D1254" s="345">
        <f t="shared" ref="D1254:E1254" si="1263">B1254/B1253-1</f>
        <v>2.9969489454164666E-3</v>
      </c>
      <c r="E1254" s="345">
        <f t="shared" si="1263"/>
        <v>1.0208451734331936E-2</v>
      </c>
      <c r="F1254" s="313"/>
      <c r="G1254" s="313"/>
      <c r="H1254" s="313"/>
      <c r="I1254" s="313"/>
      <c r="J1254" s="313"/>
      <c r="K1254" s="313"/>
      <c r="L1254" s="313"/>
      <c r="M1254" s="313"/>
      <c r="N1254" s="313"/>
      <c r="O1254" s="313"/>
      <c r="P1254" s="313"/>
      <c r="Q1254" s="313"/>
      <c r="R1254" s="313"/>
      <c r="S1254" s="313"/>
      <c r="T1254" s="313"/>
      <c r="U1254" s="313"/>
      <c r="V1254" s="313"/>
      <c r="W1254" s="313"/>
      <c r="X1254" s="313"/>
      <c r="Y1254" s="313"/>
      <c r="Z1254" s="313"/>
      <c r="AA1254" s="313"/>
    </row>
    <row r="1255" spans="1:27" ht="14.25" customHeight="1" x14ac:dyDescent="0.2">
      <c r="A1255" s="346">
        <v>44421</v>
      </c>
      <c r="B1255" s="313">
        <v>445.92001299999998</v>
      </c>
      <c r="C1255" s="313">
        <v>282.92001299999998</v>
      </c>
      <c r="D1255" s="345">
        <f t="shared" ref="D1255:E1255" si="1264">B1255/B1254-1</f>
        <v>1.8198378542328975E-3</v>
      </c>
      <c r="E1255" s="345">
        <f t="shared" si="1264"/>
        <v>1.024825967855425E-2</v>
      </c>
      <c r="F1255" s="313"/>
      <c r="G1255" s="313"/>
      <c r="H1255" s="313"/>
      <c r="I1255" s="313"/>
      <c r="J1255" s="313"/>
      <c r="K1255" s="313"/>
      <c r="L1255" s="313"/>
      <c r="M1255" s="313"/>
      <c r="N1255" s="313"/>
      <c r="O1255" s="313"/>
      <c r="P1255" s="313"/>
      <c r="Q1255" s="313"/>
      <c r="R1255" s="313"/>
      <c r="S1255" s="313"/>
      <c r="T1255" s="313"/>
      <c r="U1255" s="313"/>
      <c r="V1255" s="313"/>
      <c r="W1255" s="313"/>
      <c r="X1255" s="313"/>
      <c r="Y1255" s="313"/>
      <c r="Z1255" s="313"/>
      <c r="AA1255" s="313"/>
    </row>
    <row r="1256" spans="1:27" ht="14.25" customHeight="1" x14ac:dyDescent="0.2">
      <c r="A1256" s="346">
        <v>44424</v>
      </c>
      <c r="B1256" s="313">
        <v>446.97000100000002</v>
      </c>
      <c r="C1256" s="313">
        <v>283.20001200000002</v>
      </c>
      <c r="D1256" s="345">
        <f t="shared" ref="D1256:E1256" si="1265">B1256/B1255-1</f>
        <v>2.3546554749496185E-3</v>
      </c>
      <c r="E1256" s="345">
        <f t="shared" si="1265"/>
        <v>9.8967548117578907E-4</v>
      </c>
      <c r="F1256" s="313"/>
      <c r="G1256" s="313"/>
      <c r="H1256" s="313"/>
      <c r="I1256" s="313"/>
      <c r="J1256" s="313"/>
      <c r="K1256" s="313"/>
      <c r="L1256" s="313"/>
      <c r="M1256" s="313"/>
      <c r="N1256" s="313"/>
      <c r="O1256" s="313"/>
      <c r="P1256" s="313"/>
      <c r="Q1256" s="313"/>
      <c r="R1256" s="313"/>
      <c r="S1256" s="313"/>
      <c r="T1256" s="313"/>
      <c r="U1256" s="313"/>
      <c r="V1256" s="313"/>
      <c r="W1256" s="313"/>
      <c r="X1256" s="313"/>
      <c r="Y1256" s="313"/>
      <c r="Z1256" s="313"/>
      <c r="AA1256" s="313"/>
    </row>
    <row r="1257" spans="1:27" ht="14.25" customHeight="1" x14ac:dyDescent="0.2">
      <c r="A1257" s="346">
        <v>44425</v>
      </c>
      <c r="B1257" s="313">
        <v>444.040009</v>
      </c>
      <c r="C1257" s="313">
        <v>286.52999899999998</v>
      </c>
      <c r="D1257" s="345">
        <f t="shared" ref="D1257:E1257" si="1266">B1257/B1256-1</f>
        <v>-6.555231880092216E-3</v>
      </c>
      <c r="E1257" s="345">
        <f t="shared" si="1266"/>
        <v>1.1758428174077684E-2</v>
      </c>
      <c r="F1257" s="313"/>
      <c r="G1257" s="313"/>
      <c r="H1257" s="313"/>
      <c r="I1257" s="313"/>
      <c r="J1257" s="313"/>
      <c r="K1257" s="313"/>
      <c r="L1257" s="313"/>
      <c r="M1257" s="313"/>
      <c r="N1257" s="313"/>
      <c r="O1257" s="313"/>
      <c r="P1257" s="313"/>
      <c r="Q1257" s="313"/>
      <c r="R1257" s="313"/>
      <c r="S1257" s="313"/>
      <c r="T1257" s="313"/>
      <c r="U1257" s="313"/>
      <c r="V1257" s="313"/>
      <c r="W1257" s="313"/>
      <c r="X1257" s="313"/>
      <c r="Y1257" s="313"/>
      <c r="Z1257" s="313"/>
      <c r="AA1257" s="313"/>
    </row>
    <row r="1258" spans="1:27" ht="14.25" customHeight="1" x14ac:dyDescent="0.2">
      <c r="A1258" s="346">
        <v>44426</v>
      </c>
      <c r="B1258" s="313">
        <v>439.17999300000002</v>
      </c>
      <c r="C1258" s="313">
        <v>283.38000499999998</v>
      </c>
      <c r="D1258" s="345">
        <f t="shared" ref="D1258:E1258" si="1267">B1258/B1257-1</f>
        <v>-1.094499572447305E-2</v>
      </c>
      <c r="E1258" s="345">
        <f t="shared" si="1267"/>
        <v>-1.0993592332368629E-2</v>
      </c>
      <c r="F1258" s="313"/>
      <c r="G1258" s="313"/>
      <c r="H1258" s="313"/>
      <c r="I1258" s="313"/>
      <c r="J1258" s="313"/>
      <c r="K1258" s="313"/>
      <c r="L1258" s="313"/>
      <c r="M1258" s="313"/>
      <c r="N1258" s="313"/>
      <c r="O1258" s="313"/>
      <c r="P1258" s="313"/>
      <c r="Q1258" s="313"/>
      <c r="R1258" s="313"/>
      <c r="S1258" s="313"/>
      <c r="T1258" s="313"/>
      <c r="U1258" s="313"/>
      <c r="V1258" s="313"/>
      <c r="W1258" s="313"/>
      <c r="X1258" s="313"/>
      <c r="Y1258" s="313"/>
      <c r="Z1258" s="313"/>
      <c r="AA1258" s="313"/>
    </row>
    <row r="1259" spans="1:27" ht="14.25" customHeight="1" x14ac:dyDescent="0.2">
      <c r="A1259" s="346">
        <v>44427</v>
      </c>
      <c r="B1259" s="313">
        <v>439.85998499999999</v>
      </c>
      <c r="C1259" s="313">
        <v>289.14001500000001</v>
      </c>
      <c r="D1259" s="345">
        <f t="shared" ref="D1259:E1259" si="1268">B1259/B1258-1</f>
        <v>1.548321897258953E-3</v>
      </c>
      <c r="E1259" s="345">
        <f t="shared" si="1268"/>
        <v>2.0326098872078147E-2</v>
      </c>
      <c r="F1259" s="313"/>
      <c r="G1259" s="313"/>
      <c r="H1259" s="313"/>
      <c r="I1259" s="313"/>
      <c r="J1259" s="313"/>
      <c r="K1259" s="313"/>
      <c r="L1259" s="313"/>
      <c r="M1259" s="313"/>
      <c r="N1259" s="313"/>
      <c r="O1259" s="313"/>
      <c r="P1259" s="313"/>
      <c r="Q1259" s="313"/>
      <c r="R1259" s="313"/>
      <c r="S1259" s="313"/>
      <c r="T1259" s="313"/>
      <c r="U1259" s="313"/>
      <c r="V1259" s="313"/>
      <c r="W1259" s="313"/>
      <c r="X1259" s="313"/>
      <c r="Y1259" s="313"/>
      <c r="Z1259" s="313"/>
      <c r="AA1259" s="313"/>
    </row>
  </sheetData>
  <conditionalFormatting sqref="P20:T24">
    <cfRule type="colorScale" priority="1">
      <colorScale>
        <cfvo type="min"/>
        <cfvo type="max"/>
        <color rgb="FFFCFCFF"/>
        <color rgb="FF63BE7B"/>
      </colorScale>
    </cfRule>
  </conditionalFormatting>
  <conditionalFormatting sqref="P28:T32">
    <cfRule type="colorScale" priority="2">
      <colorScale>
        <cfvo type="min"/>
        <cfvo type="max"/>
        <color rgb="FFFCFCFF"/>
        <color rgb="FF63BE7B"/>
      </colorScale>
    </cfRule>
  </conditionalFormatting>
  <conditionalFormatting sqref="P37:T41">
    <cfRule type="colorScale" priority="3">
      <colorScale>
        <cfvo type="min"/>
        <cfvo type="max"/>
        <color rgb="FF63BE7B"/>
        <color rgb="FFFCFCFF"/>
      </colorScale>
    </cfRule>
  </conditionalFormatting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Q1000"/>
  <sheetViews>
    <sheetView showGridLines="0" zoomScale="116" workbookViewId="0">
      <pane xSplit="3" ySplit="5" topLeftCell="Q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ColWidth="12.6640625" defaultRowHeight="15" customHeight="1" outlineLevelCol="1" x14ac:dyDescent="0.15"/>
  <cols>
    <col min="1" max="1" width="1.5" customWidth="1"/>
    <col min="2" max="2" width="32.6640625" customWidth="1"/>
    <col min="3" max="3" width="3.33203125" customWidth="1"/>
    <col min="4" max="11" width="9.5" hidden="1" customWidth="1" outlineLevel="1"/>
    <col min="12" max="12" width="9.5" hidden="1" customWidth="1"/>
    <col min="13" max="16" width="9.5" hidden="1" customWidth="1" outlineLevel="1"/>
    <col min="17" max="17" width="9.5" customWidth="1" collapsed="1"/>
    <col min="18" max="21" width="9.5" hidden="1" customWidth="1" outlineLevel="1"/>
    <col min="22" max="22" width="9.5" customWidth="1" collapsed="1"/>
    <col min="23" max="26" width="9.5" hidden="1" customWidth="1" outlineLevel="1"/>
    <col min="27" max="27" width="9.5" customWidth="1" collapsed="1"/>
    <col min="28" max="31" width="9.5" hidden="1" customWidth="1" outlineLevel="1"/>
    <col min="32" max="32" width="9.5" customWidth="1" collapsed="1"/>
    <col min="33" max="36" width="9.5" hidden="1" customWidth="1" outlineLevel="1"/>
    <col min="37" max="37" width="9.5" customWidth="1" collapsed="1"/>
    <col min="38" max="41" width="9.5" hidden="1" customWidth="1" outlineLevel="1"/>
    <col min="42" max="42" width="9.5" customWidth="1" collapsed="1"/>
    <col min="43" max="46" width="9.5" hidden="1" customWidth="1" outlineLevel="1"/>
    <col min="47" max="47" width="9.5" customWidth="1" collapsed="1"/>
    <col min="48" max="51" width="9.5" hidden="1" customWidth="1" outlineLevel="1"/>
    <col min="52" max="52" width="9.5" customWidth="1" collapsed="1"/>
    <col min="53" max="56" width="9.5" hidden="1" customWidth="1" outlineLevel="1"/>
    <col min="57" max="57" width="9.5" customWidth="1" collapsed="1"/>
    <col min="58" max="58" width="9.6640625" customWidth="1"/>
    <col min="59" max="62" width="8" customWidth="1"/>
  </cols>
  <sheetData>
    <row r="1" spans="1:69" ht="9.75" customHeight="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2"/>
      <c r="BL1" s="2"/>
      <c r="BM1" s="2"/>
      <c r="BN1" s="2"/>
      <c r="BO1" s="2"/>
      <c r="BP1" s="2"/>
      <c r="BQ1" s="2"/>
    </row>
    <row r="2" spans="1:69" ht="15" customHeight="1" x14ac:dyDescent="0.2">
      <c r="A2" s="10"/>
      <c r="B2" s="11"/>
      <c r="C2" s="192"/>
      <c r="D2" s="13"/>
      <c r="E2" s="14"/>
      <c r="F2" s="15"/>
      <c r="G2" s="16"/>
      <c r="H2" s="13"/>
      <c r="I2" s="14"/>
      <c r="J2" s="15"/>
      <c r="K2" s="16"/>
      <c r="L2" s="17"/>
      <c r="M2" s="13"/>
      <c r="N2" s="14"/>
      <c r="O2" s="15"/>
      <c r="P2" s="16"/>
      <c r="Q2" s="17"/>
      <c r="R2" s="13"/>
      <c r="S2" s="14"/>
      <c r="T2" s="15"/>
      <c r="U2" s="16"/>
      <c r="V2" s="17"/>
      <c r="W2" s="13"/>
      <c r="X2" s="14"/>
      <c r="Y2" s="15"/>
      <c r="Z2" s="16"/>
      <c r="AA2" s="17"/>
      <c r="AB2" s="13"/>
      <c r="AC2" s="14"/>
      <c r="AD2" s="15"/>
      <c r="AE2" s="16"/>
      <c r="AF2" s="17"/>
      <c r="AG2" s="13"/>
      <c r="AH2" s="14"/>
      <c r="AI2" s="15"/>
      <c r="AJ2" s="16"/>
      <c r="AK2" s="17"/>
      <c r="AL2" s="13"/>
      <c r="AM2" s="14"/>
      <c r="AN2" s="15"/>
      <c r="AO2" s="16"/>
      <c r="AP2" s="17"/>
      <c r="AQ2" s="13"/>
      <c r="AR2" s="14"/>
      <c r="AS2" s="15"/>
      <c r="AT2" s="16"/>
      <c r="AU2" s="17"/>
      <c r="AV2" s="13"/>
      <c r="AW2" s="14"/>
      <c r="AX2" s="15"/>
      <c r="AY2" s="16"/>
      <c r="AZ2" s="17"/>
      <c r="BA2" s="13"/>
      <c r="BB2" s="14"/>
      <c r="BC2" s="15"/>
      <c r="BD2" s="16"/>
      <c r="BE2" s="17"/>
      <c r="BF2" s="10"/>
      <c r="BG2" s="10"/>
      <c r="BH2" s="10"/>
      <c r="BI2" s="10"/>
      <c r="BJ2" s="10"/>
      <c r="BK2" s="2"/>
      <c r="BL2" s="2"/>
      <c r="BM2" s="2"/>
      <c r="BN2" s="2"/>
      <c r="BO2" s="2"/>
      <c r="BP2" s="2"/>
      <c r="BQ2" s="2"/>
    </row>
    <row r="3" spans="1:69" ht="33.75" customHeight="1" x14ac:dyDescent="0.2">
      <c r="A3" s="10"/>
      <c r="B3" s="18"/>
      <c r="C3" s="193"/>
      <c r="D3" s="20"/>
      <c r="E3" s="21"/>
      <c r="F3" s="22"/>
      <c r="G3" s="23"/>
      <c r="H3" s="20"/>
      <c r="I3" s="21"/>
      <c r="J3" s="22"/>
      <c r="K3" s="23"/>
      <c r="L3" s="24"/>
      <c r="M3" s="20"/>
      <c r="N3" s="21"/>
      <c r="O3" s="22"/>
      <c r="P3" s="23"/>
      <c r="Q3" s="24"/>
      <c r="R3" s="20"/>
      <c r="S3" s="21"/>
      <c r="T3" s="22"/>
      <c r="U3" s="23"/>
      <c r="V3" s="24"/>
      <c r="W3" s="20"/>
      <c r="X3" s="21"/>
      <c r="Y3" s="22"/>
      <c r="Z3" s="23"/>
      <c r="AA3" s="24"/>
      <c r="AB3" s="20"/>
      <c r="AC3" s="21"/>
      <c r="AD3" s="22"/>
      <c r="AE3" s="23"/>
      <c r="AF3" s="24"/>
      <c r="AG3" s="20"/>
      <c r="AH3" s="21"/>
      <c r="AI3" s="22"/>
      <c r="AJ3" s="23"/>
      <c r="AK3" s="24"/>
      <c r="AL3" s="20"/>
      <c r="AM3" s="21"/>
      <c r="AN3" s="22"/>
      <c r="AO3" s="23"/>
      <c r="AP3" s="24"/>
      <c r="AQ3" s="20"/>
      <c r="AR3" s="21"/>
      <c r="AS3" s="22"/>
      <c r="AT3" s="23"/>
      <c r="AU3" s="24"/>
      <c r="AV3" s="20"/>
      <c r="AW3" s="21"/>
      <c r="AX3" s="22"/>
      <c r="AY3" s="23"/>
      <c r="AZ3" s="24"/>
      <c r="BA3" s="20"/>
      <c r="BB3" s="21"/>
      <c r="BC3" s="22"/>
      <c r="BD3" s="23"/>
      <c r="BE3" s="24"/>
      <c r="BF3" s="25"/>
      <c r="BG3" s="26"/>
      <c r="BH3" s="26"/>
      <c r="BI3" s="26"/>
      <c r="BJ3" s="26"/>
      <c r="BK3" s="2"/>
      <c r="BL3" s="2"/>
      <c r="BM3" s="2"/>
      <c r="BN3" s="2"/>
      <c r="BO3" s="2"/>
      <c r="BP3" s="2"/>
      <c r="BQ3" s="2"/>
    </row>
    <row r="4" spans="1:69" ht="15" customHeight="1" x14ac:dyDescent="0.2">
      <c r="A4" s="10"/>
      <c r="B4" s="27" t="str">
        <f>'Balance Sheet'!B4</f>
        <v>American Tower</v>
      </c>
      <c r="C4" s="193"/>
      <c r="D4" s="28" t="e">
        <f t="shared" ref="D4:G4" si="0">#REF!</f>
        <v>#REF!</v>
      </c>
      <c r="E4" s="29" t="e">
        <f t="shared" si="0"/>
        <v>#REF!</v>
      </c>
      <c r="F4" s="30" t="e">
        <f t="shared" si="0"/>
        <v>#REF!</v>
      </c>
      <c r="G4" s="31" t="e">
        <f t="shared" si="0"/>
        <v>#REF!</v>
      </c>
      <c r="H4" s="28">
        <f t="shared" ref="H4:K4" si="1">$L$4</f>
        <v>2017</v>
      </c>
      <c r="I4" s="29">
        <f t="shared" si="1"/>
        <v>2017</v>
      </c>
      <c r="J4" s="30">
        <f t="shared" si="1"/>
        <v>2017</v>
      </c>
      <c r="K4" s="31">
        <f t="shared" si="1"/>
        <v>2017</v>
      </c>
      <c r="L4" s="32">
        <f>'Revenue Build'!L4</f>
        <v>2017</v>
      </c>
      <c r="M4" s="28">
        <f t="shared" ref="M4:P4" si="2">$Q$4</f>
        <v>2018</v>
      </c>
      <c r="N4" s="29">
        <f t="shared" si="2"/>
        <v>2018</v>
      </c>
      <c r="O4" s="30">
        <f t="shared" si="2"/>
        <v>2018</v>
      </c>
      <c r="P4" s="31">
        <f t="shared" si="2"/>
        <v>2018</v>
      </c>
      <c r="Q4" s="32">
        <f>L4+1</f>
        <v>2018</v>
      </c>
      <c r="R4" s="28">
        <f t="shared" ref="R4:U4" si="3">$V$4</f>
        <v>2019</v>
      </c>
      <c r="S4" s="29">
        <f t="shared" si="3"/>
        <v>2019</v>
      </c>
      <c r="T4" s="30">
        <f t="shared" si="3"/>
        <v>2019</v>
      </c>
      <c r="U4" s="31">
        <f t="shared" si="3"/>
        <v>2019</v>
      </c>
      <c r="V4" s="32">
        <f>Q4+1</f>
        <v>2019</v>
      </c>
      <c r="W4" s="28">
        <f t="shared" ref="W4:Z4" si="4">$AA$4</f>
        <v>2020</v>
      </c>
      <c r="X4" s="29">
        <f t="shared" si="4"/>
        <v>2020</v>
      </c>
      <c r="Y4" s="30">
        <f t="shared" si="4"/>
        <v>2020</v>
      </c>
      <c r="Z4" s="31">
        <f t="shared" si="4"/>
        <v>2020</v>
      </c>
      <c r="AA4" s="32">
        <f>V4+1</f>
        <v>2020</v>
      </c>
      <c r="AB4" s="28">
        <f t="shared" ref="AB4:AE4" si="5">$AF$4</f>
        <v>2021</v>
      </c>
      <c r="AC4" s="29">
        <f t="shared" si="5"/>
        <v>2021</v>
      </c>
      <c r="AD4" s="30">
        <f t="shared" si="5"/>
        <v>2021</v>
      </c>
      <c r="AE4" s="31">
        <f t="shared" si="5"/>
        <v>2021</v>
      </c>
      <c r="AF4" s="34">
        <f>AA4+1</f>
        <v>2021</v>
      </c>
      <c r="AG4" s="28">
        <f t="shared" ref="AG4:AJ4" si="6">$AK$4</f>
        <v>2022</v>
      </c>
      <c r="AH4" s="29">
        <f t="shared" si="6"/>
        <v>2022</v>
      </c>
      <c r="AI4" s="30">
        <f t="shared" si="6"/>
        <v>2022</v>
      </c>
      <c r="AJ4" s="31">
        <f t="shared" si="6"/>
        <v>2022</v>
      </c>
      <c r="AK4" s="34">
        <f>AF4+1</f>
        <v>2022</v>
      </c>
      <c r="AL4" s="28">
        <f t="shared" ref="AL4:AO4" si="7">$AP$4</f>
        <v>2023</v>
      </c>
      <c r="AM4" s="29">
        <f t="shared" si="7"/>
        <v>2023</v>
      </c>
      <c r="AN4" s="30">
        <f t="shared" si="7"/>
        <v>2023</v>
      </c>
      <c r="AO4" s="31">
        <f t="shared" si="7"/>
        <v>2023</v>
      </c>
      <c r="AP4" s="34">
        <f>$AK$4+1</f>
        <v>2023</v>
      </c>
      <c r="AQ4" s="28">
        <f t="shared" ref="AQ4:AT4" si="8">$AU$4</f>
        <v>2024</v>
      </c>
      <c r="AR4" s="29">
        <f t="shared" si="8"/>
        <v>2024</v>
      </c>
      <c r="AS4" s="30">
        <f t="shared" si="8"/>
        <v>2024</v>
      </c>
      <c r="AT4" s="31">
        <f t="shared" si="8"/>
        <v>2024</v>
      </c>
      <c r="AU4" s="34">
        <f>AP4+1</f>
        <v>2024</v>
      </c>
      <c r="AV4" s="28">
        <f t="shared" ref="AV4:AY4" si="9">$AZ$4</f>
        <v>2025</v>
      </c>
      <c r="AW4" s="29">
        <f t="shared" si="9"/>
        <v>2025</v>
      </c>
      <c r="AX4" s="30">
        <f t="shared" si="9"/>
        <v>2025</v>
      </c>
      <c r="AY4" s="31">
        <f t="shared" si="9"/>
        <v>2025</v>
      </c>
      <c r="AZ4" s="34">
        <f>AU4+1</f>
        <v>2025</v>
      </c>
      <c r="BA4" s="28">
        <f t="shared" ref="BA4:BD4" si="10">$BE$4</f>
        <v>2026</v>
      </c>
      <c r="BB4" s="29">
        <f t="shared" si="10"/>
        <v>2026</v>
      </c>
      <c r="BC4" s="30">
        <f t="shared" si="10"/>
        <v>2026</v>
      </c>
      <c r="BD4" s="31">
        <f t="shared" si="10"/>
        <v>2026</v>
      </c>
      <c r="BE4" s="34">
        <f>AZ4+1</f>
        <v>2026</v>
      </c>
      <c r="BF4" s="35"/>
      <c r="BG4" s="113"/>
      <c r="BH4" s="113"/>
      <c r="BI4" s="113"/>
      <c r="BJ4" s="113"/>
      <c r="BK4" s="2"/>
      <c r="BL4" s="2"/>
      <c r="BM4" s="2"/>
      <c r="BN4" s="2"/>
      <c r="BO4" s="2"/>
      <c r="BP4" s="2"/>
      <c r="BQ4" s="2"/>
    </row>
    <row r="5" spans="1:69" ht="12.75" customHeight="1" x14ac:dyDescent="0.2">
      <c r="A5" s="10"/>
      <c r="B5" s="36" t="str">
        <f ca="1">MID(CELL("filename",A1),FIND("]",CELL("filename",A1))+1,255)&amp;" "&amp;MID('Balance Sheet'!B5,FIND("(",'Balance Sheet'!B5),1000)</f>
        <v>DCF ($USD in Millions)</v>
      </c>
      <c r="C5" s="193"/>
      <c r="D5" s="38" t="e">
        <f>EOMONTH(#REF!,3)</f>
        <v>#REF!</v>
      </c>
      <c r="E5" s="39" t="e">
        <f t="shared" ref="E5:G5" si="11">EOMONTH(D5,3)</f>
        <v>#REF!</v>
      </c>
      <c r="F5" s="39" t="e">
        <f t="shared" si="11"/>
        <v>#REF!</v>
      </c>
      <c r="G5" s="40" t="e">
        <f t="shared" si="11"/>
        <v>#REF!</v>
      </c>
      <c r="H5" s="41" t="e">
        <f>'Balance Sheet'!H5</f>
        <v>#REF!</v>
      </c>
      <c r="I5" s="41" t="e">
        <f>'Balance Sheet'!I5</f>
        <v>#REF!</v>
      </c>
      <c r="J5" s="41" t="e">
        <f>'Balance Sheet'!J5</f>
        <v>#REF!</v>
      </c>
      <c r="K5" s="41" t="e">
        <f>'Balance Sheet'!K5</f>
        <v>#REF!</v>
      </c>
      <c r="L5" s="41">
        <f>'Balance Sheet'!L5</f>
        <v>43100</v>
      </c>
      <c r="M5" s="41">
        <f>'Balance Sheet'!M5</f>
        <v>43190</v>
      </c>
      <c r="N5" s="41">
        <f>'Balance Sheet'!N5</f>
        <v>43281</v>
      </c>
      <c r="O5" s="41">
        <f>'Balance Sheet'!O5</f>
        <v>43373</v>
      </c>
      <c r="P5" s="41">
        <f>'Balance Sheet'!P5</f>
        <v>43465</v>
      </c>
      <c r="Q5" s="41">
        <f>'Balance Sheet'!Q5</f>
        <v>43465</v>
      </c>
      <c r="R5" s="41">
        <f>'Balance Sheet'!R5</f>
        <v>43555</v>
      </c>
      <c r="S5" s="41">
        <f>'Balance Sheet'!S5</f>
        <v>43646</v>
      </c>
      <c r="T5" s="41">
        <f>'Balance Sheet'!T5</f>
        <v>43738</v>
      </c>
      <c r="U5" s="41">
        <f>'Balance Sheet'!U5</f>
        <v>43830</v>
      </c>
      <c r="V5" s="41">
        <f>'Balance Sheet'!V5</f>
        <v>43830</v>
      </c>
      <c r="W5" s="41">
        <f>'Balance Sheet'!W5</f>
        <v>43921</v>
      </c>
      <c r="X5" s="41">
        <f>'Balance Sheet'!X5</f>
        <v>44012</v>
      </c>
      <c r="Y5" s="41">
        <f>'Balance Sheet'!Y5</f>
        <v>44104</v>
      </c>
      <c r="Z5" s="41">
        <f>'Balance Sheet'!Z5</f>
        <v>44196</v>
      </c>
      <c r="AA5" s="41">
        <f>'Balance Sheet'!AA5</f>
        <v>44196</v>
      </c>
      <c r="AB5" s="41">
        <f>'Balance Sheet'!AB5</f>
        <v>44286</v>
      </c>
      <c r="AC5" s="41">
        <f>'Balance Sheet'!AC5</f>
        <v>44377</v>
      </c>
      <c r="AD5" s="41">
        <f>'Balance Sheet'!AD5</f>
        <v>44469</v>
      </c>
      <c r="AE5" s="41">
        <f>'Balance Sheet'!AE5</f>
        <v>44561</v>
      </c>
      <c r="AF5" s="41">
        <f>'Balance Sheet'!AF5</f>
        <v>44561</v>
      </c>
      <c r="AG5" s="41">
        <f>'Balance Sheet'!AG5</f>
        <v>44651</v>
      </c>
      <c r="AH5" s="41">
        <f>'Balance Sheet'!AH5</f>
        <v>44742</v>
      </c>
      <c r="AI5" s="41">
        <f>'Balance Sheet'!AI5</f>
        <v>44834</v>
      </c>
      <c r="AJ5" s="41">
        <f>'Balance Sheet'!AJ5</f>
        <v>44926</v>
      </c>
      <c r="AK5" s="41">
        <f>'Balance Sheet'!AK5</f>
        <v>44926</v>
      </c>
      <c r="AL5" s="41">
        <f>'Balance Sheet'!AL5</f>
        <v>45016</v>
      </c>
      <c r="AM5" s="41">
        <f>'Balance Sheet'!AM5</f>
        <v>45107</v>
      </c>
      <c r="AN5" s="41">
        <f>'Balance Sheet'!AN5</f>
        <v>45199</v>
      </c>
      <c r="AO5" s="41">
        <f>'Balance Sheet'!AO5</f>
        <v>45291</v>
      </c>
      <c r="AP5" s="41">
        <f>'Balance Sheet'!AP5</f>
        <v>45291</v>
      </c>
      <c r="AQ5" s="41">
        <f>'Balance Sheet'!AQ5</f>
        <v>45382</v>
      </c>
      <c r="AR5" s="41">
        <f>'Balance Sheet'!AR5</f>
        <v>45473</v>
      </c>
      <c r="AS5" s="41">
        <f>'Balance Sheet'!AS5</f>
        <v>45565</v>
      </c>
      <c r="AT5" s="41">
        <f>'Balance Sheet'!AT5</f>
        <v>45657</v>
      </c>
      <c r="AU5" s="41">
        <f>'Balance Sheet'!AU5</f>
        <v>45657</v>
      </c>
      <c r="AV5" s="41">
        <f>'Balance Sheet'!AV5</f>
        <v>45747</v>
      </c>
      <c r="AW5" s="41">
        <f>'Balance Sheet'!AW5</f>
        <v>45838</v>
      </c>
      <c r="AX5" s="41">
        <f>'Balance Sheet'!AX5</f>
        <v>45930</v>
      </c>
      <c r="AY5" s="41">
        <f>'Balance Sheet'!AY5</f>
        <v>46022</v>
      </c>
      <c r="AZ5" s="41">
        <f>'Balance Sheet'!AZ5</f>
        <v>46022</v>
      </c>
      <c r="BA5" s="41">
        <f>'Balance Sheet'!BA5</f>
        <v>46112</v>
      </c>
      <c r="BB5" s="41">
        <f>'Balance Sheet'!BB5</f>
        <v>46203</v>
      </c>
      <c r="BC5" s="41">
        <f>'Balance Sheet'!BC5</f>
        <v>46295</v>
      </c>
      <c r="BD5" s="41">
        <f>'Balance Sheet'!BD5</f>
        <v>46387</v>
      </c>
      <c r="BE5" s="41">
        <f>'Balance Sheet'!BE5</f>
        <v>46387</v>
      </c>
      <c r="BF5" s="35"/>
      <c r="BG5" s="113"/>
      <c r="BH5" s="113"/>
      <c r="BI5" s="113"/>
      <c r="BJ5" s="113"/>
      <c r="BK5" s="2"/>
      <c r="BL5" s="2"/>
      <c r="BM5" s="2"/>
      <c r="BN5" s="2"/>
      <c r="BO5" s="2"/>
      <c r="BP5" s="2"/>
      <c r="BQ5" s="2"/>
    </row>
    <row r="6" spans="1:69" ht="4.5" customHeight="1" x14ac:dyDescent="0.1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2"/>
      <c r="BL6" s="2"/>
      <c r="BM6" s="2"/>
      <c r="BN6" s="2"/>
      <c r="BO6" s="2"/>
      <c r="BP6" s="2"/>
      <c r="BQ6" s="2"/>
    </row>
    <row r="7" spans="1:69" ht="10.5" customHeight="1" x14ac:dyDescent="0.15">
      <c r="A7" s="58"/>
      <c r="B7" s="10" t="s">
        <v>71</v>
      </c>
      <c r="C7" s="58"/>
      <c r="D7" s="58"/>
      <c r="E7" s="58"/>
      <c r="F7" s="58"/>
      <c r="G7" s="58"/>
      <c r="H7" s="58"/>
      <c r="I7" s="58"/>
      <c r="J7" s="58"/>
      <c r="K7" s="58"/>
      <c r="L7" s="59">
        <f>'Income Statement'!L10</f>
        <v>0</v>
      </c>
      <c r="M7" s="59">
        <f>'Income Statement'!M10</f>
        <v>1741.8000000000002</v>
      </c>
      <c r="N7" s="59">
        <f>'Income Statement'!N10</f>
        <v>1780.9</v>
      </c>
      <c r="O7" s="59">
        <f>'Income Statement'!O10</f>
        <v>1785.5</v>
      </c>
      <c r="P7" s="59">
        <f>'Income Statement'!P10</f>
        <v>2131.9</v>
      </c>
      <c r="Q7" s="59">
        <f>'Revenue Build'!Q31</f>
        <v>7440.0999999999995</v>
      </c>
      <c r="R7" s="59">
        <f>'Revenue Build'!R31</f>
        <v>1853.6</v>
      </c>
      <c r="S7" s="59">
        <f>'Revenue Build'!S31</f>
        <v>1813.4</v>
      </c>
      <c r="T7" s="59">
        <f>'Revenue Build'!T31</f>
        <v>1952.7</v>
      </c>
      <c r="U7" s="59">
        <f>'Revenue Build'!U31</f>
        <v>1961.2999999999997</v>
      </c>
      <c r="V7" s="59">
        <f>'Revenue Build'!V31</f>
        <v>7580.2999999999993</v>
      </c>
      <c r="W7" s="59">
        <f>'Revenue Build'!W31</f>
        <v>1993.1</v>
      </c>
      <c r="X7" s="59">
        <f>'Revenue Build'!X31</f>
        <v>1912.7</v>
      </c>
      <c r="Y7" s="59">
        <f>'Revenue Build'!Y31</f>
        <v>2013.1</v>
      </c>
      <c r="Z7" s="59">
        <f>'Revenue Build'!Z31</f>
        <v>2122.4</v>
      </c>
      <c r="AA7" s="59">
        <f>'Revenue Build'!AA31</f>
        <v>8041.5</v>
      </c>
      <c r="AB7" s="59">
        <f>'Revenue Build'!AB31</f>
        <v>2158.4</v>
      </c>
      <c r="AC7" s="59">
        <f>'Revenue Build'!AC31</f>
        <v>2298.8999999999996</v>
      </c>
      <c r="AD7" s="59">
        <f>'Revenue Build'!AD31</f>
        <v>2454.1</v>
      </c>
      <c r="AE7" s="59">
        <f>'Revenue Build'!AE31</f>
        <v>2357.8122000000003</v>
      </c>
      <c r="AF7" s="59">
        <f>'Revenue Build'!AF31</f>
        <v>9269.2121999999999</v>
      </c>
      <c r="AG7" s="59">
        <f>'Revenue Build'!AG31</f>
        <v>2447.5007999999998</v>
      </c>
      <c r="AH7" s="59">
        <f>'Revenue Build'!AH31</f>
        <v>2604.4049</v>
      </c>
      <c r="AI7" s="59">
        <f>'Revenue Build'!AI31</f>
        <v>2783.9501000000005</v>
      </c>
      <c r="AJ7" s="59">
        <f>'Revenue Build'!AJ31</f>
        <v>2642.5676658000002</v>
      </c>
      <c r="AK7" s="59">
        <f>'Revenue Build'!AK31</f>
        <v>10478.423465799999</v>
      </c>
      <c r="AL7" s="59">
        <f>'Revenue Build'!AL31</f>
        <v>2802.7060738</v>
      </c>
      <c r="AM7" s="59">
        <f>'Revenue Build'!AM31</f>
        <v>2990.8540229</v>
      </c>
      <c r="AN7" s="59">
        <f>'Revenue Build'!AN31</f>
        <v>3215.4088868999997</v>
      </c>
      <c r="AO7" s="59">
        <f>'Revenue Build'!AO31</f>
        <v>3012.4438398414004</v>
      </c>
      <c r="AP7" s="59">
        <f>'Revenue Build'!AP31</f>
        <v>12021.4128234414</v>
      </c>
      <c r="AQ7" s="59">
        <f>'Revenue Build'!AQ31</f>
        <v>2802.7060738</v>
      </c>
      <c r="AR7" s="59">
        <f>'Revenue Build'!AR31</f>
        <v>2990.8540229</v>
      </c>
      <c r="AS7" s="59">
        <f>'Revenue Build'!AS31</f>
        <v>3215.4088868999997</v>
      </c>
      <c r="AT7" s="59">
        <f>'Revenue Build'!AT31</f>
        <v>3012.4438398414004</v>
      </c>
      <c r="AU7" s="59">
        <f>'Revenue Build'!AU31</f>
        <v>12941.41486283176</v>
      </c>
      <c r="AV7" s="59">
        <f>'Revenue Build'!AV31</f>
        <v>2802.7060738</v>
      </c>
      <c r="AW7" s="59">
        <f>'Revenue Build'!AW31</f>
        <v>2990.8540229</v>
      </c>
      <c r="AX7" s="59">
        <f>'Revenue Build'!AX31</f>
        <v>3215.4088868999997</v>
      </c>
      <c r="AY7" s="59">
        <f>'Revenue Build'!AY31</f>
        <v>3012.4438398414004</v>
      </c>
      <c r="AZ7" s="59">
        <f>'Revenue Build'!AZ31</f>
        <v>13646.446082696459</v>
      </c>
      <c r="BA7" s="59">
        <f>'Revenue Build'!BA31</f>
        <v>2802.7060738</v>
      </c>
      <c r="BB7" s="59">
        <f>'Revenue Build'!BB31</f>
        <v>2990.8540229</v>
      </c>
      <c r="BC7" s="59">
        <f>'Revenue Build'!BC31</f>
        <v>3215.4088868999997</v>
      </c>
      <c r="BD7" s="59">
        <f>'Revenue Build'!BD31</f>
        <v>3012.4438398414004</v>
      </c>
      <c r="BE7" s="59">
        <f>'Revenue Build'!BE31</f>
        <v>14106.149513417346</v>
      </c>
      <c r="BF7" s="58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</row>
    <row r="8" spans="1:69" ht="12.75" customHeight="1" x14ac:dyDescent="0.15">
      <c r="A8" s="10"/>
      <c r="B8" s="92" t="s">
        <v>477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61" t="str">
        <f>'Income Statement'!Q11</f>
        <v/>
      </c>
      <c r="R8" s="161" t="e">
        <f>'Income Statement'!#REF!</f>
        <v>#REF!</v>
      </c>
      <c r="S8" s="161" t="e">
        <f>'Income Statement'!#REF!</f>
        <v>#REF!</v>
      </c>
      <c r="T8" s="161" t="e">
        <f>'Income Statement'!#REF!</f>
        <v>#REF!</v>
      </c>
      <c r="U8" s="161" t="e">
        <f>'Income Statement'!#REF!</f>
        <v>#REF!</v>
      </c>
      <c r="V8" s="161">
        <f>'Income Statement'!V11</f>
        <v>1.8843832744183553E-2</v>
      </c>
      <c r="W8" s="161" t="e">
        <f>'Income Statement'!#REF!</f>
        <v>#REF!</v>
      </c>
      <c r="X8" s="161" t="e">
        <f>'Income Statement'!#REF!</f>
        <v>#REF!</v>
      </c>
      <c r="Y8" s="161" t="e">
        <f>'Income Statement'!#REF!</f>
        <v>#REF!</v>
      </c>
      <c r="Z8" s="161" t="e">
        <f>'Income Statement'!#REF!</f>
        <v>#REF!</v>
      </c>
      <c r="AA8" s="382">
        <f>'Income Statement'!AA11</f>
        <v>6.0841919185256721E-2</v>
      </c>
      <c r="AB8" s="161">
        <f>'Income Statement'!AB11</f>
        <v>8.3596768528275245E-2</v>
      </c>
      <c r="AC8" s="161">
        <f>'Income Statement'!AC11</f>
        <v>0.20172503920543661</v>
      </c>
      <c r="AD8" s="161">
        <f>'Income Statement'!AD11</f>
        <v>0.2192856078294998</v>
      </c>
      <c r="AE8" s="161">
        <f>'Income Statement'!AE11</f>
        <v>0.11076091769915619</v>
      </c>
      <c r="AF8" s="161">
        <f>'Income Statement'!AF11</f>
        <v>0.15267203879873148</v>
      </c>
      <c r="AG8" s="161" t="e">
        <f>'Income Statement'!#REF!</f>
        <v>#REF!</v>
      </c>
      <c r="AH8" s="161" t="e">
        <f>'Income Statement'!#REF!</f>
        <v>#REF!</v>
      </c>
      <c r="AI8" s="161" t="e">
        <f>'Income Statement'!#REF!</f>
        <v>#REF!</v>
      </c>
      <c r="AJ8" s="161" t="e">
        <f>'Income Statement'!#REF!</f>
        <v>#REF!</v>
      </c>
      <c r="AK8" s="161">
        <f>'Income Statement'!AK11</f>
        <v>0.13045458877292715</v>
      </c>
      <c r="AL8" s="161" t="e">
        <f>'Income Statement'!#REF!</f>
        <v>#REF!</v>
      </c>
      <c r="AM8" s="161" t="e">
        <f>'Income Statement'!#REF!</f>
        <v>#REF!</v>
      </c>
      <c r="AN8" s="161" t="e">
        <f>'Income Statement'!#REF!</f>
        <v>#REF!</v>
      </c>
      <c r="AO8" s="161" t="e">
        <f>'Income Statement'!#REF!</f>
        <v>#REF!</v>
      </c>
      <c r="AP8" s="161">
        <f>'Income Statement'!AP11</f>
        <v>0.14725396073917874</v>
      </c>
      <c r="AQ8" s="161" t="e">
        <f>'Income Statement'!#REF!</f>
        <v>#REF!</v>
      </c>
      <c r="AR8" s="161" t="e">
        <f>'Income Statement'!#REF!</f>
        <v>#REF!</v>
      </c>
      <c r="AS8" s="161" t="e">
        <f>'Income Statement'!#REF!</f>
        <v>#REF!</v>
      </c>
      <c r="AT8" s="161" t="e">
        <f>'Income Statement'!#REF!</f>
        <v>#REF!</v>
      </c>
      <c r="AU8" s="161">
        <f>'Income Statement'!AQ11</f>
        <v>7.653027584215244E-2</v>
      </c>
      <c r="AV8" s="161" t="e">
        <f>'Income Statement'!#REF!</f>
        <v>#REF!</v>
      </c>
      <c r="AW8" s="161" t="e">
        <f>'Income Statement'!#REF!</f>
        <v>#REF!</v>
      </c>
      <c r="AX8" s="161" t="e">
        <f>'Income Statement'!#REF!</f>
        <v>#REF!</v>
      </c>
      <c r="AY8" s="161" t="e">
        <f>'Income Statement'!#REF!</f>
        <v>#REF!</v>
      </c>
      <c r="AZ8" s="161">
        <f>'Income Statement'!AR11</f>
        <v>5.4478681607648349E-2</v>
      </c>
      <c r="BA8" s="161" t="e">
        <f>'Income Statement'!#REF!</f>
        <v>#REF!</v>
      </c>
      <c r="BB8" s="161" t="e">
        <f>'Income Statement'!#REF!</f>
        <v>#REF!</v>
      </c>
      <c r="BC8" s="161" t="e">
        <f>'Income Statement'!#REF!</f>
        <v>#REF!</v>
      </c>
      <c r="BD8" s="161" t="e">
        <f>'Income Statement'!#REF!</f>
        <v>#REF!</v>
      </c>
      <c r="BE8" s="161">
        <f>'Income Statement'!AS11</f>
        <v>3.3686677684073851E-2</v>
      </c>
      <c r="BF8" s="10"/>
      <c r="BG8" s="2"/>
      <c r="BH8" s="2"/>
      <c r="BI8" s="2"/>
      <c r="BJ8" s="2"/>
      <c r="BK8" s="58"/>
      <c r="BL8" s="58"/>
      <c r="BM8" s="58"/>
      <c r="BN8" s="58"/>
      <c r="BO8" s="383" t="s">
        <v>478</v>
      </c>
      <c r="BP8" s="2"/>
      <c r="BQ8" s="2"/>
    </row>
    <row r="9" spans="1:69" ht="11.25" customHeight="1" x14ac:dyDescent="0.15">
      <c r="A9" s="10"/>
      <c r="B9" s="10" t="s">
        <v>115</v>
      </c>
      <c r="C9" s="10"/>
      <c r="D9" s="10"/>
      <c r="E9" s="10"/>
      <c r="F9" s="10"/>
      <c r="G9" s="10"/>
      <c r="H9" s="10"/>
      <c r="I9" s="10"/>
      <c r="J9" s="10"/>
      <c r="K9" s="10"/>
      <c r="L9" s="55" t="e">
        <f>'Income Statement'!L20</f>
        <v>#REF!</v>
      </c>
      <c r="M9" s="55">
        <f>'Income Statement'!M20</f>
        <v>402.90000000000009</v>
      </c>
      <c r="N9" s="55">
        <f>'Income Statement'!N20</f>
        <v>546</v>
      </c>
      <c r="O9" s="55">
        <f>'Income Statement'!O20</f>
        <v>567.20000000000005</v>
      </c>
      <c r="P9" s="55">
        <f>'Income Statement'!P20</f>
        <v>388.90000000000009</v>
      </c>
      <c r="Q9" s="55">
        <f>'Income Statement'!Q20</f>
        <v>1904.9999999999991</v>
      </c>
      <c r="R9" s="55" t="e">
        <f>'Income Statement'!#REF!</f>
        <v>#REF!</v>
      </c>
      <c r="S9" s="55" t="e">
        <f>'Income Statement'!#REF!</f>
        <v>#REF!</v>
      </c>
      <c r="T9" s="55" t="e">
        <f>'Income Statement'!#REF!</f>
        <v>#REF!</v>
      </c>
      <c r="U9" s="55" t="e">
        <f>'Income Statement'!#REF!</f>
        <v>#REF!</v>
      </c>
      <c r="V9" s="55">
        <f>'Income Statement'!V20</f>
        <v>2688.3999999999996</v>
      </c>
      <c r="W9" s="55" t="e">
        <f>'Income Statement'!#REF!</f>
        <v>#REF!</v>
      </c>
      <c r="X9" s="55" t="e">
        <f>'Income Statement'!#REF!</f>
        <v>#REF!</v>
      </c>
      <c r="Y9" s="55" t="e">
        <f>'Income Statement'!#REF!</f>
        <v>#REF!</v>
      </c>
      <c r="Z9" s="55" t="e">
        <f>'Income Statement'!#REF!</f>
        <v>#REF!</v>
      </c>
      <c r="AA9" s="56">
        <f>'Income Statement'!AA20</f>
        <v>2887.5</v>
      </c>
      <c r="AB9" s="55">
        <f>'Income Statement'!AB20</f>
        <v>829.7</v>
      </c>
      <c r="AC9" s="55">
        <f>'Income Statement'!AC20</f>
        <v>849.20000000000027</v>
      </c>
      <c r="AD9" s="55">
        <f>'Income Statement'!AD20</f>
        <v>827.50000000000023</v>
      </c>
      <c r="AE9" s="55">
        <f>'Income Statement'!AE20</f>
        <v>916.55918840000049</v>
      </c>
      <c r="AF9" s="55">
        <f>'Income Statement'!AF20</f>
        <v>3422.959188400001</v>
      </c>
      <c r="AG9" s="55" t="e">
        <f>'Income Statement'!#REF!</f>
        <v>#REF!</v>
      </c>
      <c r="AH9" s="55" t="e">
        <f>'Income Statement'!#REF!</f>
        <v>#REF!</v>
      </c>
      <c r="AI9" s="55" t="e">
        <f>'Income Statement'!#REF!</f>
        <v>#REF!</v>
      </c>
      <c r="AJ9" s="55" t="e">
        <f>'Income Statement'!#REF!</f>
        <v>#REF!</v>
      </c>
      <c r="AK9" s="55">
        <f>'Income Statement'!AK20</f>
        <v>4220.1580657428094</v>
      </c>
      <c r="AL9" s="55" t="e">
        <f>'Income Statement'!#REF!</f>
        <v>#REF!</v>
      </c>
      <c r="AM9" s="55" t="e">
        <f>'Income Statement'!#REF!</f>
        <v>#REF!</v>
      </c>
      <c r="AN9" s="55" t="e">
        <f>'Income Statement'!#REF!</f>
        <v>#REF!</v>
      </c>
      <c r="AO9" s="55" t="e">
        <f>'Income Statement'!#REF!</f>
        <v>#REF!</v>
      </c>
      <c r="AP9" s="55">
        <f>'Income Statement'!AP20</f>
        <v>4941.0602672957648</v>
      </c>
      <c r="AQ9" s="55" t="e">
        <f>'Income Statement'!#REF!</f>
        <v>#REF!</v>
      </c>
      <c r="AR9" s="55" t="e">
        <f>'Income Statement'!#REF!</f>
        <v>#REF!</v>
      </c>
      <c r="AS9" s="55" t="e">
        <f>'Income Statement'!#REF!</f>
        <v>#REF!</v>
      </c>
      <c r="AT9" s="55" t="e">
        <f>'Income Statement'!#REF!</f>
        <v>#REF!</v>
      </c>
      <c r="AU9" s="55">
        <f>'Income Statement'!AQ20</f>
        <v>5338.966087973392</v>
      </c>
      <c r="AV9" s="55" t="e">
        <f>'Income Statement'!#REF!</f>
        <v>#REF!</v>
      </c>
      <c r="AW9" s="55" t="e">
        <f>'Income Statement'!#REF!</f>
        <v>#REF!</v>
      </c>
      <c r="AX9" s="55" t="e">
        <f>'Income Statement'!#REF!</f>
        <v>#REF!</v>
      </c>
      <c r="AY9" s="55" t="e">
        <f>'Income Statement'!#REF!</f>
        <v>#REF!</v>
      </c>
      <c r="AZ9" s="55">
        <f>'Income Statement'!AR20</f>
        <v>5608.2264118322582</v>
      </c>
      <c r="BA9" s="55" t="e">
        <f>'Income Statement'!#REF!</f>
        <v>#REF!</v>
      </c>
      <c r="BB9" s="55" t="e">
        <f>'Income Statement'!#REF!</f>
        <v>#REF!</v>
      </c>
      <c r="BC9" s="55" t="e">
        <f>'Income Statement'!#REF!</f>
        <v>#REF!</v>
      </c>
      <c r="BD9" s="55" t="e">
        <f>'Income Statement'!#REF!</f>
        <v>#REF!</v>
      </c>
      <c r="BE9" s="55">
        <f>'Income Statement'!AS20</f>
        <v>5723.8851663223122</v>
      </c>
      <c r="BF9" s="10"/>
      <c r="BG9" s="2"/>
      <c r="BH9" s="2"/>
      <c r="BI9" s="2"/>
      <c r="BJ9" s="2"/>
      <c r="BK9" s="10"/>
      <c r="BL9" s="384">
        <f>AA40</f>
        <v>390.87333663344623</v>
      </c>
      <c r="BM9" s="385">
        <f t="shared" ref="BM9:BN9" si="12">BN9-0.01</f>
        <v>4.0299999999999996E-2</v>
      </c>
      <c r="BN9" s="385">
        <f t="shared" si="12"/>
        <v>5.0299999999999997E-2</v>
      </c>
      <c r="BO9" s="385">
        <v>6.0299999999999999E-2</v>
      </c>
      <c r="BP9" s="385">
        <f t="shared" ref="BP9:BQ9" si="13">BO9+0.01</f>
        <v>7.0300000000000001E-2</v>
      </c>
      <c r="BQ9" s="386">
        <f t="shared" si="13"/>
        <v>8.0299999999999996E-2</v>
      </c>
    </row>
    <row r="10" spans="1:69" ht="10.5" customHeight="1" x14ac:dyDescent="0.15">
      <c r="A10" s="10"/>
      <c r="B10" s="92" t="s">
        <v>479</v>
      </c>
      <c r="C10" s="10"/>
      <c r="D10" s="10"/>
      <c r="E10" s="10"/>
      <c r="F10" s="10"/>
      <c r="G10" s="10"/>
      <c r="H10" s="10"/>
      <c r="I10" s="10"/>
      <c r="J10" s="10"/>
      <c r="K10" s="10"/>
      <c r="L10" s="161" t="e">
        <f t="shared" ref="L10:BE10" si="14">L9/L7</f>
        <v>#REF!</v>
      </c>
      <c r="M10" s="161">
        <f t="shared" si="14"/>
        <v>0.23131243541164315</v>
      </c>
      <c r="N10" s="161">
        <f t="shared" si="14"/>
        <v>0.30658655735863888</v>
      </c>
      <c r="O10" s="161">
        <f t="shared" si="14"/>
        <v>0.31767012041444975</v>
      </c>
      <c r="P10" s="161">
        <f t="shared" si="14"/>
        <v>0.18241943805994656</v>
      </c>
      <c r="Q10" s="161">
        <f t="shared" si="14"/>
        <v>0.25604494563245106</v>
      </c>
      <c r="R10" s="161" t="e">
        <f t="shared" si="14"/>
        <v>#REF!</v>
      </c>
      <c r="S10" s="161" t="e">
        <f t="shared" si="14"/>
        <v>#REF!</v>
      </c>
      <c r="T10" s="161" t="e">
        <f t="shared" si="14"/>
        <v>#REF!</v>
      </c>
      <c r="U10" s="161" t="e">
        <f t="shared" si="14"/>
        <v>#REF!</v>
      </c>
      <c r="V10" s="161">
        <f t="shared" si="14"/>
        <v>0.35465614817355512</v>
      </c>
      <c r="W10" s="161" t="e">
        <f t="shared" si="14"/>
        <v>#REF!</v>
      </c>
      <c r="X10" s="161" t="e">
        <f t="shared" si="14"/>
        <v>#REF!</v>
      </c>
      <c r="Y10" s="161" t="e">
        <f t="shared" si="14"/>
        <v>#REF!</v>
      </c>
      <c r="Z10" s="161" t="e">
        <f t="shared" si="14"/>
        <v>#REF!</v>
      </c>
      <c r="AA10" s="382">
        <f t="shared" si="14"/>
        <v>0.35907479947770937</v>
      </c>
      <c r="AB10" s="161">
        <f t="shared" si="14"/>
        <v>0.38440511489992585</v>
      </c>
      <c r="AC10" s="161">
        <f t="shared" si="14"/>
        <v>0.3693940580277526</v>
      </c>
      <c r="AD10" s="161">
        <f t="shared" si="14"/>
        <v>0.33719082351982405</v>
      </c>
      <c r="AE10" s="161">
        <f t="shared" si="14"/>
        <v>0.38873290603891197</v>
      </c>
      <c r="AF10" s="161">
        <f t="shared" si="14"/>
        <v>0.36928264393386107</v>
      </c>
      <c r="AG10" s="161" t="e">
        <f t="shared" si="14"/>
        <v>#REF!</v>
      </c>
      <c r="AH10" s="161" t="e">
        <f t="shared" si="14"/>
        <v>#REF!</v>
      </c>
      <c r="AI10" s="161" t="e">
        <f t="shared" si="14"/>
        <v>#REF!</v>
      </c>
      <c r="AJ10" s="161" t="e">
        <f t="shared" si="14"/>
        <v>#REF!</v>
      </c>
      <c r="AK10" s="161">
        <f t="shared" si="14"/>
        <v>0.40274742469769159</v>
      </c>
      <c r="AL10" s="161" t="e">
        <f t="shared" si="14"/>
        <v>#REF!</v>
      </c>
      <c r="AM10" s="161" t="e">
        <f t="shared" si="14"/>
        <v>#REF!</v>
      </c>
      <c r="AN10" s="161" t="e">
        <f t="shared" si="14"/>
        <v>#REF!</v>
      </c>
      <c r="AO10" s="161" t="e">
        <f t="shared" si="14"/>
        <v>#REF!</v>
      </c>
      <c r="AP10" s="161">
        <f t="shared" si="14"/>
        <v>0.4110215945384425</v>
      </c>
      <c r="AQ10" s="161" t="e">
        <f t="shared" si="14"/>
        <v>#REF!</v>
      </c>
      <c r="AR10" s="161" t="e">
        <f t="shared" si="14"/>
        <v>#REF!</v>
      </c>
      <c r="AS10" s="161" t="e">
        <f t="shared" si="14"/>
        <v>#REF!</v>
      </c>
      <c r="AT10" s="161" t="e">
        <f t="shared" si="14"/>
        <v>#REF!</v>
      </c>
      <c r="AU10" s="161">
        <f t="shared" si="14"/>
        <v>0.41254887078128588</v>
      </c>
      <c r="AV10" s="161" t="e">
        <f t="shared" si="14"/>
        <v>#REF!</v>
      </c>
      <c r="AW10" s="161" t="e">
        <f t="shared" si="14"/>
        <v>#REF!</v>
      </c>
      <c r="AX10" s="161" t="e">
        <f t="shared" si="14"/>
        <v>#REF!</v>
      </c>
      <c r="AY10" s="161" t="e">
        <f t="shared" si="14"/>
        <v>#REF!</v>
      </c>
      <c r="AZ10" s="161">
        <f t="shared" si="14"/>
        <v>0.4109660770171823</v>
      </c>
      <c r="BA10" s="161" t="e">
        <f t="shared" si="14"/>
        <v>#REF!</v>
      </c>
      <c r="BB10" s="161" t="e">
        <f t="shared" si="14"/>
        <v>#REF!</v>
      </c>
      <c r="BC10" s="161" t="e">
        <f t="shared" si="14"/>
        <v>#REF!</v>
      </c>
      <c r="BD10" s="161" t="e">
        <f t="shared" si="14"/>
        <v>#REF!</v>
      </c>
      <c r="BE10" s="161">
        <f t="shared" si="14"/>
        <v>0.40577233077516472</v>
      </c>
      <c r="BF10" s="10"/>
      <c r="BG10" s="2"/>
      <c r="BH10" s="2"/>
      <c r="BI10" s="2"/>
      <c r="BJ10" s="2"/>
      <c r="BK10" s="10"/>
      <c r="BL10" s="387">
        <v>2.5000000000000001E-2</v>
      </c>
      <c r="BM10" s="388">
        <v>676.13914330180557</v>
      </c>
      <c r="BN10" s="389">
        <v>391.08203126421779</v>
      </c>
      <c r="BO10" s="389">
        <v>267.48061315998126</v>
      </c>
      <c r="BP10" s="389">
        <v>198.41253907003963</v>
      </c>
      <c r="BQ10" s="390">
        <v>154.29521410054952</v>
      </c>
    </row>
    <row r="11" spans="1:69" ht="9.75" customHeight="1" x14ac:dyDescent="0.1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96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2"/>
      <c r="BH11" s="2"/>
      <c r="BI11" s="2"/>
      <c r="BJ11" s="2"/>
      <c r="BK11" s="10"/>
      <c r="BL11" s="391">
        <v>0.03</v>
      </c>
      <c r="BM11" s="130">
        <v>1003.5450738539108</v>
      </c>
      <c r="BN11" s="388">
        <v>487.31019240934489</v>
      </c>
      <c r="BO11" s="389">
        <v>311.7580151449244</v>
      </c>
      <c r="BP11" s="390">
        <v>223.28110706250757</v>
      </c>
      <c r="BQ11" s="247">
        <v>169.94779949480107</v>
      </c>
    </row>
    <row r="12" spans="1:69" ht="9.75" customHeight="1" x14ac:dyDescent="0.15">
      <c r="A12" s="10"/>
      <c r="B12" s="10" t="s">
        <v>480</v>
      </c>
      <c r="C12" s="10"/>
      <c r="D12" s="10"/>
      <c r="E12" s="10"/>
      <c r="F12" s="10"/>
      <c r="G12" s="10"/>
      <c r="H12" s="10"/>
      <c r="I12" s="10"/>
      <c r="J12" s="10"/>
      <c r="K12" s="10"/>
      <c r="L12" s="10" t="e">
        <f>'Income Statement'!L20*(1-'Income Statement'!L30)</f>
        <v>#REF!</v>
      </c>
      <c r="M12" s="10">
        <f>'Income Statement'!M20*(1-'Income Statement'!M30)</f>
        <v>352.61833868378824</v>
      </c>
      <c r="N12" s="10">
        <f>'Income Statement'!N20*(1-'Income Statement'!N30)</f>
        <v>552.68991517436382</v>
      </c>
      <c r="O12" s="10">
        <f>'Income Statement'!O20*(1-'Income Statement'!O30)</f>
        <v>585.38881477680866</v>
      </c>
      <c r="P12" s="10">
        <f>'Income Statement'!P20*(1-'Income Statement'!P30)</f>
        <v>188.57030237581012</v>
      </c>
      <c r="Q12" s="55">
        <f>'Income Statement'!Q20*(1-'Income Statement'!Q30)</f>
        <v>1723.3435821929663</v>
      </c>
      <c r="R12" s="55" t="e">
        <f>'Income Statement'!#REF!*(1-'Income Statement'!#REF!)</f>
        <v>#REF!</v>
      </c>
      <c r="S12" s="55" t="e">
        <f>'Income Statement'!#REF!*(1-'Income Statement'!#REF!)</f>
        <v>#REF!</v>
      </c>
      <c r="T12" s="55" t="e">
        <f>'Income Statement'!#REF!*(1-'Income Statement'!#REF!)</f>
        <v>#REF!</v>
      </c>
      <c r="U12" s="55" t="e">
        <f>'Income Statement'!#REF!*(1-'Income Statement'!#REF!)</f>
        <v>#REF!</v>
      </c>
      <c r="V12" s="55">
        <f>'Income Statement'!V20*(1-'Income Statement'!V30)</f>
        <v>2688.2</v>
      </c>
      <c r="W12" s="55" t="e">
        <f>'Income Statement'!#REF!*(1-'Income Statement'!#REF!)</f>
        <v>#REF!</v>
      </c>
      <c r="X12" s="55" t="e">
        <f>'Income Statement'!#REF!*(1-'Income Statement'!#REF!)</f>
        <v>#REF!</v>
      </c>
      <c r="Y12" s="55" t="e">
        <f>'Income Statement'!#REF!*(1-'Income Statement'!#REF!)</f>
        <v>#REF!</v>
      </c>
      <c r="Z12" s="55" t="e">
        <f>'Income Statement'!#REF!*(1-'Income Statement'!#REF!)</f>
        <v>#REF!</v>
      </c>
      <c r="AA12" s="56">
        <f>'Income Statement'!AA20*(1-'Income Statement'!AA30)</f>
        <v>3017.1000000000004</v>
      </c>
      <c r="AB12" s="55">
        <f>'Income Statement'!AB20*(1-'Income Statement'!AB30)</f>
        <v>978.39978681068794</v>
      </c>
      <c r="AC12" s="55">
        <f>'Income Statement'!AC20*(1-'Income Statement'!AC30)</f>
        <v>924.52808578043152</v>
      </c>
      <c r="AD12" s="55">
        <f>'Income Statement'!AD20*(1-'Income Statement'!AD30)</f>
        <v>882.19843106995916</v>
      </c>
      <c r="AE12" s="55">
        <f>'Income Statement'!AE20*(1-'Income Statement'!AE30)</f>
        <v>916.55918840000049</v>
      </c>
      <c r="AF12" s="55">
        <f>'Income Statement'!AF20*(1-'Income Statement'!AF30)</f>
        <v>3149.122453328001</v>
      </c>
      <c r="AG12" s="55" t="e">
        <f>'Income Statement'!#REF!*(1-'Income Statement'!#REF!)</f>
        <v>#REF!</v>
      </c>
      <c r="AH12" s="55" t="e">
        <f>'Income Statement'!#REF!*(1-'Income Statement'!#REF!)</f>
        <v>#REF!</v>
      </c>
      <c r="AI12" s="55" t="e">
        <f>'Income Statement'!#REF!*(1-'Income Statement'!#REF!)</f>
        <v>#REF!</v>
      </c>
      <c r="AJ12" s="55" t="e">
        <f>'Income Statement'!#REF!*(1-'Income Statement'!#REF!)</f>
        <v>#REF!</v>
      </c>
      <c r="AK12" s="55">
        <f>'Income Statement'!AK20*(1-'Income Statement'!AK30)</f>
        <v>3882.545420483385</v>
      </c>
      <c r="AL12" s="55" t="e">
        <f>'Income Statement'!#REF!*(1-'Income Statement'!#REF!)</f>
        <v>#REF!</v>
      </c>
      <c r="AM12" s="55" t="e">
        <f>'Income Statement'!#REF!*(1-'Income Statement'!#REF!)</f>
        <v>#REF!</v>
      </c>
      <c r="AN12" s="55" t="e">
        <f>'Income Statement'!#REF!*(1-'Income Statement'!#REF!)</f>
        <v>#REF!</v>
      </c>
      <c r="AO12" s="55" t="e">
        <f>'Income Statement'!#REF!*(1-'Income Statement'!#REF!)</f>
        <v>#REF!</v>
      </c>
      <c r="AP12" s="55">
        <f>'Income Statement'!AP20*(1-'Income Statement'!AP30)</f>
        <v>4545.7754459121034</v>
      </c>
      <c r="AQ12" s="55" t="e">
        <f>'Income Statement'!#REF!*(1-'Income Statement'!#REF!)</f>
        <v>#REF!</v>
      </c>
      <c r="AR12" s="55" t="e">
        <f>'Income Statement'!#REF!*(1-'Income Statement'!#REF!)</f>
        <v>#REF!</v>
      </c>
      <c r="AS12" s="55" t="e">
        <f>'Income Statement'!#REF!*(1-'Income Statement'!#REF!)</f>
        <v>#REF!</v>
      </c>
      <c r="AT12" s="55" t="e">
        <f>'Income Statement'!#REF!*(1-'Income Statement'!#REF!)</f>
        <v>#REF!</v>
      </c>
      <c r="AU12" s="55">
        <f>'Income Statement'!AQ20*(1-'Income Statement'!AQ30)</f>
        <v>4911.8488009355206</v>
      </c>
      <c r="AV12" s="55" t="e">
        <f>'Income Statement'!#REF!*(1-'Income Statement'!#REF!)</f>
        <v>#REF!</v>
      </c>
      <c r="AW12" s="55" t="e">
        <f>'Income Statement'!#REF!*(1-'Income Statement'!#REF!)</f>
        <v>#REF!</v>
      </c>
      <c r="AX12" s="55" t="e">
        <f>'Income Statement'!#REF!*(1-'Income Statement'!#REF!)</f>
        <v>#REF!</v>
      </c>
      <c r="AY12" s="55" t="e">
        <f>'Income Statement'!#REF!*(1-'Income Statement'!#REF!)</f>
        <v>#REF!</v>
      </c>
      <c r="AZ12" s="55">
        <f>'Income Statement'!AR20*(1-'Income Statement'!AR30)</f>
        <v>5159.5682988856779</v>
      </c>
      <c r="BA12" s="55" t="e">
        <f>'Income Statement'!#REF!*(1-'Income Statement'!#REF!)</f>
        <v>#REF!</v>
      </c>
      <c r="BB12" s="55" t="e">
        <f>'Income Statement'!#REF!*(1-'Income Statement'!#REF!)</f>
        <v>#REF!</v>
      </c>
      <c r="BC12" s="55" t="e">
        <f>'Income Statement'!#REF!*(1-'Income Statement'!#REF!)</f>
        <v>#REF!</v>
      </c>
      <c r="BD12" s="55" t="e">
        <f>'Income Statement'!#REF!*(1-'Income Statement'!#REF!)</f>
        <v>#REF!</v>
      </c>
      <c r="BE12" s="55">
        <f>'Income Statement'!AS20*(1-'Income Statement'!AS30)</f>
        <v>5265.9743530165279</v>
      </c>
      <c r="BF12" s="10"/>
      <c r="BG12" s="2"/>
      <c r="BH12" s="2"/>
      <c r="BI12" s="2"/>
      <c r="BJ12" s="2"/>
      <c r="BK12" s="10" t="s">
        <v>481</v>
      </c>
      <c r="BL12" s="253">
        <v>3.5000000000000003E-2</v>
      </c>
      <c r="BM12" s="130">
        <v>1948.6980431835757</v>
      </c>
      <c r="BN12" s="130">
        <v>646.43257652514319</v>
      </c>
      <c r="BO12" s="392">
        <v>373.53636653103092</v>
      </c>
      <c r="BP12" s="247">
        <v>255.19459516615629</v>
      </c>
      <c r="BQ12" s="247">
        <v>189.05570175312582</v>
      </c>
    </row>
    <row r="13" spans="1:69" ht="9.75" customHeight="1" x14ac:dyDescent="0.15">
      <c r="A13" s="10"/>
      <c r="B13" s="92" t="s">
        <v>482</v>
      </c>
      <c r="C13" s="10"/>
      <c r="D13" s="10"/>
      <c r="E13" s="10"/>
      <c r="F13" s="10"/>
      <c r="G13" s="10"/>
      <c r="H13" s="10"/>
      <c r="I13" s="10"/>
      <c r="J13" s="10"/>
      <c r="K13" s="10"/>
      <c r="L13" s="126" t="e">
        <f>'Income Statement'!L30</f>
        <v>#REF!</v>
      </c>
      <c r="M13" s="126">
        <f>'Income Statement'!M30</f>
        <v>0.12479935794542532</v>
      </c>
      <c r="N13" s="126">
        <f>'Income Statement'!N30</f>
        <v>-1.2252591894439207E-2</v>
      </c>
      <c r="O13" s="126">
        <f>'Income Statement'!O30</f>
        <v>-3.2067727039507436E-2</v>
      </c>
      <c r="P13" s="126">
        <f>'Income Statement'!P30</f>
        <v>0.5151187904967599</v>
      </c>
      <c r="Q13" s="126">
        <f>'Income Statement'!Q30</f>
        <v>9.5357699636237733E-2</v>
      </c>
      <c r="R13" s="126" t="e">
        <f>'Income Statement'!#REF!</f>
        <v>#REF!</v>
      </c>
      <c r="S13" s="126" t="e">
        <f>'Income Statement'!#REF!</f>
        <v>#REF!</v>
      </c>
      <c r="T13" s="126" t="e">
        <f>'Income Statement'!#REF!</f>
        <v>#REF!</v>
      </c>
      <c r="U13" s="126" t="e">
        <f>'Income Statement'!#REF!</f>
        <v>#REF!</v>
      </c>
      <c r="V13" s="126">
        <f>'Income Statement'!V30</f>
        <v>7.4393691414968022E-5</v>
      </c>
      <c r="W13" s="126" t="e">
        <f>'Income Statement'!#REF!</f>
        <v>#REF!</v>
      </c>
      <c r="X13" s="126" t="e">
        <f>'Income Statement'!#REF!</f>
        <v>#REF!</v>
      </c>
      <c r="Y13" s="126" t="e">
        <f>'Income Statement'!#REF!</f>
        <v>#REF!</v>
      </c>
      <c r="Z13" s="126" t="e">
        <f>'Income Statement'!#REF!</f>
        <v>#REF!</v>
      </c>
      <c r="AA13" s="159">
        <f>'Income Statement'!AA30</f>
        <v>-4.4883116883116879E-2</v>
      </c>
      <c r="AB13" s="126">
        <f>'Income Statement'!AB30</f>
        <v>-0.17922114837976119</v>
      </c>
      <c r="AC13" s="126">
        <f>'Income Statement'!AC30</f>
        <v>-8.8704764225660981E-2</v>
      </c>
      <c r="AD13" s="126">
        <f>'Income Statement'!AD30</f>
        <v>-6.6100823045267473E-2</v>
      </c>
      <c r="AE13" s="126">
        <f>'Income Statement'!AE30</f>
        <v>0</v>
      </c>
      <c r="AF13" s="126">
        <f>'Income Statement'!AF30</f>
        <v>0.08</v>
      </c>
      <c r="AG13" s="126" t="e">
        <f>'Income Statement'!#REF!</f>
        <v>#REF!</v>
      </c>
      <c r="AH13" s="126" t="e">
        <f>'Income Statement'!#REF!</f>
        <v>#REF!</v>
      </c>
      <c r="AI13" s="126" t="e">
        <f>'Income Statement'!#REF!</f>
        <v>#REF!</v>
      </c>
      <c r="AJ13" s="126" t="e">
        <f>'Income Statement'!#REF!</f>
        <v>#REF!</v>
      </c>
      <c r="AK13" s="126">
        <f>'Income Statement'!AK30</f>
        <v>0.08</v>
      </c>
      <c r="AL13" s="126" t="e">
        <f>'Income Statement'!#REF!</f>
        <v>#REF!</v>
      </c>
      <c r="AM13" s="126" t="e">
        <f>'Income Statement'!#REF!</f>
        <v>#REF!</v>
      </c>
      <c r="AN13" s="126" t="e">
        <f>'Income Statement'!#REF!</f>
        <v>#REF!</v>
      </c>
      <c r="AO13" s="126" t="e">
        <f>'Income Statement'!#REF!</f>
        <v>#REF!</v>
      </c>
      <c r="AP13" s="126">
        <f>'Income Statement'!AP30</f>
        <v>0.08</v>
      </c>
      <c r="AQ13" s="126" t="e">
        <f>'Income Statement'!#REF!</f>
        <v>#REF!</v>
      </c>
      <c r="AR13" s="126" t="e">
        <f>'Income Statement'!#REF!</f>
        <v>#REF!</v>
      </c>
      <c r="AS13" s="126" t="e">
        <f>'Income Statement'!#REF!</f>
        <v>#REF!</v>
      </c>
      <c r="AT13" s="126" t="e">
        <f>'Income Statement'!#REF!</f>
        <v>#REF!</v>
      </c>
      <c r="AU13" s="126">
        <f>'Income Statement'!AQ30</f>
        <v>0.08</v>
      </c>
      <c r="AV13" s="126" t="e">
        <f>'Income Statement'!#REF!</f>
        <v>#REF!</v>
      </c>
      <c r="AW13" s="126" t="e">
        <f>'Income Statement'!#REF!</f>
        <v>#REF!</v>
      </c>
      <c r="AX13" s="126" t="e">
        <f>'Income Statement'!#REF!</f>
        <v>#REF!</v>
      </c>
      <c r="AY13" s="126" t="e">
        <f>'Income Statement'!#REF!</f>
        <v>#REF!</v>
      </c>
      <c r="AZ13" s="126">
        <f>'Income Statement'!AR30</f>
        <v>0.08</v>
      </c>
      <c r="BA13" s="126" t="e">
        <f>'Income Statement'!#REF!</f>
        <v>#REF!</v>
      </c>
      <c r="BB13" s="126" t="e">
        <f>'Income Statement'!#REF!</f>
        <v>#REF!</v>
      </c>
      <c r="BC13" s="126" t="e">
        <f>'Income Statement'!#REF!</f>
        <v>#REF!</v>
      </c>
      <c r="BD13" s="126" t="e">
        <f>'Income Statement'!#REF!</f>
        <v>#REF!</v>
      </c>
      <c r="BE13" s="126">
        <f>'Income Statement'!AS30</f>
        <v>0.08</v>
      </c>
      <c r="BF13" s="10"/>
      <c r="BG13" s="2"/>
      <c r="BH13" s="2"/>
      <c r="BI13" s="2"/>
      <c r="BJ13" s="2"/>
      <c r="BK13" s="10"/>
      <c r="BL13" s="253">
        <v>0.04</v>
      </c>
      <c r="BM13" s="130">
        <v>34398.949990169254</v>
      </c>
      <c r="BN13" s="393">
        <v>960.04271220967757</v>
      </c>
      <c r="BO13" s="394">
        <v>465.74740332901251</v>
      </c>
      <c r="BP13" s="395">
        <v>297.64058759444146</v>
      </c>
      <c r="BQ13" s="247">
        <v>212.90501896388838</v>
      </c>
    </row>
    <row r="14" spans="1:69" ht="9.75" customHeight="1" x14ac:dyDescent="0.15">
      <c r="A14" s="10"/>
      <c r="B14" s="10" t="s">
        <v>483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55">
        <f>'CapEx + D&amp;A'!Q16</f>
        <v>2110.8000000000002</v>
      </c>
      <c r="R14" s="55">
        <f>'CapEx + D&amp;A'!R16</f>
        <v>1778.4</v>
      </c>
      <c r="S14" s="55">
        <f>'CapEx + D&amp;A'!S16</f>
        <v>1882.3</v>
      </c>
      <c r="T14" s="55">
        <f>'CapEx + D&amp;A'!T16</f>
        <v>522.5</v>
      </c>
      <c r="U14" s="55">
        <f>'CapEx + D&amp;A'!U16</f>
        <v>554.79999999999995</v>
      </c>
      <c r="V14" s="55">
        <f>'CapEx + D&amp;A'!V16</f>
        <v>1778.4</v>
      </c>
      <c r="W14" s="55">
        <f>'CapEx + D&amp;A'!W16</f>
        <v>536.01092800000015</v>
      </c>
      <c r="X14" s="55">
        <f>'CapEx + D&amp;A'!X16</f>
        <v>2224.6109280000001</v>
      </c>
      <c r="Y14" s="55">
        <f>'CapEx + D&amp;A'!Y16</f>
        <v>587.40019199999995</v>
      </c>
      <c r="Z14" s="55">
        <f>'CapEx + D&amp;A'!Z16</f>
        <v>625.05717600000003</v>
      </c>
      <c r="AA14" s="55">
        <f>'CapEx + D&amp;A'!AA16</f>
        <v>1882.3</v>
      </c>
      <c r="AB14" s="55">
        <f>'CapEx + D&amp;A'!AB16</f>
        <v>0</v>
      </c>
      <c r="AC14" s="55">
        <f>'CapEx + D&amp;A'!AC16</f>
        <v>0</v>
      </c>
      <c r="AD14" s="55">
        <f>'CapEx + D&amp;A'!AD16</f>
        <v>0</v>
      </c>
      <c r="AE14" s="55">
        <f>'CapEx + D&amp;A'!AE16</f>
        <v>0</v>
      </c>
      <c r="AF14" s="54">
        <f>'CapEx + D&amp;A'!AF16</f>
        <v>2224.6109280000001</v>
      </c>
      <c r="AG14" s="55">
        <f>'CapEx + D&amp;A'!AG16</f>
        <v>587.40019199999995</v>
      </c>
      <c r="AH14" s="55">
        <f>'CapEx + D&amp;A'!AH16</f>
        <v>625.05717600000003</v>
      </c>
      <c r="AI14" s="55">
        <f>'CapEx + D&amp;A'!AI16</f>
        <v>668.14802400000008</v>
      </c>
      <c r="AJ14" s="55">
        <f>'CapEx + D&amp;A'!AJ16</f>
        <v>634.21623979200001</v>
      </c>
      <c r="AK14" s="55">
        <f>'CapEx + D&amp;A'!AK16</f>
        <v>2263.3394686127999</v>
      </c>
      <c r="AL14" s="55">
        <f>'CapEx + D&amp;A'!AL16</f>
        <v>672.64945771199996</v>
      </c>
      <c r="AM14" s="55">
        <f>'CapEx + D&amp;A'!AM16</f>
        <v>717.80496549600002</v>
      </c>
      <c r="AN14" s="55">
        <f>'CapEx + D&amp;A'!AN16</f>
        <v>771.69813285599992</v>
      </c>
      <c r="AO14" s="55">
        <f>'CapEx + D&amp;A'!AO16</f>
        <v>722.98652156193612</v>
      </c>
      <c r="AP14" s="55">
        <f>'CapEx + D&amp;A'!AP16</f>
        <v>2308.1112621007487</v>
      </c>
      <c r="AQ14" s="55">
        <f>'CapEx + D&amp;A'!AQ16</f>
        <v>672.64945771199996</v>
      </c>
      <c r="AR14" s="55">
        <f>'CapEx + D&amp;A'!AR16</f>
        <v>717.80496549600002</v>
      </c>
      <c r="AS14" s="55">
        <f>'CapEx + D&amp;A'!AS16</f>
        <v>771.69813285599992</v>
      </c>
      <c r="AT14" s="55">
        <f>'CapEx + D&amp;A'!AT16</f>
        <v>722.98652156193612</v>
      </c>
      <c r="AU14" s="55">
        <f>'CapEx + D&amp;A'!AU16</f>
        <v>2174.1576969557354</v>
      </c>
      <c r="AV14" s="55">
        <f>'CapEx + D&amp;A'!AV16</f>
        <v>672.64945771199996</v>
      </c>
      <c r="AW14" s="55">
        <f>'CapEx + D&amp;A'!AW16</f>
        <v>717.80496549600002</v>
      </c>
      <c r="AX14" s="55">
        <f>'CapEx + D&amp;A'!AX16</f>
        <v>771.69813285599992</v>
      </c>
      <c r="AY14" s="55">
        <f>'CapEx + D&amp;A'!AY16</f>
        <v>722.98652156193612</v>
      </c>
      <c r="AZ14" s="55">
        <f>'CapEx + D&amp;A'!AZ16</f>
        <v>1965.08823590829</v>
      </c>
      <c r="BA14" s="55">
        <f>'CapEx + D&amp;A'!BA16</f>
        <v>672.64945771199996</v>
      </c>
      <c r="BB14" s="55">
        <f>'CapEx + D&amp;A'!BB16</f>
        <v>717.80496549600002</v>
      </c>
      <c r="BC14" s="55">
        <f>'CapEx + D&amp;A'!BC16</f>
        <v>771.69813285599992</v>
      </c>
      <c r="BD14" s="55">
        <f>'CapEx + D&amp;A'!BD16</f>
        <v>722.98652156193612</v>
      </c>
      <c r="BE14" s="55">
        <f>'CapEx + D&amp;A'!BE16</f>
        <v>1692.7379416100814</v>
      </c>
      <c r="BF14" s="10"/>
      <c r="BG14" s="10"/>
      <c r="BH14" s="2"/>
      <c r="BI14" s="10"/>
      <c r="BJ14" s="10"/>
      <c r="BK14" s="10"/>
      <c r="BL14" s="396">
        <v>4.4999999999999998E-2</v>
      </c>
      <c r="BM14" s="393">
        <v>-2193.8873117506905</v>
      </c>
      <c r="BN14" s="394">
        <v>1865.3700850348425</v>
      </c>
      <c r="BO14" s="394">
        <v>618.22709162894262</v>
      </c>
      <c r="BP14" s="394">
        <v>356.86365212876825</v>
      </c>
      <c r="BQ14" s="395">
        <v>243.51051668761491</v>
      </c>
    </row>
    <row r="15" spans="1:69" ht="9.75" customHeight="1" x14ac:dyDescent="0.15">
      <c r="A15" s="10"/>
      <c r="B15" s="10" t="s">
        <v>484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55">
        <f>'CapEx + D&amp;A'!Q7</f>
        <v>913.2</v>
      </c>
      <c r="R15" s="55">
        <f>'CapEx + D&amp;A'!R7</f>
        <v>991.3</v>
      </c>
      <c r="S15" s="55">
        <f>'CapEx + D&amp;A'!S7</f>
        <v>1031.7</v>
      </c>
      <c r="T15" s="55">
        <f>'CapEx + D&amp;A'!T7</f>
        <v>0</v>
      </c>
      <c r="U15" s="55">
        <f>'CapEx + D&amp;A'!U7</f>
        <v>602.70000000000005</v>
      </c>
      <c r="V15" s="55">
        <f>'CapEx + D&amp;A'!V7</f>
        <v>991.3</v>
      </c>
      <c r="W15" s="55">
        <f>'CapEx + D&amp;A'!W7</f>
        <v>1283.3799999999999</v>
      </c>
      <c r="X15" s="55">
        <f>'CapEx + D&amp;A'!X7</f>
        <v>4171.1454899999999</v>
      </c>
      <c r="Y15" s="55">
        <f>'CapEx + D&amp;A'!Y7</f>
        <v>1223.7503999999999</v>
      </c>
      <c r="Z15" s="55">
        <f>'CapEx + D&amp;A'!Z7</f>
        <v>1432.4226950000002</v>
      </c>
      <c r="AA15" s="55">
        <f>'CapEx + D&amp;A'!AA7</f>
        <v>1031.7</v>
      </c>
      <c r="AB15" s="55">
        <f>'CapEx + D&amp;A'!AB7</f>
        <v>0</v>
      </c>
      <c r="AC15" s="55">
        <f>'CapEx + D&amp;A'!AC7</f>
        <v>0</v>
      </c>
      <c r="AD15" s="55">
        <f>'CapEx + D&amp;A'!AD7</f>
        <v>0</v>
      </c>
      <c r="AE15" s="55">
        <f>'CapEx + D&amp;A'!AE7</f>
        <v>0</v>
      </c>
      <c r="AF15" s="54">
        <f>'CapEx + D&amp;A'!AF7</f>
        <v>1112.305464</v>
      </c>
      <c r="AG15" s="55">
        <f>'CapEx + D&amp;A'!AG7</f>
        <v>293.70009599999997</v>
      </c>
      <c r="AH15" s="55">
        <f>'CapEx + D&amp;A'!AH7</f>
        <v>312.52858800000001</v>
      </c>
      <c r="AI15" s="55">
        <f>'CapEx + D&amp;A'!AI7</f>
        <v>334.07401200000004</v>
      </c>
      <c r="AJ15" s="55">
        <f>'CapEx + D&amp;A'!AJ7</f>
        <v>317.10811989600001</v>
      </c>
      <c r="AK15" s="55">
        <f>'CapEx + D&amp;A'!AK7</f>
        <v>1257.4108158959998</v>
      </c>
      <c r="AL15" s="55">
        <f>'CapEx + D&amp;A'!AL7</f>
        <v>336.32472885599998</v>
      </c>
      <c r="AM15" s="55">
        <f>'CapEx + D&amp;A'!AM7</f>
        <v>358.90248274800001</v>
      </c>
      <c r="AN15" s="55">
        <f>'CapEx + D&amp;A'!AN7</f>
        <v>385.84906642799996</v>
      </c>
      <c r="AO15" s="55">
        <f>'CapEx + D&amp;A'!AO7</f>
        <v>361.49326078096806</v>
      </c>
      <c r="AP15" s="55">
        <f>'CapEx + D&amp;A'!AP7</f>
        <v>1442.5695388129679</v>
      </c>
      <c r="AQ15" s="55">
        <f>'CapEx + D&amp;A'!AQ7</f>
        <v>336.32472885599998</v>
      </c>
      <c r="AR15" s="55">
        <f>'CapEx + D&amp;A'!AR7</f>
        <v>358.90248274800001</v>
      </c>
      <c r="AS15" s="55">
        <f>'CapEx + D&amp;A'!AS7</f>
        <v>385.84906642799996</v>
      </c>
      <c r="AT15" s="55">
        <f>'CapEx + D&amp;A'!AT7</f>
        <v>361.49326078096806</v>
      </c>
      <c r="AU15" s="55">
        <f>'CapEx + D&amp;A'!AU7</f>
        <v>1552.969783539811</v>
      </c>
      <c r="AV15" s="55">
        <f>'CapEx + D&amp;A'!AV7</f>
        <v>336.32472885599998</v>
      </c>
      <c r="AW15" s="55">
        <f>'CapEx + D&amp;A'!AW7</f>
        <v>358.90248274800001</v>
      </c>
      <c r="AX15" s="55">
        <f>'CapEx + D&amp;A'!AX7</f>
        <v>385.84906642799996</v>
      </c>
      <c r="AY15" s="55">
        <f>'CapEx + D&amp;A'!AY7</f>
        <v>361.49326078096806</v>
      </c>
      <c r="AZ15" s="55">
        <f>'CapEx + D&amp;A'!AZ7</f>
        <v>1637.5735299235751</v>
      </c>
      <c r="BA15" s="55">
        <f>'CapEx + D&amp;A'!BA7</f>
        <v>336.32472885599998</v>
      </c>
      <c r="BB15" s="55">
        <f>'CapEx + D&amp;A'!BB7</f>
        <v>358.90248274800001</v>
      </c>
      <c r="BC15" s="55">
        <f>'CapEx + D&amp;A'!BC7</f>
        <v>385.84906642799996</v>
      </c>
      <c r="BD15" s="55">
        <f>'CapEx + D&amp;A'!BD7</f>
        <v>361.49326078096806</v>
      </c>
      <c r="BE15" s="55">
        <f>'CapEx + D&amp;A'!BE7</f>
        <v>1692.7379416100814</v>
      </c>
      <c r="BF15" s="10"/>
      <c r="BG15" s="10"/>
      <c r="BH15" s="10"/>
      <c r="BI15" s="10"/>
      <c r="BJ15" s="10"/>
      <c r="BK15" s="2"/>
      <c r="BL15" s="2"/>
      <c r="BM15" s="2"/>
      <c r="BN15" s="2"/>
      <c r="BO15" s="2"/>
      <c r="BP15" s="2"/>
      <c r="BQ15" s="2"/>
    </row>
    <row r="16" spans="1:69" ht="9.75" customHeight="1" x14ac:dyDescent="0.15">
      <c r="A16" s="10"/>
      <c r="B16" s="10" t="s">
        <v>485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55"/>
      <c r="R16" s="55">
        <v>0</v>
      </c>
      <c r="S16" s="55">
        <v>0</v>
      </c>
      <c r="T16" s="55">
        <v>0</v>
      </c>
      <c r="U16" s="55">
        <v>0</v>
      </c>
      <c r="V16" s="55">
        <v>-628.89999999999964</v>
      </c>
      <c r="W16" s="55">
        <v>0</v>
      </c>
      <c r="X16" s="55">
        <v>0</v>
      </c>
      <c r="Y16" s="55">
        <v>0</v>
      </c>
      <c r="Z16" s="55">
        <v>0</v>
      </c>
      <c r="AA16" s="56">
        <v>2183.9999999999995</v>
      </c>
      <c r="AB16" s="55">
        <v>0</v>
      </c>
      <c r="AC16" s="55">
        <v>0</v>
      </c>
      <c r="AD16" s="55">
        <v>0</v>
      </c>
      <c r="AE16" s="55">
        <v>0</v>
      </c>
      <c r="AF16" s="55">
        <f>'Δ NWC'!AF42</f>
        <v>-775.62430389128826</v>
      </c>
      <c r="AG16" s="55" t="e">
        <v>#REF!</v>
      </c>
      <c r="AH16" s="55" t="e">
        <v>#REF!</v>
      </c>
      <c r="AI16" s="55" t="e">
        <v>#REF!</v>
      </c>
      <c r="AJ16" s="55" t="e">
        <v>#REF!</v>
      </c>
      <c r="AK16" s="55">
        <f>'Δ NWC'!AK42</f>
        <v>-973.48372808884824</v>
      </c>
      <c r="AL16" s="55" t="e">
        <v>#REF!</v>
      </c>
      <c r="AM16" s="55" t="e">
        <v>#REF!</v>
      </c>
      <c r="AN16" s="55" t="e">
        <v>#REF!</v>
      </c>
      <c r="AO16" s="55" t="e">
        <v>#REF!</v>
      </c>
      <c r="AP16" s="55">
        <f>'Δ NWC'!AP42</f>
        <v>-637.54150954432816</v>
      </c>
      <c r="AQ16" s="55" t="e">
        <v>#REF!</v>
      </c>
      <c r="AR16" s="55" t="e">
        <v>#REF!</v>
      </c>
      <c r="AS16" s="55" t="e">
        <v>#REF!</v>
      </c>
      <c r="AT16" s="55" t="e">
        <v>#REF!</v>
      </c>
      <c r="AU16" s="55">
        <f>'Δ NWC'!AU42</f>
        <v>-961.44245044743366</v>
      </c>
      <c r="AV16" s="55" t="e">
        <v>#REF!</v>
      </c>
      <c r="AW16" s="55" t="e">
        <v>#REF!</v>
      </c>
      <c r="AX16" s="55" t="e">
        <v>#REF!</v>
      </c>
      <c r="AY16" s="55" t="e">
        <v>#REF!</v>
      </c>
      <c r="AZ16" s="55">
        <f>'Δ NWC'!AZ42</f>
        <v>-1145.4705787867506</v>
      </c>
      <c r="BA16" s="55" t="e">
        <v>#REF!</v>
      </c>
      <c r="BB16" s="55" t="e">
        <v>#REF!</v>
      </c>
      <c r="BC16" s="55" t="e">
        <v>#REF!</v>
      </c>
      <c r="BD16" s="55" t="e">
        <v>#REF!</v>
      </c>
      <c r="BE16" s="55">
        <f>'Δ NWC'!BE42</f>
        <v>-1391.9441463286048</v>
      </c>
      <c r="BF16" s="10"/>
      <c r="BG16" s="10"/>
      <c r="BH16" s="10"/>
      <c r="BI16" s="10"/>
      <c r="BJ16" s="10"/>
      <c r="BK16" s="2"/>
      <c r="BL16" s="2"/>
      <c r="BM16" s="2"/>
      <c r="BN16" s="2"/>
      <c r="BO16" s="2"/>
      <c r="BP16" s="2"/>
      <c r="BQ16" s="2"/>
    </row>
    <row r="17" spans="1:69" ht="9.75" customHeight="1" x14ac:dyDescent="0.1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96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2"/>
      <c r="BL17" s="2"/>
      <c r="BM17" s="2"/>
      <c r="BN17" s="2"/>
      <c r="BO17" s="2"/>
      <c r="BP17" s="2"/>
      <c r="BQ17" s="2"/>
    </row>
    <row r="18" spans="1:69" ht="9.75" customHeight="1" x14ac:dyDescent="0.15">
      <c r="A18" s="10"/>
      <c r="B18" s="68" t="s">
        <v>486</v>
      </c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7">
        <f t="shared" ref="Q18:BE18" si="15">Q12+Q14-Q15-Q16</f>
        <v>2920.9435821929665</v>
      </c>
      <c r="R18" s="237" t="e">
        <f t="shared" si="15"/>
        <v>#REF!</v>
      </c>
      <c r="S18" s="237" t="e">
        <f t="shared" si="15"/>
        <v>#REF!</v>
      </c>
      <c r="T18" s="237" t="e">
        <f t="shared" si="15"/>
        <v>#REF!</v>
      </c>
      <c r="U18" s="237" t="e">
        <f t="shared" si="15"/>
        <v>#REF!</v>
      </c>
      <c r="V18" s="237">
        <f t="shared" si="15"/>
        <v>4104.2</v>
      </c>
      <c r="W18" s="237" t="e">
        <f t="shared" si="15"/>
        <v>#REF!</v>
      </c>
      <c r="X18" s="237" t="e">
        <f t="shared" si="15"/>
        <v>#REF!</v>
      </c>
      <c r="Y18" s="237" t="e">
        <f t="shared" si="15"/>
        <v>#REF!</v>
      </c>
      <c r="Z18" s="237" t="e">
        <f t="shared" si="15"/>
        <v>#REF!</v>
      </c>
      <c r="AA18" s="237">
        <f t="shared" si="15"/>
        <v>1683.7000000000012</v>
      </c>
      <c r="AB18" s="237">
        <f t="shared" si="15"/>
        <v>978.39978681068794</v>
      </c>
      <c r="AC18" s="237">
        <f t="shared" si="15"/>
        <v>924.52808578043152</v>
      </c>
      <c r="AD18" s="237">
        <f t="shared" si="15"/>
        <v>882.19843106995916</v>
      </c>
      <c r="AE18" s="237">
        <f t="shared" si="15"/>
        <v>916.55918840000049</v>
      </c>
      <c r="AF18" s="397">
        <f t="shared" si="15"/>
        <v>5037.0522212192891</v>
      </c>
      <c r="AG18" s="237" t="e">
        <f t="shared" si="15"/>
        <v>#REF!</v>
      </c>
      <c r="AH18" s="237" t="e">
        <f t="shared" si="15"/>
        <v>#REF!</v>
      </c>
      <c r="AI18" s="237" t="e">
        <f t="shared" si="15"/>
        <v>#REF!</v>
      </c>
      <c r="AJ18" s="237" t="e">
        <f t="shared" si="15"/>
        <v>#REF!</v>
      </c>
      <c r="AK18" s="237">
        <f t="shared" si="15"/>
        <v>5861.9578012890343</v>
      </c>
      <c r="AL18" s="237" t="e">
        <f t="shared" si="15"/>
        <v>#REF!</v>
      </c>
      <c r="AM18" s="237" t="e">
        <f t="shared" si="15"/>
        <v>#REF!</v>
      </c>
      <c r="AN18" s="237" t="e">
        <f t="shared" si="15"/>
        <v>#REF!</v>
      </c>
      <c r="AO18" s="237" t="e">
        <f t="shared" si="15"/>
        <v>#REF!</v>
      </c>
      <c r="AP18" s="237">
        <f t="shared" si="15"/>
        <v>6048.8586787442127</v>
      </c>
      <c r="AQ18" s="237" t="e">
        <f t="shared" si="15"/>
        <v>#REF!</v>
      </c>
      <c r="AR18" s="237" t="e">
        <f t="shared" si="15"/>
        <v>#REF!</v>
      </c>
      <c r="AS18" s="237" t="e">
        <f t="shared" si="15"/>
        <v>#REF!</v>
      </c>
      <c r="AT18" s="237" t="e">
        <f t="shared" si="15"/>
        <v>#REF!</v>
      </c>
      <c r="AU18" s="237">
        <f t="shared" si="15"/>
        <v>6494.4791647988786</v>
      </c>
      <c r="AV18" s="237" t="e">
        <f t="shared" si="15"/>
        <v>#REF!</v>
      </c>
      <c r="AW18" s="237" t="e">
        <f t="shared" si="15"/>
        <v>#REF!</v>
      </c>
      <c r="AX18" s="237" t="e">
        <f t="shared" si="15"/>
        <v>#REF!</v>
      </c>
      <c r="AY18" s="237" t="e">
        <f t="shared" si="15"/>
        <v>#REF!</v>
      </c>
      <c r="AZ18" s="237">
        <f t="shared" si="15"/>
        <v>6632.5535836571435</v>
      </c>
      <c r="BA18" s="237" t="e">
        <f t="shared" si="15"/>
        <v>#REF!</v>
      </c>
      <c r="BB18" s="237" t="e">
        <f t="shared" si="15"/>
        <v>#REF!</v>
      </c>
      <c r="BC18" s="237" t="e">
        <f t="shared" si="15"/>
        <v>#REF!</v>
      </c>
      <c r="BD18" s="237" t="e">
        <f t="shared" si="15"/>
        <v>#REF!</v>
      </c>
      <c r="BE18" s="237">
        <f t="shared" si="15"/>
        <v>6657.9184993451327</v>
      </c>
      <c r="BF18" s="10"/>
      <c r="BG18" s="10"/>
      <c r="BH18" s="10"/>
      <c r="BI18" s="10"/>
      <c r="BJ18" s="10"/>
      <c r="BK18" s="2"/>
      <c r="BL18" s="2"/>
      <c r="BM18" s="2"/>
      <c r="BN18" s="2"/>
      <c r="BO18" s="2"/>
      <c r="BP18" s="2"/>
      <c r="BQ18" s="2"/>
    </row>
    <row r="19" spans="1:69" ht="9.75" customHeight="1" x14ac:dyDescent="0.1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96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2"/>
      <c r="BL19" s="2"/>
      <c r="BM19" s="2"/>
      <c r="BN19" s="2"/>
      <c r="BO19" s="2"/>
      <c r="BP19" s="2"/>
      <c r="BQ19" s="2"/>
    </row>
    <row r="20" spans="1:69" ht="9.75" customHeight="1" x14ac:dyDescent="0.15">
      <c r="A20" s="10"/>
      <c r="B20" s="10" t="s">
        <v>487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96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2"/>
      <c r="BL20" s="2"/>
      <c r="BM20" s="2"/>
      <c r="BN20" s="2"/>
      <c r="BO20" s="383" t="s">
        <v>478</v>
      </c>
      <c r="BP20" s="2"/>
      <c r="BQ20" s="2"/>
    </row>
    <row r="21" spans="1:69" ht="9.75" customHeight="1" x14ac:dyDescent="0.15">
      <c r="A21" s="10"/>
      <c r="B21" s="10" t="s">
        <v>488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96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2"/>
      <c r="BL21" s="2"/>
      <c r="BM21" s="2"/>
      <c r="BN21" s="2"/>
      <c r="BO21" s="2"/>
      <c r="BP21" s="2"/>
      <c r="BQ21" s="2"/>
    </row>
    <row r="22" spans="1:69" ht="9.75" customHeight="1" x14ac:dyDescent="0.1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96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58" t="s">
        <v>489</v>
      </c>
      <c r="BG22" s="10"/>
      <c r="BH22" s="10"/>
      <c r="BI22" s="10"/>
      <c r="BJ22" s="2"/>
      <c r="BK22" s="2"/>
      <c r="BL22" s="384">
        <f>AZ40</f>
        <v>311.68790558959239</v>
      </c>
      <c r="BM22" s="385">
        <f t="shared" ref="BM22:BN22" si="16">BN22-0.01</f>
        <v>4.0299999999999996E-2</v>
      </c>
      <c r="BN22" s="385">
        <f t="shared" si="16"/>
        <v>5.0299999999999997E-2</v>
      </c>
      <c r="BO22" s="385">
        <v>6.0299999999999999E-2</v>
      </c>
      <c r="BP22" s="385">
        <f t="shared" ref="BP22:BQ22" si="17">BO22+0.01</f>
        <v>7.0300000000000001E-2</v>
      </c>
      <c r="BQ22" s="386">
        <f t="shared" si="17"/>
        <v>8.0299999999999996E-2</v>
      </c>
    </row>
    <row r="23" spans="1:69" ht="9.75" customHeight="1" x14ac:dyDescent="0.15">
      <c r="A23" s="10"/>
      <c r="B23" s="10" t="s">
        <v>490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96"/>
      <c r="AB23" s="10"/>
      <c r="AC23" s="10"/>
      <c r="AD23" s="10"/>
      <c r="AE23" s="10"/>
      <c r="AF23" s="55">
        <f t="shared" ref="AF23:BE23" si="18">AF18</f>
        <v>5037.0522212192891</v>
      </c>
      <c r="AG23" s="55" t="e">
        <f t="shared" si="18"/>
        <v>#REF!</v>
      </c>
      <c r="AH23" s="55" t="e">
        <f t="shared" si="18"/>
        <v>#REF!</v>
      </c>
      <c r="AI23" s="55" t="e">
        <f t="shared" si="18"/>
        <v>#REF!</v>
      </c>
      <c r="AJ23" s="55" t="e">
        <f t="shared" si="18"/>
        <v>#REF!</v>
      </c>
      <c r="AK23" s="55">
        <f t="shared" si="18"/>
        <v>5861.9578012890343</v>
      </c>
      <c r="AL23" s="55" t="e">
        <f t="shared" si="18"/>
        <v>#REF!</v>
      </c>
      <c r="AM23" s="55" t="e">
        <f t="shared" si="18"/>
        <v>#REF!</v>
      </c>
      <c r="AN23" s="55" t="e">
        <f t="shared" si="18"/>
        <v>#REF!</v>
      </c>
      <c r="AO23" s="55" t="e">
        <f t="shared" si="18"/>
        <v>#REF!</v>
      </c>
      <c r="AP23" s="55">
        <f t="shared" si="18"/>
        <v>6048.8586787442127</v>
      </c>
      <c r="AQ23" s="55" t="e">
        <f t="shared" si="18"/>
        <v>#REF!</v>
      </c>
      <c r="AR23" s="55" t="e">
        <f t="shared" si="18"/>
        <v>#REF!</v>
      </c>
      <c r="AS23" s="55" t="e">
        <f t="shared" si="18"/>
        <v>#REF!</v>
      </c>
      <c r="AT23" s="55" t="e">
        <f t="shared" si="18"/>
        <v>#REF!</v>
      </c>
      <c r="AU23" s="55">
        <f t="shared" si="18"/>
        <v>6494.4791647988786</v>
      </c>
      <c r="AV23" s="55" t="e">
        <f t="shared" si="18"/>
        <v>#REF!</v>
      </c>
      <c r="AW23" s="55" t="e">
        <f t="shared" si="18"/>
        <v>#REF!</v>
      </c>
      <c r="AX23" s="55" t="e">
        <f t="shared" si="18"/>
        <v>#REF!</v>
      </c>
      <c r="AY23" s="55" t="e">
        <f t="shared" si="18"/>
        <v>#REF!</v>
      </c>
      <c r="AZ23" s="55">
        <f t="shared" si="18"/>
        <v>6632.5535836571435</v>
      </c>
      <c r="BA23" s="55" t="e">
        <f t="shared" si="18"/>
        <v>#REF!</v>
      </c>
      <c r="BB23" s="55" t="e">
        <f t="shared" si="18"/>
        <v>#REF!</v>
      </c>
      <c r="BC23" s="55" t="e">
        <f t="shared" si="18"/>
        <v>#REF!</v>
      </c>
      <c r="BD23" s="55" t="e">
        <f t="shared" si="18"/>
        <v>#REF!</v>
      </c>
      <c r="BE23" s="55">
        <f t="shared" si="18"/>
        <v>6657.9184993451327</v>
      </c>
      <c r="BF23" s="97">
        <f>(BE18*(1+Q57))/(Q59-Q57)</f>
        <v>272348.22099636553</v>
      </c>
      <c r="BG23" s="10"/>
      <c r="BH23" s="10"/>
      <c r="BI23" s="10"/>
      <c r="BJ23" s="10"/>
      <c r="BK23" s="2"/>
      <c r="BL23" s="46">
        <f t="shared" ref="BL23:BL24" si="19">BL24-1</f>
        <v>34.01</v>
      </c>
      <c r="BM23" s="388">
        <v>334.01614705383389</v>
      </c>
      <c r="BN23" s="389">
        <v>315.69465676589391</v>
      </c>
      <c r="BO23" s="389">
        <v>298.44656219173106</v>
      </c>
      <c r="BP23" s="389">
        <v>282.19909511687047</v>
      </c>
      <c r="BQ23" s="390">
        <v>266.88505394786625</v>
      </c>
    </row>
    <row r="24" spans="1:69" ht="9.75" customHeight="1" x14ac:dyDescent="0.15">
      <c r="A24" s="10"/>
      <c r="B24" s="10" t="s">
        <v>491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96"/>
      <c r="AB24" s="10"/>
      <c r="AC24" s="10"/>
      <c r="AD24" s="10"/>
      <c r="AE24" s="10"/>
      <c r="AF24" s="55">
        <f t="shared" ref="AF24:BE24" si="20">AF18</f>
        <v>5037.0522212192891</v>
      </c>
      <c r="AG24" s="55" t="e">
        <f t="shared" si="20"/>
        <v>#REF!</v>
      </c>
      <c r="AH24" s="55" t="e">
        <f t="shared" si="20"/>
        <v>#REF!</v>
      </c>
      <c r="AI24" s="55" t="e">
        <f t="shared" si="20"/>
        <v>#REF!</v>
      </c>
      <c r="AJ24" s="55" t="e">
        <f t="shared" si="20"/>
        <v>#REF!</v>
      </c>
      <c r="AK24" s="55">
        <f t="shared" si="20"/>
        <v>5861.9578012890343</v>
      </c>
      <c r="AL24" s="55" t="e">
        <f t="shared" si="20"/>
        <v>#REF!</v>
      </c>
      <c r="AM24" s="55" t="e">
        <f t="shared" si="20"/>
        <v>#REF!</v>
      </c>
      <c r="AN24" s="55" t="e">
        <f t="shared" si="20"/>
        <v>#REF!</v>
      </c>
      <c r="AO24" s="55" t="e">
        <f t="shared" si="20"/>
        <v>#REF!</v>
      </c>
      <c r="AP24" s="55">
        <f t="shared" si="20"/>
        <v>6048.8586787442127</v>
      </c>
      <c r="AQ24" s="55" t="e">
        <f t="shared" si="20"/>
        <v>#REF!</v>
      </c>
      <c r="AR24" s="55" t="e">
        <f t="shared" si="20"/>
        <v>#REF!</v>
      </c>
      <c r="AS24" s="55" t="e">
        <f t="shared" si="20"/>
        <v>#REF!</v>
      </c>
      <c r="AT24" s="55" t="e">
        <f t="shared" si="20"/>
        <v>#REF!</v>
      </c>
      <c r="AU24" s="55">
        <f t="shared" si="20"/>
        <v>6494.4791647988786</v>
      </c>
      <c r="AV24" s="55" t="e">
        <f t="shared" si="20"/>
        <v>#REF!</v>
      </c>
      <c r="AW24" s="55" t="e">
        <f t="shared" si="20"/>
        <v>#REF!</v>
      </c>
      <c r="AX24" s="55" t="e">
        <f t="shared" si="20"/>
        <v>#REF!</v>
      </c>
      <c r="AY24" s="55" t="e">
        <f t="shared" si="20"/>
        <v>#REF!</v>
      </c>
      <c r="AZ24" s="55">
        <f t="shared" si="20"/>
        <v>6632.5535836571435</v>
      </c>
      <c r="BA24" s="55" t="e">
        <f t="shared" si="20"/>
        <v>#REF!</v>
      </c>
      <c r="BB24" s="55" t="e">
        <f t="shared" si="20"/>
        <v>#REF!</v>
      </c>
      <c r="BC24" s="55" t="e">
        <f t="shared" si="20"/>
        <v>#REF!</v>
      </c>
      <c r="BD24" s="55" t="e">
        <f t="shared" si="20"/>
        <v>#REF!</v>
      </c>
      <c r="BE24" s="55">
        <f t="shared" si="20"/>
        <v>6657.9184993451327</v>
      </c>
      <c r="BF24" s="97">
        <f>Q58*'AFFO Calculation'!J24</f>
        <v>216291.81257113811</v>
      </c>
      <c r="BG24" s="10"/>
      <c r="BH24" s="10"/>
      <c r="BI24" s="10"/>
      <c r="BJ24" s="10"/>
      <c r="BK24" s="2"/>
      <c r="BL24" s="47">
        <f t="shared" si="19"/>
        <v>35.01</v>
      </c>
      <c r="BM24" s="130">
        <v>343.49611745919992</v>
      </c>
      <c r="BN24" s="388">
        <v>324.68871640603754</v>
      </c>
      <c r="BO24" s="389">
        <v>306.98387286082067</v>
      </c>
      <c r="BP24" s="390">
        <v>290.30681775789111</v>
      </c>
      <c r="BQ24" s="247">
        <v>274.58850282431314</v>
      </c>
    </row>
    <row r="25" spans="1:69" ht="9.75" customHeight="1" x14ac:dyDescent="0.1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96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 t="s">
        <v>419</v>
      </c>
      <c r="BL25" s="47">
        <v>36.01</v>
      </c>
      <c r="BM25" s="130">
        <v>352.97608786456595</v>
      </c>
      <c r="BN25" s="130">
        <v>333.68277604618112</v>
      </c>
      <c r="BO25" s="398">
        <v>315.52118352991027</v>
      </c>
      <c r="BP25" s="247">
        <v>298.41454039891175</v>
      </c>
      <c r="BQ25" s="247">
        <v>282.29195170076002</v>
      </c>
    </row>
    <row r="26" spans="1:69" ht="9.75" customHeight="1" x14ac:dyDescent="0.15">
      <c r="A26" s="10"/>
      <c r="B26" s="68" t="s">
        <v>492</v>
      </c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399"/>
      <c r="AB26" s="236"/>
      <c r="AC26" s="236"/>
      <c r="AD26" s="236"/>
      <c r="AE26" s="236"/>
      <c r="AF26" s="400">
        <f t="shared" ref="AF26:BD26" si="21">-PV($Q$59,AF30,,AF23,0)</f>
        <v>4891.7208971512546</v>
      </c>
      <c r="AG26" s="400" t="e">
        <f t="shared" si="21"/>
        <v>#REF!</v>
      </c>
      <c r="AH26" s="400" t="e">
        <f t="shared" si="21"/>
        <v>#REF!</v>
      </c>
      <c r="AI26" s="400" t="e">
        <f t="shared" si="21"/>
        <v>#REF!</v>
      </c>
      <c r="AJ26" s="400" t="e">
        <f t="shared" si="21"/>
        <v>#REF!</v>
      </c>
      <c r="AK26" s="400">
        <f t="shared" si="21"/>
        <v>5369.0609883541792</v>
      </c>
      <c r="AL26" s="400" t="e">
        <f t="shared" si="21"/>
        <v>#REF!</v>
      </c>
      <c r="AM26" s="400" t="e">
        <f t="shared" si="21"/>
        <v>#REF!</v>
      </c>
      <c r="AN26" s="400" t="e">
        <f t="shared" si="21"/>
        <v>#REF!</v>
      </c>
      <c r="AO26" s="400" t="e">
        <f t="shared" si="21"/>
        <v>#REF!</v>
      </c>
      <c r="AP26" s="400">
        <f t="shared" si="21"/>
        <v>5225.1591220011223</v>
      </c>
      <c r="AQ26" s="400" t="e">
        <f t="shared" si="21"/>
        <v>#REF!</v>
      </c>
      <c r="AR26" s="400" t="e">
        <f t="shared" si="21"/>
        <v>#REF!</v>
      </c>
      <c r="AS26" s="400" t="e">
        <f t="shared" si="21"/>
        <v>#REF!</v>
      </c>
      <c r="AT26" s="400" t="e">
        <f t="shared" si="21"/>
        <v>#REF!</v>
      </c>
      <c r="AU26" s="400">
        <f t="shared" si="21"/>
        <v>5291.0375459320185</v>
      </c>
      <c r="AV26" s="400" t="e">
        <f t="shared" si="21"/>
        <v>#REF!</v>
      </c>
      <c r="AW26" s="400" t="e">
        <f t="shared" si="21"/>
        <v>#REF!</v>
      </c>
      <c r="AX26" s="400" t="e">
        <f t="shared" si="21"/>
        <v>#REF!</v>
      </c>
      <c r="AY26" s="400" t="e">
        <f t="shared" si="21"/>
        <v>#REF!</v>
      </c>
      <c r="AZ26" s="400">
        <f t="shared" si="21"/>
        <v>5096.2146946049425</v>
      </c>
      <c r="BA26" s="400" t="e">
        <f t="shared" si="21"/>
        <v>#REF!</v>
      </c>
      <c r="BB26" s="400" t="e">
        <f t="shared" si="21"/>
        <v>#REF!</v>
      </c>
      <c r="BC26" s="400" t="e">
        <f t="shared" si="21"/>
        <v>#REF!</v>
      </c>
      <c r="BD26" s="400" t="e">
        <f t="shared" si="21"/>
        <v>#REF!</v>
      </c>
      <c r="BE26" s="400">
        <f>-PV($Q$59,BE30,,BE23+BF23,0)</f>
        <v>202186.02844491441</v>
      </c>
      <c r="BF26" s="10"/>
      <c r="BG26" s="10"/>
      <c r="BH26" s="10"/>
      <c r="BI26" s="10"/>
      <c r="BJ26" s="10"/>
      <c r="BK26" s="2"/>
      <c r="BL26" s="47">
        <f t="shared" ref="BL26:BL27" si="22">BL25+1</f>
        <v>37.01</v>
      </c>
      <c r="BM26" s="130">
        <v>362.45605826993204</v>
      </c>
      <c r="BN26" s="393">
        <v>342.67683568632475</v>
      </c>
      <c r="BO26" s="394">
        <v>324.05849419899982</v>
      </c>
      <c r="BP26" s="395">
        <v>306.52226303993251</v>
      </c>
      <c r="BQ26" s="247">
        <v>289.99540057720685</v>
      </c>
    </row>
    <row r="27" spans="1:69" ht="9.75" customHeight="1" x14ac:dyDescent="0.15">
      <c r="A27" s="10"/>
      <c r="B27" s="255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96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2"/>
      <c r="BL27" s="401">
        <f t="shared" si="22"/>
        <v>38.01</v>
      </c>
      <c r="BM27" s="393">
        <v>371.93602867529813</v>
      </c>
      <c r="BN27" s="394">
        <v>351.67089532646833</v>
      </c>
      <c r="BO27" s="394">
        <v>332.59580486808954</v>
      </c>
      <c r="BP27" s="394">
        <v>314.62998568095315</v>
      </c>
      <c r="BQ27" s="395">
        <v>297.69884945365374</v>
      </c>
    </row>
    <row r="28" spans="1:69" ht="9.75" customHeight="1" x14ac:dyDescent="0.15">
      <c r="A28" s="10"/>
      <c r="B28" s="68" t="s">
        <v>493</v>
      </c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399"/>
      <c r="AB28" s="236"/>
      <c r="AC28" s="236"/>
      <c r="AD28" s="236"/>
      <c r="AE28" s="236"/>
      <c r="AF28" s="400">
        <f t="shared" ref="AF28:BD28" si="23">-PV($Q$59,AF30,,AF24,0)</f>
        <v>4891.7208971512546</v>
      </c>
      <c r="AG28" s="400" t="e">
        <f t="shared" si="23"/>
        <v>#REF!</v>
      </c>
      <c r="AH28" s="400" t="e">
        <f t="shared" si="23"/>
        <v>#REF!</v>
      </c>
      <c r="AI28" s="400" t="e">
        <f t="shared" si="23"/>
        <v>#REF!</v>
      </c>
      <c r="AJ28" s="400" t="e">
        <f t="shared" si="23"/>
        <v>#REF!</v>
      </c>
      <c r="AK28" s="400">
        <f t="shared" si="23"/>
        <v>5369.0609883541792</v>
      </c>
      <c r="AL28" s="400" t="e">
        <f t="shared" si="23"/>
        <v>#REF!</v>
      </c>
      <c r="AM28" s="400" t="e">
        <f t="shared" si="23"/>
        <v>#REF!</v>
      </c>
      <c r="AN28" s="400" t="e">
        <f t="shared" si="23"/>
        <v>#REF!</v>
      </c>
      <c r="AO28" s="400" t="e">
        <f t="shared" si="23"/>
        <v>#REF!</v>
      </c>
      <c r="AP28" s="400">
        <f t="shared" si="23"/>
        <v>5225.1591220011223</v>
      </c>
      <c r="AQ28" s="400" t="e">
        <f t="shared" si="23"/>
        <v>#REF!</v>
      </c>
      <c r="AR28" s="400" t="e">
        <f t="shared" si="23"/>
        <v>#REF!</v>
      </c>
      <c r="AS28" s="400" t="e">
        <f t="shared" si="23"/>
        <v>#REF!</v>
      </c>
      <c r="AT28" s="400" t="e">
        <f t="shared" si="23"/>
        <v>#REF!</v>
      </c>
      <c r="AU28" s="400">
        <f t="shared" si="23"/>
        <v>5291.0375459320185</v>
      </c>
      <c r="AV28" s="400" t="e">
        <f t="shared" si="23"/>
        <v>#REF!</v>
      </c>
      <c r="AW28" s="400" t="e">
        <f t="shared" si="23"/>
        <v>#REF!</v>
      </c>
      <c r="AX28" s="400" t="e">
        <f t="shared" si="23"/>
        <v>#REF!</v>
      </c>
      <c r="AY28" s="400" t="e">
        <f t="shared" si="23"/>
        <v>#REF!</v>
      </c>
      <c r="AZ28" s="400">
        <f t="shared" si="23"/>
        <v>5096.2146946049425</v>
      </c>
      <c r="BA28" s="400" t="e">
        <f t="shared" si="23"/>
        <v>#REF!</v>
      </c>
      <c r="BB28" s="400" t="e">
        <f t="shared" si="23"/>
        <v>#REF!</v>
      </c>
      <c r="BC28" s="400" t="e">
        <f t="shared" si="23"/>
        <v>#REF!</v>
      </c>
      <c r="BD28" s="400" t="e">
        <f t="shared" si="23"/>
        <v>#REF!</v>
      </c>
      <c r="BE28" s="400">
        <f>-PV($Q$59,BE30,,BE24+BF24,0)</f>
        <v>161563.90231941739</v>
      </c>
      <c r="BF28" s="10"/>
      <c r="BG28" s="10"/>
      <c r="BH28" s="10"/>
      <c r="BI28" s="10"/>
      <c r="BJ28" s="10"/>
      <c r="BK28" s="2"/>
      <c r="BL28" s="2"/>
      <c r="BM28" s="2"/>
      <c r="BN28" s="2"/>
      <c r="BO28" s="2"/>
      <c r="BP28" s="2"/>
      <c r="BQ28" s="2"/>
    </row>
    <row r="29" spans="1:69" ht="9.75" customHeight="1" x14ac:dyDescent="0.15">
      <c r="A29" s="10"/>
      <c r="B29" s="58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96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2"/>
      <c r="BL29" s="2"/>
      <c r="BM29" s="2"/>
      <c r="BN29" s="2"/>
      <c r="BO29" s="2"/>
      <c r="BP29" s="2"/>
      <c r="BQ29" s="2"/>
    </row>
    <row r="30" spans="1:69" ht="9.75" customHeight="1" x14ac:dyDescent="0.15">
      <c r="A30" s="10"/>
      <c r="B30" s="10" t="s">
        <v>494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96"/>
      <c r="AB30" s="10"/>
      <c r="AC30" s="10"/>
      <c r="AD30" s="10"/>
      <c r="AE30" s="10"/>
      <c r="AF30" s="402">
        <v>0.5</v>
      </c>
      <c r="AG30" s="10"/>
      <c r="AH30" s="10"/>
      <c r="AI30" s="10"/>
      <c r="AJ30" s="10"/>
      <c r="AK30" s="131">
        <f t="shared" ref="AK30:BE30" si="24">AF30+1</f>
        <v>1.5</v>
      </c>
      <c r="AL30" s="131">
        <f t="shared" si="24"/>
        <v>1</v>
      </c>
      <c r="AM30" s="131">
        <f t="shared" si="24"/>
        <v>1</v>
      </c>
      <c r="AN30" s="131">
        <f t="shared" si="24"/>
        <v>1</v>
      </c>
      <c r="AO30" s="131">
        <f t="shared" si="24"/>
        <v>1</v>
      </c>
      <c r="AP30" s="131">
        <f t="shared" si="24"/>
        <v>2.5</v>
      </c>
      <c r="AQ30" s="131">
        <f t="shared" si="24"/>
        <v>2</v>
      </c>
      <c r="AR30" s="131">
        <f t="shared" si="24"/>
        <v>2</v>
      </c>
      <c r="AS30" s="131">
        <f t="shared" si="24"/>
        <v>2</v>
      </c>
      <c r="AT30" s="131">
        <f t="shared" si="24"/>
        <v>2</v>
      </c>
      <c r="AU30" s="131">
        <f t="shared" si="24"/>
        <v>3.5</v>
      </c>
      <c r="AV30" s="131">
        <f t="shared" si="24"/>
        <v>3</v>
      </c>
      <c r="AW30" s="131">
        <f t="shared" si="24"/>
        <v>3</v>
      </c>
      <c r="AX30" s="131">
        <f t="shared" si="24"/>
        <v>3</v>
      </c>
      <c r="AY30" s="131">
        <f t="shared" si="24"/>
        <v>3</v>
      </c>
      <c r="AZ30" s="131">
        <f t="shared" si="24"/>
        <v>4.5</v>
      </c>
      <c r="BA30" s="131">
        <f t="shared" si="24"/>
        <v>4</v>
      </c>
      <c r="BB30" s="131">
        <f t="shared" si="24"/>
        <v>4</v>
      </c>
      <c r="BC30" s="131">
        <f t="shared" si="24"/>
        <v>4</v>
      </c>
      <c r="BD30" s="131">
        <f t="shared" si="24"/>
        <v>4</v>
      </c>
      <c r="BE30" s="131">
        <f t="shared" si="24"/>
        <v>5.5</v>
      </c>
      <c r="BF30" s="10"/>
      <c r="BG30" s="10"/>
      <c r="BH30" s="10"/>
      <c r="BI30" s="10"/>
      <c r="BJ30" s="10"/>
      <c r="BK30" s="2"/>
      <c r="BL30" s="2"/>
      <c r="BM30" s="2"/>
      <c r="BN30" s="2"/>
      <c r="BO30" s="2"/>
      <c r="BP30" s="2"/>
      <c r="BQ30" s="2"/>
    </row>
    <row r="31" spans="1:69" ht="9.75" customHeight="1" x14ac:dyDescent="0.15">
      <c r="A31" s="10"/>
      <c r="B31" s="10"/>
      <c r="C31" s="58"/>
      <c r="D31" s="59">
        <f t="shared" ref="D31:K31" si="25">D18+D24</f>
        <v>0</v>
      </c>
      <c r="E31" s="59">
        <f t="shared" si="25"/>
        <v>0</v>
      </c>
      <c r="F31" s="59">
        <f t="shared" si="25"/>
        <v>0</v>
      </c>
      <c r="G31" s="59">
        <f t="shared" si="25"/>
        <v>0</v>
      </c>
      <c r="H31" s="59">
        <f t="shared" si="25"/>
        <v>0</v>
      </c>
      <c r="I31" s="59">
        <f t="shared" si="25"/>
        <v>0</v>
      </c>
      <c r="J31" s="59">
        <f t="shared" si="25"/>
        <v>0</v>
      </c>
      <c r="K31" s="59">
        <f t="shared" si="25"/>
        <v>0</v>
      </c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10"/>
      <c r="BG31" s="10"/>
      <c r="BH31" s="10"/>
      <c r="BI31" s="10"/>
      <c r="BJ31" s="10"/>
      <c r="BK31" s="2"/>
      <c r="BL31" s="2"/>
      <c r="BM31" s="2"/>
      <c r="BN31" s="2"/>
      <c r="BO31" s="2"/>
      <c r="BP31" s="2"/>
      <c r="BQ31" s="2"/>
    </row>
    <row r="32" spans="1:69" ht="9.75" customHeight="1" x14ac:dyDescent="0.15">
      <c r="A32" s="10"/>
      <c r="B32" s="10"/>
      <c r="C32" s="10"/>
      <c r="D32" s="236"/>
      <c r="E32" s="236"/>
      <c r="F32" s="236"/>
      <c r="G32" s="236"/>
      <c r="H32" s="236"/>
      <c r="I32" s="236"/>
      <c r="J32" s="236"/>
      <c r="K32" s="236"/>
      <c r="L32" s="68" t="s">
        <v>495</v>
      </c>
      <c r="M32" s="236"/>
      <c r="N32" s="236"/>
      <c r="O32" s="236"/>
      <c r="P32" s="236"/>
      <c r="Q32" s="68" t="s">
        <v>496</v>
      </c>
      <c r="R32" s="236"/>
      <c r="S32" s="236"/>
      <c r="T32" s="236"/>
      <c r="U32" s="236"/>
      <c r="V32" s="236"/>
      <c r="W32" s="236"/>
      <c r="X32" s="236"/>
      <c r="Y32" s="236"/>
      <c r="Z32" s="236"/>
      <c r="AA32" s="399"/>
      <c r="AB32" s="236"/>
      <c r="AC32" s="236"/>
      <c r="AD32" s="236"/>
      <c r="AE32" s="236"/>
      <c r="AF32" s="10"/>
      <c r="AG32" s="236"/>
      <c r="AH32" s="236"/>
      <c r="AI32" s="236"/>
      <c r="AJ32" s="236"/>
      <c r="AK32" s="68" t="s">
        <v>497</v>
      </c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399"/>
      <c r="BA32" s="236"/>
      <c r="BB32" s="236"/>
      <c r="BC32" s="236"/>
      <c r="BD32" s="236"/>
      <c r="BE32" s="10"/>
      <c r="BF32" s="10"/>
      <c r="BG32" s="10"/>
      <c r="BH32" s="10"/>
      <c r="BI32" s="10"/>
      <c r="BJ32" s="10"/>
      <c r="BK32" s="2"/>
      <c r="BL32" s="2"/>
      <c r="BM32" s="2"/>
      <c r="BN32" s="2"/>
      <c r="BO32" s="2"/>
      <c r="BP32" s="2"/>
      <c r="BQ32" s="2"/>
    </row>
    <row r="33" spans="1:62" ht="9.75" customHeight="1" x14ac:dyDescent="0.1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403"/>
      <c r="M33" s="10"/>
      <c r="N33" s="10"/>
      <c r="O33" s="10"/>
      <c r="P33" s="10"/>
      <c r="Q33" s="45"/>
      <c r="R33" s="10"/>
      <c r="S33" s="10"/>
      <c r="T33" s="10"/>
      <c r="U33" s="10"/>
      <c r="V33" s="10"/>
      <c r="W33" s="10"/>
      <c r="X33" s="10"/>
      <c r="Y33" s="10"/>
      <c r="Z33" s="10"/>
      <c r="AA33" s="196"/>
      <c r="AB33" s="10"/>
      <c r="AC33" s="10"/>
      <c r="AD33" s="10"/>
      <c r="AE33" s="10"/>
      <c r="AF33" s="10"/>
      <c r="AG33" s="10"/>
      <c r="AH33" s="10"/>
      <c r="AI33" s="10"/>
      <c r="AJ33" s="10"/>
      <c r="AK33" s="45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96"/>
      <c r="BA33" s="10"/>
      <c r="BB33" s="10"/>
      <c r="BC33" s="10"/>
      <c r="BD33" s="10"/>
      <c r="BE33" s="10"/>
      <c r="BF33" s="10"/>
      <c r="BG33" s="10"/>
      <c r="BH33" s="10"/>
      <c r="BI33" s="10"/>
      <c r="BJ33" s="10"/>
    </row>
    <row r="34" spans="1:62" ht="9.75" customHeight="1" x14ac:dyDescent="0.1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45" t="s">
        <v>498</v>
      </c>
      <c r="M34" s="10"/>
      <c r="N34" s="10"/>
      <c r="O34" s="10"/>
      <c r="P34" s="10"/>
      <c r="Q34" s="45" t="s">
        <v>498</v>
      </c>
      <c r="R34" s="10"/>
      <c r="S34" s="10"/>
      <c r="T34" s="10"/>
      <c r="U34" s="10"/>
      <c r="V34" s="10"/>
      <c r="W34" s="10"/>
      <c r="X34" s="10"/>
      <c r="Y34" s="10"/>
      <c r="Z34" s="10"/>
      <c r="AA34" s="404">
        <f>SUM(AF26,AK26,AP26,AU26,AZ26,BE26)</f>
        <v>228059.22169295792</v>
      </c>
      <c r="AB34" s="10"/>
      <c r="AC34" s="10"/>
      <c r="AD34" s="10"/>
      <c r="AE34" s="10"/>
      <c r="AF34" s="10"/>
      <c r="AG34" s="10"/>
      <c r="AH34" s="10"/>
      <c r="AI34" s="10"/>
      <c r="AJ34" s="10"/>
      <c r="AK34" s="45" t="s">
        <v>498</v>
      </c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404">
        <f>SUM(AF28,AK28,AP28,AU28,AZ28,BE28)</f>
        <v>187437.0955674609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</row>
    <row r="35" spans="1:62" ht="9.75" customHeight="1" x14ac:dyDescent="0.1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45" t="s">
        <v>499</v>
      </c>
      <c r="M35" s="10"/>
      <c r="N35" s="10"/>
      <c r="O35" s="10"/>
      <c r="P35" s="10"/>
      <c r="Q35" s="45" t="s">
        <v>499</v>
      </c>
      <c r="R35" s="10"/>
      <c r="S35" s="10"/>
      <c r="T35" s="10"/>
      <c r="U35" s="10"/>
      <c r="V35" s="10"/>
      <c r="W35" s="10"/>
      <c r="X35" s="10"/>
      <c r="Y35" s="10"/>
      <c r="Z35" s="10"/>
      <c r="AA35" s="244">
        <f>'Balance Sheet'!AA33+'Balance Sheet'!AA36</f>
        <v>29287.5</v>
      </c>
      <c r="AB35" s="10"/>
      <c r="AC35" s="10"/>
      <c r="AD35" s="10"/>
      <c r="AE35" s="10"/>
      <c r="AF35" s="10"/>
      <c r="AG35" s="10"/>
      <c r="AH35" s="10"/>
      <c r="AI35" s="10"/>
      <c r="AJ35" s="10"/>
      <c r="AK35" s="45" t="s">
        <v>499</v>
      </c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244">
        <f>'Balance Sheet'!AA33+'Balance Sheet'!AA36</f>
        <v>29287.5</v>
      </c>
      <c r="BA35" s="10"/>
      <c r="BB35" s="10"/>
      <c r="BC35" s="10"/>
      <c r="BD35" s="10"/>
      <c r="BE35" s="10"/>
      <c r="BF35" s="10"/>
      <c r="BG35" s="10"/>
      <c r="BH35" s="10"/>
      <c r="BI35" s="10"/>
      <c r="BJ35" s="10"/>
    </row>
    <row r="36" spans="1:62" ht="9.75" customHeight="1" x14ac:dyDescent="0.1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45" t="s">
        <v>500</v>
      </c>
      <c r="M36" s="10"/>
      <c r="N36" s="10"/>
      <c r="O36" s="10"/>
      <c r="P36" s="10"/>
      <c r="Q36" s="45" t="s">
        <v>500</v>
      </c>
      <c r="R36" s="10"/>
      <c r="S36" s="10"/>
      <c r="T36" s="10"/>
      <c r="U36" s="10"/>
      <c r="V36" s="10"/>
      <c r="W36" s="10"/>
      <c r="X36" s="10"/>
      <c r="Y36" s="10"/>
      <c r="Z36" s="10"/>
      <c r="AA36" s="405">
        <f>'Balance Sheet'!AA10</f>
        <v>1746.3</v>
      </c>
      <c r="AB36" s="10"/>
      <c r="AC36" s="10"/>
      <c r="AD36" s="10"/>
      <c r="AE36" s="10"/>
      <c r="AF36" s="2"/>
      <c r="AG36" s="10"/>
      <c r="AH36" s="10"/>
      <c r="AI36" s="10"/>
      <c r="AJ36" s="10"/>
      <c r="AK36" s="45" t="s">
        <v>500</v>
      </c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244">
        <f>'Balance Sheet'!AA10</f>
        <v>1746.3</v>
      </c>
      <c r="BA36" s="10"/>
      <c r="BB36" s="10"/>
      <c r="BC36" s="10"/>
      <c r="BD36" s="10"/>
      <c r="BE36" s="10"/>
      <c r="BF36" s="10"/>
      <c r="BG36" s="10"/>
      <c r="BH36" s="10"/>
      <c r="BI36" s="10"/>
      <c r="BJ36" s="10"/>
    </row>
    <row r="37" spans="1:62" ht="9.75" customHeight="1" x14ac:dyDescent="0.1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45" t="s">
        <v>501</v>
      </c>
      <c r="M37" s="10"/>
      <c r="N37" s="10"/>
      <c r="O37" s="10"/>
      <c r="P37" s="10"/>
      <c r="Q37" s="45" t="s">
        <v>501</v>
      </c>
      <c r="R37" s="10"/>
      <c r="S37" s="10"/>
      <c r="T37" s="10"/>
      <c r="U37" s="10"/>
      <c r="V37" s="10"/>
      <c r="W37" s="10"/>
      <c r="X37" s="10"/>
      <c r="Y37" s="10"/>
      <c r="Z37" s="10"/>
      <c r="AA37" s="244">
        <f>AA34-AA35+AA36</f>
        <v>200518.0216929579</v>
      </c>
      <c r="AB37" s="10"/>
      <c r="AC37" s="10"/>
      <c r="AD37" s="10"/>
      <c r="AE37" s="10"/>
      <c r="AF37" s="10"/>
      <c r="AG37" s="10"/>
      <c r="AH37" s="10"/>
      <c r="AI37" s="10"/>
      <c r="AJ37" s="10"/>
      <c r="AK37" s="45" t="s">
        <v>501</v>
      </c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406">
        <f>AZ34-AZ35+AZ36</f>
        <v>159895.89556746089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</row>
    <row r="38" spans="1:62" ht="9.75" customHeight="1" x14ac:dyDescent="0.1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45"/>
      <c r="M38" s="10"/>
      <c r="N38" s="10"/>
      <c r="O38" s="10"/>
      <c r="P38" s="10"/>
      <c r="Q38" s="45"/>
      <c r="R38" s="10"/>
      <c r="S38" s="10"/>
      <c r="T38" s="10"/>
      <c r="U38" s="10"/>
      <c r="V38" s="10"/>
      <c r="W38" s="10"/>
      <c r="X38" s="10"/>
      <c r="Y38" s="10"/>
      <c r="Z38" s="10"/>
      <c r="AA38" s="196"/>
      <c r="AB38" s="10"/>
      <c r="AC38" s="10"/>
      <c r="AD38" s="10"/>
      <c r="AE38" s="10"/>
      <c r="AF38" s="10"/>
      <c r="AG38" s="10"/>
      <c r="AH38" s="10"/>
      <c r="AI38" s="10"/>
      <c r="AJ38" s="10"/>
      <c r="AK38" s="45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96"/>
      <c r="BA38" s="10"/>
      <c r="BB38" s="10"/>
      <c r="BC38" s="10"/>
      <c r="BD38" s="10"/>
      <c r="BE38" s="10"/>
      <c r="BF38" s="10"/>
      <c r="BG38" s="10"/>
      <c r="BH38" s="10"/>
      <c r="BI38" s="10"/>
      <c r="BJ38" s="10"/>
    </row>
    <row r="39" spans="1:62" ht="9.75" customHeight="1" x14ac:dyDescent="0.1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45" t="s">
        <v>303</v>
      </c>
      <c r="M39" s="10"/>
      <c r="N39" s="10"/>
      <c r="O39" s="10"/>
      <c r="P39" s="10"/>
      <c r="Q39" s="45" t="s">
        <v>303</v>
      </c>
      <c r="R39" s="10"/>
      <c r="S39" s="10"/>
      <c r="T39" s="10"/>
      <c r="U39" s="10"/>
      <c r="V39" s="10"/>
      <c r="W39" s="10"/>
      <c r="X39" s="10"/>
      <c r="Y39" s="10"/>
      <c r="Z39" s="10"/>
      <c r="AA39" s="56">
        <f>'Comparable Companies'!E7</f>
        <v>513</v>
      </c>
      <c r="AB39" s="10"/>
      <c r="AC39" s="10"/>
      <c r="AD39" s="10"/>
      <c r="AE39" s="10"/>
      <c r="AF39" s="10"/>
      <c r="AG39" s="10"/>
      <c r="AH39" s="10"/>
      <c r="AI39" s="10"/>
      <c r="AJ39" s="10"/>
      <c r="AK39" s="45" t="s">
        <v>303</v>
      </c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96">
        <v>513</v>
      </c>
      <c r="BA39" s="10"/>
      <c r="BB39" s="10"/>
      <c r="BC39" s="10"/>
      <c r="BD39" s="10"/>
      <c r="BE39" s="10"/>
      <c r="BF39" s="10"/>
      <c r="BG39" s="10"/>
      <c r="BH39" s="10"/>
      <c r="BI39" s="10"/>
      <c r="BJ39" s="10"/>
    </row>
    <row r="40" spans="1:62" ht="9.75" customHeight="1" x14ac:dyDescent="0.15">
      <c r="A40" s="10"/>
      <c r="B40" s="10"/>
      <c r="C40" s="10"/>
      <c r="D40" s="236"/>
      <c r="E40" s="236"/>
      <c r="F40" s="236"/>
      <c r="G40" s="236"/>
      <c r="H40" s="236"/>
      <c r="I40" s="236"/>
      <c r="J40" s="236"/>
      <c r="K40" s="236"/>
      <c r="L40" s="407" t="s">
        <v>502</v>
      </c>
      <c r="M40" s="236"/>
      <c r="N40" s="236"/>
      <c r="O40" s="236"/>
      <c r="P40" s="236"/>
      <c r="Q40" s="407" t="s">
        <v>503</v>
      </c>
      <c r="R40" s="236"/>
      <c r="S40" s="236"/>
      <c r="T40" s="236"/>
      <c r="U40" s="236"/>
      <c r="V40" s="236"/>
      <c r="W40" s="236"/>
      <c r="X40" s="236"/>
      <c r="Y40" s="236"/>
      <c r="Z40" s="236"/>
      <c r="AA40" s="408">
        <f>AA37/AA39</f>
        <v>390.87333663344623</v>
      </c>
      <c r="AB40" s="236"/>
      <c r="AC40" s="236"/>
      <c r="AD40" s="236"/>
      <c r="AE40" s="236"/>
      <c r="AF40" s="10"/>
      <c r="AG40" s="236"/>
      <c r="AH40" s="236"/>
      <c r="AI40" s="236"/>
      <c r="AJ40" s="236"/>
      <c r="AK40" s="407" t="s">
        <v>503</v>
      </c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408">
        <f>AZ37/AZ39</f>
        <v>311.68790558959239</v>
      </c>
      <c r="BA40" s="236"/>
      <c r="BB40" s="236"/>
      <c r="BC40" s="236"/>
      <c r="BD40" s="236"/>
      <c r="BE40" s="10"/>
      <c r="BF40" s="10"/>
      <c r="BG40" s="10"/>
      <c r="BH40" s="10"/>
      <c r="BI40" s="10"/>
      <c r="BJ40" s="10"/>
    </row>
    <row r="41" spans="1:62" ht="9.75" customHeight="1" x14ac:dyDescent="0.1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</row>
    <row r="42" spans="1:62" ht="9.75" customHeight="1" x14ac:dyDescent="0.15">
      <c r="A42" s="10"/>
      <c r="B42" s="305" t="s">
        <v>504</v>
      </c>
      <c r="C42" s="305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5"/>
      <c r="Q42" s="305"/>
      <c r="R42" s="305"/>
      <c r="S42" s="305"/>
      <c r="T42" s="305"/>
      <c r="U42" s="305"/>
      <c r="V42" s="305"/>
      <c r="W42" s="305"/>
      <c r="X42" s="305"/>
      <c r="Y42" s="305"/>
      <c r="Z42" s="305"/>
      <c r="AA42" s="305"/>
      <c r="AB42" s="305"/>
      <c r="AC42" s="305"/>
      <c r="AD42" s="305"/>
      <c r="AE42" s="305"/>
      <c r="AF42" s="305"/>
      <c r="AG42" s="305"/>
      <c r="AH42" s="305"/>
      <c r="AI42" s="305"/>
      <c r="AJ42" s="305"/>
      <c r="AK42" s="305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305"/>
      <c r="AY42" s="305"/>
      <c r="AZ42" s="305"/>
      <c r="BA42" s="305"/>
      <c r="BB42" s="305"/>
      <c r="BC42" s="305"/>
      <c r="BD42" s="305"/>
      <c r="BE42" s="305"/>
      <c r="BF42" s="409"/>
      <c r="BG42" s="409"/>
      <c r="BH42" s="409"/>
      <c r="BI42" s="409"/>
      <c r="BJ42" s="409"/>
    </row>
    <row r="43" spans="1:62" ht="9.75" customHeight="1" x14ac:dyDescent="0.15">
      <c r="A43" s="10"/>
      <c r="B43" s="410" t="s">
        <v>505</v>
      </c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399"/>
      <c r="BF43" s="10"/>
      <c r="BG43" s="10"/>
      <c r="BH43" s="10"/>
      <c r="BI43" s="10"/>
      <c r="BJ43" s="10"/>
    </row>
    <row r="44" spans="1:62" ht="9.75" customHeight="1" x14ac:dyDescent="0.1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</row>
    <row r="45" spans="1:62" ht="9.75" customHeight="1" x14ac:dyDescent="0.15">
      <c r="A45" s="10"/>
      <c r="B45" s="10" t="s">
        <v>125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2"/>
      <c r="AB45" s="2"/>
      <c r="AC45" s="2"/>
      <c r="AD45" s="2"/>
      <c r="AE45" s="2"/>
      <c r="AF45" s="2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</row>
    <row r="46" spans="1:62" ht="9.75" customHeight="1" x14ac:dyDescent="0.15">
      <c r="A46" s="10"/>
      <c r="B46" s="10" t="s">
        <v>506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</row>
    <row r="47" spans="1:62" ht="9.75" customHeight="1" x14ac:dyDescent="0.15">
      <c r="A47" s="10"/>
      <c r="B47" s="92" t="s">
        <v>507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</row>
    <row r="48" spans="1:62" ht="9.75" customHeight="1" x14ac:dyDescent="0.15">
      <c r="A48" s="10"/>
      <c r="B48" s="10" t="s">
        <v>508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</row>
    <row r="49" spans="1:62" ht="9.75" customHeight="1" x14ac:dyDescent="0.15">
      <c r="A49" s="10"/>
      <c r="B49" s="92" t="s">
        <v>509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</row>
    <row r="50" spans="1:62" ht="9.75" customHeight="1" x14ac:dyDescent="0.15">
      <c r="A50" s="10"/>
      <c r="B50" s="10" t="s">
        <v>259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</row>
    <row r="51" spans="1:62" ht="9.75" customHeight="1" x14ac:dyDescent="0.15">
      <c r="A51" s="10"/>
      <c r="B51" s="10" t="s">
        <v>510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</row>
    <row r="52" spans="1:62" ht="9.75" customHeight="1" x14ac:dyDescent="0.1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</row>
    <row r="53" spans="1:62" ht="9.75" customHeight="1" x14ac:dyDescent="0.15">
      <c r="A53" s="10"/>
      <c r="B53" s="10" t="s">
        <v>391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2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</row>
    <row r="54" spans="1:62" ht="9.75" customHeight="1" x14ac:dyDescent="0.15">
      <c r="A54" s="10"/>
      <c r="B54" s="10" t="s">
        <v>511</v>
      </c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97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</row>
    <row r="55" spans="1:62" ht="9.75" customHeight="1" x14ac:dyDescent="0.15">
      <c r="A55" s="10"/>
      <c r="B55" s="10" t="s">
        <v>303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</row>
    <row r="56" spans="1:62" ht="9.75" customHeight="1" x14ac:dyDescent="0.1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</row>
    <row r="57" spans="1:62" ht="9.75" customHeight="1" x14ac:dyDescent="0.15">
      <c r="A57" s="10"/>
      <c r="B57" s="411" t="s">
        <v>512</v>
      </c>
      <c r="C57" s="412"/>
      <c r="D57" s="412"/>
      <c r="E57" s="412"/>
      <c r="F57" s="412"/>
      <c r="G57" s="412"/>
      <c r="H57" s="412"/>
      <c r="I57" s="412"/>
      <c r="J57" s="412"/>
      <c r="K57" s="412"/>
      <c r="L57" s="413"/>
      <c r="M57" s="412"/>
      <c r="N57" s="412"/>
      <c r="O57" s="412"/>
      <c r="P57" s="412"/>
      <c r="Q57" s="414">
        <v>3.5000000000000003E-2</v>
      </c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</row>
    <row r="58" spans="1:62" ht="9.75" customHeight="1" x14ac:dyDescent="0.15">
      <c r="A58" s="10"/>
      <c r="B58" s="415" t="s">
        <v>513</v>
      </c>
      <c r="C58" s="416"/>
      <c r="D58" s="416"/>
      <c r="E58" s="416"/>
      <c r="F58" s="416"/>
      <c r="G58" s="416"/>
      <c r="H58" s="416"/>
      <c r="I58" s="416"/>
      <c r="J58" s="416"/>
      <c r="K58" s="416"/>
      <c r="L58" s="417"/>
      <c r="M58" s="416"/>
      <c r="N58" s="416"/>
      <c r="O58" s="416"/>
      <c r="P58" s="416"/>
      <c r="Q58" s="418">
        <f>'Comparable Companies'!M39</f>
        <v>36.00883321758706</v>
      </c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</row>
    <row r="59" spans="1:62" ht="9.75" customHeight="1" x14ac:dyDescent="0.15">
      <c r="A59" s="10"/>
      <c r="B59" s="419" t="s">
        <v>478</v>
      </c>
      <c r="C59" s="420"/>
      <c r="D59" s="420"/>
      <c r="E59" s="420"/>
      <c r="F59" s="420"/>
      <c r="G59" s="420"/>
      <c r="H59" s="420"/>
      <c r="I59" s="420"/>
      <c r="J59" s="420"/>
      <c r="K59" s="420"/>
      <c r="L59" s="421">
        <f>WACC!C27</f>
        <v>6.0301966804160514E-2</v>
      </c>
      <c r="M59" s="420"/>
      <c r="N59" s="420"/>
      <c r="O59" s="420"/>
      <c r="P59" s="420"/>
      <c r="Q59" s="422">
        <f>WACC!C27</f>
        <v>6.0301966804160514E-2</v>
      </c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</row>
    <row r="60" spans="1:62" ht="9.75" customHeight="1" x14ac:dyDescent="0.1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</row>
    <row r="61" spans="1:62" ht="9.75" customHeight="1" x14ac:dyDescent="0.1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</row>
    <row r="62" spans="1:62" ht="9.75" customHeight="1" x14ac:dyDescent="0.1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</row>
    <row r="63" spans="1:62" ht="9.75" customHeight="1" x14ac:dyDescent="0.1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</row>
    <row r="64" spans="1:62" ht="9.75" customHeight="1" x14ac:dyDescent="0.1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</row>
    <row r="65" spans="1:62" ht="9.75" customHeight="1" x14ac:dyDescent="0.1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</row>
    <row r="66" spans="1:62" ht="9.75" customHeight="1" x14ac:dyDescent="0.1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</row>
    <row r="67" spans="1:62" ht="9.75" customHeight="1" x14ac:dyDescent="0.1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</row>
    <row r="68" spans="1:62" ht="9.75" customHeight="1" x14ac:dyDescent="0.1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</row>
    <row r="69" spans="1:62" ht="9.75" customHeight="1" x14ac:dyDescent="0.1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</row>
    <row r="70" spans="1:62" ht="9.75" customHeight="1" x14ac:dyDescent="0.1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</row>
    <row r="71" spans="1:62" ht="9.75" customHeight="1" x14ac:dyDescent="0.1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</row>
    <row r="72" spans="1:62" ht="9.75" customHeight="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</row>
    <row r="73" spans="1:62" ht="9.75" customHeight="1" x14ac:dyDescent="0.1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</row>
    <row r="74" spans="1:62" ht="9.75" customHeight="1" x14ac:dyDescent="0.1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</row>
    <row r="75" spans="1:62" ht="9.75" customHeight="1" x14ac:dyDescent="0.1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</row>
    <row r="76" spans="1:62" ht="9.75" customHeight="1" x14ac:dyDescent="0.1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</row>
    <row r="77" spans="1:62" ht="9.75" customHeight="1" x14ac:dyDescent="0.1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</row>
    <row r="78" spans="1:62" ht="9.75" customHeight="1" x14ac:dyDescent="0.1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</row>
    <row r="79" spans="1:62" ht="9.75" customHeight="1" x14ac:dyDescent="0.1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</row>
    <row r="80" spans="1:62" ht="9.75" customHeight="1" x14ac:dyDescent="0.1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</row>
    <row r="81" spans="1:62" ht="9.75" customHeight="1" x14ac:dyDescent="0.1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</row>
    <row r="82" spans="1:62" ht="9.75" customHeight="1" x14ac:dyDescent="0.1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</row>
    <row r="83" spans="1:62" ht="9.75" customHeight="1" x14ac:dyDescent="0.1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</row>
    <row r="84" spans="1:62" ht="9.75" customHeight="1" x14ac:dyDescent="0.1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</row>
    <row r="85" spans="1:62" ht="9.75" customHeight="1" x14ac:dyDescent="0.1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</row>
    <row r="86" spans="1:62" ht="9.75" customHeight="1" x14ac:dyDescent="0.1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</row>
    <row r="87" spans="1:62" ht="9.75" customHeight="1" x14ac:dyDescent="0.1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</row>
    <row r="88" spans="1:62" ht="9.75" customHeight="1" x14ac:dyDescent="0.1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</row>
    <row r="89" spans="1:62" ht="9.75" customHeight="1" x14ac:dyDescent="0.1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</row>
    <row r="90" spans="1:62" ht="9.75" customHeight="1" x14ac:dyDescent="0.1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</row>
    <row r="91" spans="1:62" ht="9.75" customHeight="1" x14ac:dyDescent="0.1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</row>
    <row r="92" spans="1:62" ht="9.75" customHeight="1" x14ac:dyDescent="0.1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</row>
    <row r="93" spans="1:62" ht="9.7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</row>
    <row r="94" spans="1:62" ht="9.75" customHeight="1" x14ac:dyDescent="0.1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</row>
    <row r="95" spans="1:62" ht="9.75" customHeight="1" x14ac:dyDescent="0.1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</row>
    <row r="96" spans="1:62" ht="9.75" customHeight="1" x14ac:dyDescent="0.1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</row>
    <row r="97" spans="1:62" ht="9.75" customHeight="1" x14ac:dyDescent="0.1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</row>
    <row r="98" spans="1:62" ht="9.75" customHeight="1" x14ac:dyDescent="0.1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</row>
    <row r="99" spans="1:62" ht="9.75" customHeight="1" x14ac:dyDescent="0.1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</row>
    <row r="100" spans="1:62" ht="9.75" customHeight="1" x14ac:dyDescent="0.1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</row>
    <row r="101" spans="1:62" ht="9.75" customHeight="1" x14ac:dyDescent="0.1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</row>
    <row r="102" spans="1:62" ht="9.75" customHeight="1" x14ac:dyDescent="0.1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</row>
    <row r="103" spans="1:62" ht="9.75" customHeight="1" x14ac:dyDescent="0.1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</row>
    <row r="104" spans="1:62" ht="9.75" customHeight="1" x14ac:dyDescent="0.1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</row>
    <row r="105" spans="1:62" ht="9.75" customHeight="1" x14ac:dyDescent="0.1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</row>
    <row r="106" spans="1:62" ht="9.75" customHeight="1" x14ac:dyDescent="0.1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</row>
    <row r="107" spans="1:62" ht="9.75" customHeight="1" x14ac:dyDescent="0.1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</row>
    <row r="108" spans="1:62" ht="9.75" customHeight="1" x14ac:dyDescent="0.1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</row>
    <row r="109" spans="1:62" ht="9.75" customHeight="1" x14ac:dyDescent="0.1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</row>
    <row r="110" spans="1:62" ht="9.75" customHeight="1" x14ac:dyDescent="0.1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</row>
    <row r="111" spans="1:62" ht="9.75" customHeight="1" x14ac:dyDescent="0.1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</row>
    <row r="112" spans="1:62" ht="9.75" customHeight="1" x14ac:dyDescent="0.1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</row>
    <row r="113" spans="1:62" ht="9.75" customHeight="1" x14ac:dyDescent="0.1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</row>
    <row r="114" spans="1:62" ht="9.75" customHeight="1" x14ac:dyDescent="0.1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</row>
    <row r="115" spans="1:62" ht="9.75" customHeight="1" x14ac:dyDescent="0.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</row>
    <row r="116" spans="1:62" ht="9.75" customHeight="1" x14ac:dyDescent="0.1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</row>
    <row r="117" spans="1:62" ht="9.75" customHeight="1" x14ac:dyDescent="0.1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</row>
    <row r="118" spans="1:62" ht="9.75" customHeight="1" x14ac:dyDescent="0.1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</row>
    <row r="119" spans="1:62" ht="9.75" customHeight="1" x14ac:dyDescent="0.1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</row>
    <row r="120" spans="1:62" ht="9.75" customHeight="1" x14ac:dyDescent="0.1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</row>
    <row r="121" spans="1:62" ht="9.75" customHeight="1" x14ac:dyDescent="0.1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</row>
    <row r="122" spans="1:62" ht="9.75" customHeight="1" x14ac:dyDescent="0.1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</row>
    <row r="123" spans="1:62" ht="9.75" customHeight="1" x14ac:dyDescent="0.1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</row>
    <row r="124" spans="1:62" ht="9.75" customHeight="1" x14ac:dyDescent="0.1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</row>
    <row r="125" spans="1:62" ht="9.75" customHeight="1" x14ac:dyDescent="0.1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</row>
    <row r="126" spans="1:62" ht="9.75" customHeight="1" x14ac:dyDescent="0.1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</row>
    <row r="127" spans="1:62" ht="9.75" customHeight="1" x14ac:dyDescent="0.1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</row>
    <row r="128" spans="1:62" ht="9.75" customHeight="1" x14ac:dyDescent="0.1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</row>
    <row r="129" spans="1:62" ht="9.75" customHeight="1" x14ac:dyDescent="0.1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</row>
    <row r="130" spans="1:62" ht="9.75" customHeight="1" x14ac:dyDescent="0.1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</row>
    <row r="131" spans="1:62" ht="9.75" customHeight="1" x14ac:dyDescent="0.1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</row>
    <row r="132" spans="1:62" ht="9.75" customHeight="1" x14ac:dyDescent="0.1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</row>
    <row r="133" spans="1:62" ht="9.75" customHeight="1" x14ac:dyDescent="0.1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</row>
    <row r="134" spans="1:62" ht="9.75" customHeight="1" x14ac:dyDescent="0.1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</row>
    <row r="135" spans="1:62" ht="9.75" customHeight="1" x14ac:dyDescent="0.1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</row>
    <row r="136" spans="1:62" ht="9.75" customHeight="1" x14ac:dyDescent="0.1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</row>
    <row r="137" spans="1:62" ht="9.75" customHeight="1" x14ac:dyDescent="0.1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</row>
    <row r="138" spans="1:62" ht="9.75" customHeight="1" x14ac:dyDescent="0.1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</row>
    <row r="139" spans="1:62" ht="9.75" customHeight="1" x14ac:dyDescent="0.1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</row>
    <row r="140" spans="1:62" ht="9.75" customHeight="1" x14ac:dyDescent="0.1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</row>
    <row r="141" spans="1:62" ht="9.75" customHeight="1" x14ac:dyDescent="0.1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</row>
    <row r="142" spans="1:62" ht="9.75" customHeight="1" x14ac:dyDescent="0.1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</row>
    <row r="143" spans="1:62" ht="9.75" customHeight="1" x14ac:dyDescent="0.1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</row>
    <row r="144" spans="1:62" ht="9.75" customHeight="1" x14ac:dyDescent="0.1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</row>
    <row r="145" spans="1:62" ht="9.75" customHeight="1" x14ac:dyDescent="0.1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</row>
    <row r="146" spans="1:62" ht="9.75" customHeight="1" x14ac:dyDescent="0.1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</row>
    <row r="147" spans="1:62" ht="9.75" customHeight="1" x14ac:dyDescent="0.1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</row>
    <row r="148" spans="1:62" ht="9.75" customHeight="1" x14ac:dyDescent="0.1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</row>
    <row r="149" spans="1:62" ht="9.75" customHeight="1" x14ac:dyDescent="0.1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</row>
    <row r="150" spans="1:62" ht="9.75" customHeight="1" x14ac:dyDescent="0.1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</row>
    <row r="151" spans="1:62" ht="9.75" customHeight="1" x14ac:dyDescent="0.1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</row>
    <row r="152" spans="1:62" ht="9.75" customHeight="1" x14ac:dyDescent="0.1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</row>
    <row r="153" spans="1:62" ht="9.75" customHeight="1" x14ac:dyDescent="0.1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</row>
    <row r="154" spans="1:62" ht="9.75" customHeight="1" x14ac:dyDescent="0.1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</row>
    <row r="155" spans="1:62" ht="9.75" customHeight="1" x14ac:dyDescent="0.1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</row>
    <row r="156" spans="1:62" ht="9.75" customHeight="1" x14ac:dyDescent="0.1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</row>
    <row r="157" spans="1:62" ht="9.75" customHeight="1" x14ac:dyDescent="0.1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</row>
    <row r="158" spans="1:62" ht="9.75" customHeight="1" x14ac:dyDescent="0.1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</row>
    <row r="159" spans="1:62" ht="9.75" customHeight="1" x14ac:dyDescent="0.1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</row>
    <row r="160" spans="1:62" ht="9.75" customHeight="1" x14ac:dyDescent="0.1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</row>
    <row r="161" spans="1:62" ht="9.75" customHeight="1" x14ac:dyDescent="0.1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</row>
    <row r="162" spans="1:62" ht="9.75" customHeight="1" x14ac:dyDescent="0.1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</row>
    <row r="163" spans="1:62" ht="9.75" customHeight="1" x14ac:dyDescent="0.1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</row>
    <row r="164" spans="1:62" ht="9.75" customHeight="1" x14ac:dyDescent="0.1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</row>
    <row r="165" spans="1:62" ht="9.75" customHeight="1" x14ac:dyDescent="0.1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</row>
    <row r="166" spans="1:62" ht="9.75" customHeight="1" x14ac:dyDescent="0.1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</row>
    <row r="167" spans="1:62" ht="9.75" customHeight="1" x14ac:dyDescent="0.1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</row>
    <row r="168" spans="1:62" ht="9.75" customHeight="1" x14ac:dyDescent="0.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</row>
    <row r="169" spans="1:62" ht="9.75" customHeight="1" x14ac:dyDescent="0.1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</row>
    <row r="170" spans="1:62" ht="9.75" customHeight="1" x14ac:dyDescent="0.1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</row>
    <row r="171" spans="1:62" ht="9.75" customHeight="1" x14ac:dyDescent="0.1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</row>
    <row r="172" spans="1:62" ht="9.75" customHeight="1" x14ac:dyDescent="0.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</row>
    <row r="173" spans="1:62" ht="9.75" customHeight="1" x14ac:dyDescent="0.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</row>
    <row r="174" spans="1:62" ht="9.75" customHeight="1" x14ac:dyDescent="0.1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</row>
    <row r="175" spans="1:62" ht="9.75" customHeight="1" x14ac:dyDescent="0.1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</row>
    <row r="176" spans="1:62" ht="9.75" customHeight="1" x14ac:dyDescent="0.1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</row>
    <row r="177" spans="1:62" ht="9.75" customHeight="1" x14ac:dyDescent="0.1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</row>
    <row r="178" spans="1:62" ht="9.75" customHeight="1" x14ac:dyDescent="0.1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</row>
    <row r="179" spans="1:62" ht="9.75" customHeight="1" x14ac:dyDescent="0.1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</row>
    <row r="180" spans="1:62" ht="9.75" customHeight="1" x14ac:dyDescent="0.1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</row>
    <row r="181" spans="1:62" ht="9.75" customHeight="1" x14ac:dyDescent="0.1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</row>
    <row r="182" spans="1:62" ht="9.75" customHeight="1" x14ac:dyDescent="0.1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</row>
    <row r="183" spans="1:62" ht="9.75" customHeight="1" x14ac:dyDescent="0.1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</row>
    <row r="184" spans="1:62" ht="9.75" customHeight="1" x14ac:dyDescent="0.1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</row>
    <row r="185" spans="1:62" ht="9.75" customHeight="1" x14ac:dyDescent="0.1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</row>
    <row r="186" spans="1:62" ht="9.75" customHeight="1" x14ac:dyDescent="0.1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</row>
    <row r="187" spans="1:62" ht="9.75" customHeight="1" x14ac:dyDescent="0.1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</row>
    <row r="188" spans="1:62" ht="9.75" customHeight="1" x14ac:dyDescent="0.1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</row>
    <row r="189" spans="1:62" ht="9.75" customHeight="1" x14ac:dyDescent="0.1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</row>
    <row r="190" spans="1:62" ht="9.75" customHeight="1" x14ac:dyDescent="0.1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</row>
    <row r="191" spans="1:62" ht="9.75" customHeight="1" x14ac:dyDescent="0.1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</row>
    <row r="192" spans="1:62" ht="9.75" customHeight="1" x14ac:dyDescent="0.1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</row>
    <row r="193" spans="1:62" ht="9.75" customHeight="1" x14ac:dyDescent="0.1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</row>
    <row r="194" spans="1:62" ht="9.75" customHeight="1" x14ac:dyDescent="0.1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</row>
    <row r="195" spans="1:62" ht="9.75" customHeight="1" x14ac:dyDescent="0.1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</row>
    <row r="196" spans="1:62" ht="9.75" customHeight="1" x14ac:dyDescent="0.1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</row>
    <row r="197" spans="1:62" ht="9.75" customHeight="1" x14ac:dyDescent="0.1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</row>
    <row r="198" spans="1:62" ht="9.75" customHeight="1" x14ac:dyDescent="0.1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</row>
    <row r="199" spans="1:62" ht="9.75" customHeight="1" x14ac:dyDescent="0.1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</row>
    <row r="200" spans="1:62" ht="9.75" customHeight="1" x14ac:dyDescent="0.1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</row>
    <row r="201" spans="1:62" ht="9.75" customHeight="1" x14ac:dyDescent="0.1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</row>
    <row r="202" spans="1:62" ht="9.75" customHeight="1" x14ac:dyDescent="0.1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</row>
    <row r="203" spans="1:62" ht="9.75" customHeight="1" x14ac:dyDescent="0.1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</row>
    <row r="204" spans="1:62" ht="9.75" customHeight="1" x14ac:dyDescent="0.1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</row>
    <row r="205" spans="1:62" ht="9.75" customHeight="1" x14ac:dyDescent="0.1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</row>
    <row r="206" spans="1:62" ht="9.75" customHeight="1" x14ac:dyDescent="0.1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</row>
    <row r="207" spans="1:62" ht="9.75" customHeight="1" x14ac:dyDescent="0.1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</row>
    <row r="208" spans="1:62" ht="9.75" customHeight="1" x14ac:dyDescent="0.1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</row>
    <row r="209" spans="1:62" ht="9.75" customHeight="1" x14ac:dyDescent="0.1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</row>
    <row r="210" spans="1:62" ht="9.75" customHeight="1" x14ac:dyDescent="0.1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</row>
    <row r="211" spans="1:62" ht="9.75" customHeight="1" x14ac:dyDescent="0.1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</row>
    <row r="212" spans="1:62" ht="9.75" customHeight="1" x14ac:dyDescent="0.1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</row>
    <row r="213" spans="1:62" ht="9.75" customHeight="1" x14ac:dyDescent="0.1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</row>
    <row r="214" spans="1:62" ht="9.75" customHeight="1" x14ac:dyDescent="0.1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</row>
    <row r="215" spans="1:62" ht="9.75" customHeight="1" x14ac:dyDescent="0.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</row>
    <row r="216" spans="1:62" ht="9.75" customHeight="1" x14ac:dyDescent="0.1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</row>
    <row r="217" spans="1:62" ht="9.75" customHeight="1" x14ac:dyDescent="0.1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</row>
    <row r="218" spans="1:62" ht="9.75" customHeight="1" x14ac:dyDescent="0.1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</row>
    <row r="219" spans="1:62" ht="9.75" customHeight="1" x14ac:dyDescent="0.1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</row>
    <row r="220" spans="1:62" ht="9.75" customHeight="1" x14ac:dyDescent="0.1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</row>
    <row r="221" spans="1:62" ht="9.75" customHeight="1" x14ac:dyDescent="0.1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</row>
    <row r="222" spans="1:62" ht="9.75" customHeight="1" x14ac:dyDescent="0.1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</row>
    <row r="223" spans="1:62" ht="9.75" customHeight="1" x14ac:dyDescent="0.1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</row>
    <row r="224" spans="1:62" ht="9.75" customHeight="1" x14ac:dyDescent="0.1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</row>
    <row r="225" spans="1:62" ht="9.75" customHeight="1" x14ac:dyDescent="0.1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</row>
    <row r="226" spans="1:62" ht="9.75" customHeight="1" x14ac:dyDescent="0.1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</row>
    <row r="227" spans="1:62" ht="9.75" customHeight="1" x14ac:dyDescent="0.1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</row>
    <row r="228" spans="1:62" ht="9.75" customHeight="1" x14ac:dyDescent="0.1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</row>
    <row r="229" spans="1:62" ht="9.75" customHeight="1" x14ac:dyDescent="0.1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</row>
    <row r="230" spans="1:62" ht="9.75" customHeight="1" x14ac:dyDescent="0.1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</row>
    <row r="231" spans="1:62" ht="9.75" customHeight="1" x14ac:dyDescent="0.1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</row>
    <row r="232" spans="1:62" ht="9.75" customHeight="1" x14ac:dyDescent="0.1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</row>
    <row r="233" spans="1:62" ht="9.75" customHeight="1" x14ac:dyDescent="0.1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</row>
    <row r="234" spans="1:62" ht="9.75" customHeight="1" x14ac:dyDescent="0.1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</row>
    <row r="235" spans="1:62" ht="9.75" customHeight="1" x14ac:dyDescent="0.1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</row>
    <row r="236" spans="1:62" ht="9.75" customHeight="1" x14ac:dyDescent="0.1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</row>
    <row r="237" spans="1:62" ht="9.75" customHeight="1" x14ac:dyDescent="0.1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</row>
    <row r="238" spans="1:62" ht="9.75" customHeight="1" x14ac:dyDescent="0.1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</row>
    <row r="239" spans="1:62" ht="9.75" customHeight="1" x14ac:dyDescent="0.1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</row>
    <row r="240" spans="1:62" ht="9.75" customHeight="1" x14ac:dyDescent="0.1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</row>
    <row r="241" spans="1:62" ht="9.75" customHeight="1" x14ac:dyDescent="0.1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</row>
    <row r="242" spans="1:62" ht="9.75" customHeight="1" x14ac:dyDescent="0.1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</row>
    <row r="243" spans="1:62" ht="9.75" customHeight="1" x14ac:dyDescent="0.1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</row>
    <row r="244" spans="1:62" ht="9.75" customHeight="1" x14ac:dyDescent="0.1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</row>
    <row r="245" spans="1:62" ht="9.75" customHeight="1" x14ac:dyDescent="0.1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</row>
    <row r="246" spans="1:62" ht="9.75" customHeight="1" x14ac:dyDescent="0.1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</row>
    <row r="247" spans="1:62" ht="9.75" customHeight="1" x14ac:dyDescent="0.1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</row>
    <row r="248" spans="1:62" ht="9.75" customHeight="1" x14ac:dyDescent="0.1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</row>
    <row r="249" spans="1:62" ht="9.75" customHeight="1" x14ac:dyDescent="0.1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</row>
    <row r="250" spans="1:62" ht="9.75" customHeight="1" x14ac:dyDescent="0.1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</row>
    <row r="251" spans="1:62" ht="9.75" customHeight="1" x14ac:dyDescent="0.1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</row>
    <row r="252" spans="1:62" ht="9.75" customHeight="1" x14ac:dyDescent="0.1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</row>
    <row r="253" spans="1:62" ht="9.75" customHeight="1" x14ac:dyDescent="0.1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</row>
    <row r="254" spans="1:62" ht="9.75" customHeight="1" x14ac:dyDescent="0.1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</row>
    <row r="255" spans="1:62" ht="9.75" customHeight="1" x14ac:dyDescent="0.1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</row>
    <row r="256" spans="1:62" ht="9.75" customHeight="1" x14ac:dyDescent="0.1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</row>
    <row r="257" spans="1:62" ht="9.75" customHeight="1" x14ac:dyDescent="0.1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</row>
    <row r="258" spans="1:62" ht="9.75" customHeight="1" x14ac:dyDescent="0.1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</row>
    <row r="259" spans="1:62" ht="9.75" customHeight="1" x14ac:dyDescent="0.1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</row>
    <row r="260" spans="1:62" ht="15.75" customHeight="1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ht="15.75" customHeight="1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ht="15.75" customHeight="1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ht="15.75" customHeight="1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</row>
    <row r="264" spans="1:62" ht="15.75" customHeight="1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</row>
    <row r="265" spans="1:62" ht="15.75" customHeight="1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</row>
    <row r="266" spans="1:62" ht="15.75" customHeight="1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ht="15.75" customHeight="1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</row>
    <row r="268" spans="1:62" ht="15.75" customHeight="1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ht="15.75" customHeight="1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ht="15.75" customHeight="1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ht="15.75" customHeight="1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ht="15.75" customHeight="1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conditionalFormatting sqref="BM10:BQ14">
    <cfRule type="colorScale" priority="1">
      <colorScale>
        <cfvo type="min"/>
        <cfvo type="max"/>
        <color rgb="FFFCFCFF"/>
        <color rgb="FF63BE7B"/>
      </colorScale>
    </cfRule>
  </conditionalFormatting>
  <conditionalFormatting sqref="BM10:BQ1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M23:BQ27">
    <cfRule type="colorScale" priority="3">
      <colorScale>
        <cfvo type="min"/>
        <cfvo type="max"/>
        <color rgb="FFFCFCFF"/>
        <color rgb="FF63BE7B"/>
      </colorScale>
    </cfRule>
  </conditionalFormatting>
  <pageMargins left="0.7" right="0.7" top="0.75" bottom="0.75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1000"/>
  <sheetViews>
    <sheetView showGridLines="0" workbookViewId="0"/>
  </sheetViews>
  <sheetFormatPr baseColWidth="10" defaultColWidth="12.6640625" defaultRowHeight="15" customHeight="1" x14ac:dyDescent="0.15"/>
  <cols>
    <col min="1" max="1" width="1.5" customWidth="1"/>
    <col min="2" max="2" width="27.1640625" customWidth="1"/>
    <col min="3" max="3" width="13" customWidth="1"/>
    <col min="4" max="15" width="8" customWidth="1"/>
    <col min="16" max="16" width="18.1640625" customWidth="1"/>
  </cols>
  <sheetData>
    <row r="1" spans="1:16" ht="9.75" customHeight="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6" ht="15.75" customHeight="1" x14ac:dyDescent="0.15">
      <c r="A2" s="10"/>
      <c r="B2" s="423"/>
      <c r="C2" s="424"/>
      <c r="D2" s="45"/>
      <c r="E2" s="10"/>
      <c r="F2" s="10"/>
      <c r="G2" s="10"/>
      <c r="H2" s="10"/>
      <c r="I2" s="58"/>
      <c r="J2" s="58"/>
      <c r="K2" s="58"/>
      <c r="L2" s="58"/>
      <c r="M2" s="10"/>
      <c r="N2" s="10"/>
      <c r="O2" s="10"/>
      <c r="P2" s="10"/>
    </row>
    <row r="3" spans="1:16" ht="33.75" customHeight="1" x14ac:dyDescent="0.2">
      <c r="A3" s="10"/>
      <c r="B3" s="423"/>
      <c r="C3" s="424"/>
      <c r="D3" s="25"/>
      <c r="E3" s="26"/>
      <c r="F3" s="26"/>
      <c r="G3" s="26"/>
      <c r="H3" s="26"/>
      <c r="I3" s="58"/>
      <c r="J3" s="58"/>
      <c r="K3" s="58"/>
      <c r="L3" s="58"/>
      <c r="M3" s="10"/>
      <c r="N3" s="10"/>
      <c r="O3" s="10"/>
      <c r="P3" s="10"/>
    </row>
    <row r="4" spans="1:16" ht="15.75" customHeight="1" x14ac:dyDescent="0.2">
      <c r="A4" s="10"/>
      <c r="B4" s="272" t="str">
        <f>'Balance Sheet'!B4</f>
        <v>American Tower</v>
      </c>
      <c r="C4" s="424"/>
      <c r="D4" s="35"/>
      <c r="E4" s="113"/>
      <c r="F4" s="113"/>
      <c r="G4" s="113"/>
      <c r="H4" s="113"/>
      <c r="I4" s="58"/>
      <c r="J4" s="58"/>
      <c r="K4" s="58"/>
      <c r="L4" s="58"/>
      <c r="M4" s="10"/>
      <c r="N4" s="10"/>
      <c r="O4" s="10"/>
      <c r="P4" s="10"/>
    </row>
    <row r="5" spans="1:16" ht="12.75" customHeight="1" x14ac:dyDescent="0.2">
      <c r="A5" s="10"/>
      <c r="B5" s="36" t="str">
        <f ca="1">MID(CELL("filename",A1),FIND("]",CELL("filename",A1))+1,255)&amp;" "&amp;MID('Balance Sheet'!B5,FIND("(",'Balance Sheet'!B5),1000)</f>
        <v>WACC ($USD in Millions)</v>
      </c>
      <c r="C5" s="424"/>
      <c r="D5" s="35"/>
      <c r="E5" s="113"/>
      <c r="F5" s="113"/>
      <c r="G5" s="113"/>
      <c r="H5" s="113"/>
      <c r="I5" s="58"/>
      <c r="J5" s="58"/>
      <c r="K5" s="58"/>
      <c r="L5" s="58"/>
      <c r="M5" s="10"/>
      <c r="N5" s="10"/>
      <c r="O5" s="10"/>
      <c r="P5" s="10"/>
    </row>
    <row r="6" spans="1:16" ht="4.5" customHeight="1" x14ac:dyDescent="0.1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6" ht="9.75" customHeight="1" x14ac:dyDescent="0.15">
      <c r="A7" s="10"/>
      <c r="B7" s="10" t="s">
        <v>514</v>
      </c>
      <c r="C7" s="425">
        <f>'Balance Sheet'!AA36+'Balance Sheet'!AA33</f>
        <v>29287.5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6" ht="9.75" customHeight="1" x14ac:dyDescent="0.15">
      <c r="A8" s="10"/>
      <c r="B8" s="10" t="s">
        <v>515</v>
      </c>
      <c r="C8" s="174">
        <f>C7/(C7+C14)</f>
        <v>0.1824089566768218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6" ht="4.5" customHeight="1" x14ac:dyDescent="0.1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6" ht="9.75" customHeight="1" x14ac:dyDescent="0.15">
      <c r="A10" s="10"/>
      <c r="B10" s="10" t="s">
        <v>516</v>
      </c>
      <c r="C10" s="174">
        <f>S43</f>
        <v>3.0240034144259503E-2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6" ht="9.75" customHeight="1" x14ac:dyDescent="0.15">
      <c r="A11" s="10"/>
      <c r="B11" s="10" t="s">
        <v>125</v>
      </c>
      <c r="C11" s="222">
        <f>'Income Statement'!AA30</f>
        <v>-4.4883116883116879E-2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</row>
    <row r="12" spans="1:16" ht="9.75" customHeight="1" x14ac:dyDescent="0.15">
      <c r="A12" s="10"/>
      <c r="B12" s="277" t="s">
        <v>517</v>
      </c>
      <c r="C12" s="426">
        <f>C10*(1-C11)</f>
        <v>3.1597301131305752E-2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  <row r="13" spans="1:16" ht="4.5" customHeight="1" x14ac:dyDescent="0.1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</row>
    <row r="14" spans="1:16" ht="9.75" customHeight="1" x14ac:dyDescent="0.15">
      <c r="A14" s="10"/>
      <c r="B14" s="10" t="s">
        <v>518</v>
      </c>
      <c r="C14" s="55">
        <f>(288.51*455000000)/1000000</f>
        <v>131272.04999999999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</row>
    <row r="15" spans="1:16" ht="9.75" customHeight="1" x14ac:dyDescent="0.15">
      <c r="A15" s="10"/>
      <c r="B15" s="10" t="s">
        <v>519</v>
      </c>
      <c r="C15" s="222">
        <f>C14/(C14+C7)</f>
        <v>0.81759104332317822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</row>
    <row r="16" spans="1:16" ht="4.5" customHeight="1" x14ac:dyDescent="0.1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</row>
    <row r="17" spans="1:19" ht="9.75" customHeight="1" x14ac:dyDescent="0.15">
      <c r="A17" s="10"/>
      <c r="B17" s="10" t="s">
        <v>520</v>
      </c>
      <c r="C17" s="174">
        <f>'BETA &amp; DDM'!K7</f>
        <v>1.6199999999999999E-2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"/>
      <c r="R17" s="2"/>
      <c r="S17" s="2"/>
    </row>
    <row r="18" spans="1:19" ht="9.75" customHeight="1" x14ac:dyDescent="0.15">
      <c r="A18" s="10"/>
      <c r="B18" s="10" t="s">
        <v>521</v>
      </c>
      <c r="C18" s="174">
        <f>'BETA &amp; DDM'!K8</f>
        <v>6.3799999999999996E-2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"/>
      <c r="R18" s="2"/>
      <c r="S18" s="2"/>
    </row>
    <row r="19" spans="1:19" ht="9.75" customHeight="1" x14ac:dyDescent="0.15">
      <c r="A19" s="10"/>
      <c r="B19" s="10" t="s">
        <v>522</v>
      </c>
      <c r="C19" s="427">
        <f>'BETA &amp; DDM'!K4</f>
        <v>0.79163216325981567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"/>
      <c r="R19" s="2"/>
      <c r="S19" s="2"/>
    </row>
    <row r="20" spans="1:19" ht="9.75" customHeight="1" x14ac:dyDescent="0.15">
      <c r="A20" s="10"/>
      <c r="B20" s="277" t="s">
        <v>523</v>
      </c>
      <c r="C20" s="426">
        <f>C17+C19*C18</f>
        <v>6.6706132015976236E-2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"/>
      <c r="R20" s="2"/>
      <c r="S20" s="2"/>
    </row>
    <row r="21" spans="1:19" ht="4.5" customHeight="1" x14ac:dyDescent="0.1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"/>
      <c r="R21" s="2"/>
      <c r="S21" s="2"/>
    </row>
    <row r="22" spans="1:19" ht="9.75" customHeight="1" x14ac:dyDescent="0.15">
      <c r="A22" s="10"/>
      <c r="B22" s="10"/>
      <c r="C22" s="97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"/>
      <c r="R22" s="2"/>
      <c r="S22" s="2"/>
    </row>
    <row r="23" spans="1:19" ht="9.75" customHeight="1" x14ac:dyDescent="0.15">
      <c r="A23" s="10"/>
      <c r="B23" s="10"/>
      <c r="C23" s="222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"/>
      <c r="R23" s="2"/>
      <c r="S23" s="2"/>
    </row>
    <row r="24" spans="1:19" ht="4.5" customHeight="1" x14ac:dyDescent="0.1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"/>
      <c r="R24" s="2"/>
      <c r="S24" s="2"/>
    </row>
    <row r="25" spans="1:19" ht="28.5" customHeight="1" x14ac:dyDescent="0.25">
      <c r="A25" s="10"/>
      <c r="B25" s="10"/>
      <c r="C25" s="222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428" t="s">
        <v>524</v>
      </c>
      <c r="Q25" s="2"/>
      <c r="R25" s="2"/>
      <c r="S25" s="2"/>
    </row>
    <row r="26" spans="1:19" ht="4.5" customHeight="1" x14ac:dyDescent="0.1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2"/>
      <c r="R26" s="2"/>
      <c r="S26" s="2"/>
    </row>
    <row r="27" spans="1:19" ht="9.75" customHeight="1" x14ac:dyDescent="0.15">
      <c r="A27" s="10"/>
      <c r="B27" s="429" t="s">
        <v>525</v>
      </c>
      <c r="C27" s="430">
        <f>(C20*C15)+(C8*C12)</f>
        <v>6.0301966804160514E-2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2"/>
      <c r="R27" s="2"/>
      <c r="S27" s="2"/>
    </row>
    <row r="28" spans="1:19" ht="9.75" customHeight="1" x14ac:dyDescent="0.1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2"/>
      <c r="R28" s="2"/>
      <c r="S28" s="2"/>
    </row>
    <row r="29" spans="1:19" ht="9.75" customHeight="1" x14ac:dyDescent="0.2">
      <c r="A29" s="10"/>
      <c r="B29" s="10"/>
      <c r="C29" s="10"/>
      <c r="D29" s="10"/>
      <c r="E29" s="431" t="s">
        <v>526</v>
      </c>
      <c r="F29" s="432"/>
      <c r="G29" s="432"/>
      <c r="H29" s="432"/>
      <c r="I29" s="10"/>
      <c r="J29" s="10"/>
      <c r="K29" s="10"/>
      <c r="L29" s="10"/>
      <c r="M29" s="10"/>
      <c r="N29" s="10"/>
      <c r="O29" s="10"/>
      <c r="P29" s="10"/>
      <c r="Q29" s="2"/>
      <c r="R29" s="2"/>
      <c r="S29" s="2"/>
    </row>
    <row r="30" spans="1:19" ht="12" customHeight="1" x14ac:dyDescent="0.2">
      <c r="A30" s="10"/>
      <c r="B30" s="10"/>
      <c r="C30" s="10"/>
      <c r="D30" s="10"/>
      <c r="E30" s="433" t="s">
        <v>527</v>
      </c>
      <c r="F30" s="433" t="s">
        <v>528</v>
      </c>
      <c r="G30" s="433" t="s">
        <v>529</v>
      </c>
      <c r="H30" s="433" t="s">
        <v>530</v>
      </c>
      <c r="I30" s="10"/>
      <c r="J30" s="10"/>
      <c r="K30" s="464" t="s">
        <v>531</v>
      </c>
      <c r="L30" s="445"/>
      <c r="M30" s="2"/>
      <c r="N30" s="464" t="s">
        <v>532</v>
      </c>
      <c r="O30" s="445"/>
      <c r="P30" s="445"/>
      <c r="Q30" s="313" t="s">
        <v>401</v>
      </c>
      <c r="R30" s="313" t="s">
        <v>533</v>
      </c>
      <c r="S30" s="313" t="s">
        <v>534</v>
      </c>
    </row>
    <row r="31" spans="1:19" ht="12" customHeight="1" x14ac:dyDescent="0.2">
      <c r="A31" s="10"/>
      <c r="B31" s="10"/>
      <c r="C31" s="10"/>
      <c r="D31" s="10"/>
      <c r="E31" s="434">
        <v>8.5</v>
      </c>
      <c r="F31" s="434">
        <v>100000</v>
      </c>
      <c r="G31" s="435" t="s">
        <v>535</v>
      </c>
      <c r="H31" s="436">
        <v>7.4999999999999997E-3</v>
      </c>
      <c r="I31" s="10"/>
      <c r="J31" s="10"/>
      <c r="K31" s="444" t="s">
        <v>536</v>
      </c>
      <c r="L31" s="445"/>
      <c r="M31" s="2"/>
      <c r="N31" s="463">
        <v>750</v>
      </c>
      <c r="O31" s="445"/>
      <c r="P31" s="2"/>
      <c r="Q31" s="437">
        <v>2.4E-2</v>
      </c>
      <c r="R31" s="313">
        <f t="shared" ref="R31:R41" si="0">N31/$C$7</f>
        <v>2.5608194622279128E-2</v>
      </c>
      <c r="S31" s="313">
        <f t="shared" ref="S31:S41" si="1">R31*Q31</f>
        <v>6.145966709346991E-4</v>
      </c>
    </row>
    <row r="32" spans="1:19" ht="12" customHeight="1" x14ac:dyDescent="0.2">
      <c r="A32" s="10"/>
      <c r="B32" s="10"/>
      <c r="C32" s="10"/>
      <c r="D32" s="10"/>
      <c r="E32" s="438">
        <v>6.5</v>
      </c>
      <c r="F32" s="439">
        <v>8.4999990000000007</v>
      </c>
      <c r="G32" s="440" t="s">
        <v>537</v>
      </c>
      <c r="H32" s="441">
        <v>0.01</v>
      </c>
      <c r="I32" s="10"/>
      <c r="J32" s="10"/>
      <c r="K32" s="444" t="s">
        <v>538</v>
      </c>
      <c r="L32" s="445"/>
      <c r="M32" s="2"/>
      <c r="N32" s="463">
        <v>750</v>
      </c>
      <c r="O32" s="445"/>
      <c r="P32" s="2"/>
      <c r="Q32" s="437">
        <v>2.9000000000000001E-2</v>
      </c>
      <c r="R32" s="2">
        <f t="shared" si="0"/>
        <v>2.5608194622279128E-2</v>
      </c>
      <c r="S32" s="2">
        <f t="shared" si="1"/>
        <v>7.4263764404609476E-4</v>
      </c>
    </row>
    <row r="33" spans="1:19" ht="12" customHeight="1" x14ac:dyDescent="0.2">
      <c r="A33" s="10"/>
      <c r="B33" s="10"/>
      <c r="C33" s="10"/>
      <c r="D33" s="10"/>
      <c r="E33" s="434">
        <v>5.5</v>
      </c>
      <c r="F33" s="434">
        <v>6.4999989999999999</v>
      </c>
      <c r="G33" s="435" t="s">
        <v>539</v>
      </c>
      <c r="H33" s="436">
        <v>1.0999999999999999E-2</v>
      </c>
      <c r="I33" s="10"/>
      <c r="J33" s="10"/>
      <c r="K33" s="444" t="s">
        <v>540</v>
      </c>
      <c r="L33" s="445"/>
      <c r="M33" s="2"/>
      <c r="N33" s="463">
        <v>500</v>
      </c>
      <c r="O33" s="445"/>
      <c r="P33" s="2"/>
      <c r="Q33" s="437">
        <v>1.2999999999999999E-2</v>
      </c>
      <c r="R33" s="2">
        <f t="shared" si="0"/>
        <v>1.7072129748186088E-2</v>
      </c>
      <c r="S33" s="2">
        <f t="shared" si="1"/>
        <v>2.2193768672641912E-4</v>
      </c>
    </row>
    <row r="34" spans="1:19" ht="12" customHeight="1" x14ac:dyDescent="0.2">
      <c r="A34" s="10"/>
      <c r="B34" s="10"/>
      <c r="C34" s="10"/>
      <c r="D34" s="10"/>
      <c r="E34" s="438">
        <v>4.25</v>
      </c>
      <c r="F34" s="439">
        <v>5.4999989999999999</v>
      </c>
      <c r="G34" s="440" t="s">
        <v>541</v>
      </c>
      <c r="H34" s="441">
        <v>1.2500000000000001E-2</v>
      </c>
      <c r="I34" s="10"/>
      <c r="J34" s="10"/>
      <c r="K34" s="444" t="s">
        <v>542</v>
      </c>
      <c r="L34" s="445"/>
      <c r="M34" s="2"/>
      <c r="N34" s="463">
        <v>750</v>
      </c>
      <c r="O34" s="445"/>
      <c r="P34" s="2"/>
      <c r="Q34" s="437">
        <v>2.1000000000000001E-2</v>
      </c>
      <c r="R34" s="2">
        <f t="shared" si="0"/>
        <v>2.5608194622279128E-2</v>
      </c>
      <c r="S34" s="2">
        <f t="shared" si="1"/>
        <v>5.3777208706786176E-4</v>
      </c>
    </row>
    <row r="35" spans="1:19" ht="12" customHeight="1" x14ac:dyDescent="0.2">
      <c r="A35" s="10"/>
      <c r="B35" s="10"/>
      <c r="C35" s="10"/>
      <c r="D35" s="10"/>
      <c r="E35" s="434">
        <v>3</v>
      </c>
      <c r="F35" s="434">
        <v>4.2499989999999999</v>
      </c>
      <c r="G35" s="435" t="s">
        <v>543</v>
      </c>
      <c r="H35" s="436">
        <v>1.7500000000000002E-2</v>
      </c>
      <c r="I35" s="10"/>
      <c r="J35" s="10"/>
      <c r="K35" s="444" t="s">
        <v>544</v>
      </c>
      <c r="L35" s="445"/>
      <c r="M35" s="2"/>
      <c r="N35" s="463">
        <v>1050</v>
      </c>
      <c r="O35" s="445"/>
      <c r="P35" s="2"/>
      <c r="Q35" s="437">
        <v>3.1E-2</v>
      </c>
      <c r="R35" s="2">
        <f t="shared" si="0"/>
        <v>3.5851472471190783E-2</v>
      </c>
      <c r="S35" s="2">
        <f t="shared" si="1"/>
        <v>1.1113956466069143E-3</v>
      </c>
    </row>
    <row r="36" spans="1:19" ht="12" customHeight="1" x14ac:dyDescent="0.2">
      <c r="A36" s="10"/>
      <c r="B36" s="10"/>
      <c r="C36" s="10"/>
      <c r="D36" s="10"/>
      <c r="E36" s="438">
        <v>2.5</v>
      </c>
      <c r="F36" s="439">
        <v>2.9999989999999999</v>
      </c>
      <c r="G36" s="440" t="s">
        <v>545</v>
      </c>
      <c r="H36" s="441">
        <v>2.2499999999999999E-2</v>
      </c>
      <c r="I36" s="10"/>
      <c r="J36" s="10"/>
      <c r="K36" s="444" t="s">
        <v>546</v>
      </c>
      <c r="L36" s="445"/>
      <c r="M36" s="2"/>
      <c r="N36" s="463">
        <v>886.1</v>
      </c>
      <c r="O36" s="445"/>
      <c r="P36" s="2"/>
      <c r="Q36" s="437">
        <v>0.5</v>
      </c>
      <c r="R36" s="2">
        <f t="shared" si="0"/>
        <v>3.0255228339735384E-2</v>
      </c>
      <c r="S36" s="2">
        <f t="shared" si="1"/>
        <v>1.5127614169867692E-2</v>
      </c>
    </row>
    <row r="37" spans="1:19" ht="12" customHeight="1" x14ac:dyDescent="0.2">
      <c r="A37" s="10"/>
      <c r="B37" s="10"/>
      <c r="C37" s="10"/>
      <c r="D37" s="10"/>
      <c r="E37" s="434">
        <v>2.25</v>
      </c>
      <c r="F37" s="434">
        <v>2.4999899999999999</v>
      </c>
      <c r="G37" s="435" t="s">
        <v>547</v>
      </c>
      <c r="H37" s="436">
        <v>3.2500000000000001E-2</v>
      </c>
      <c r="I37" s="10"/>
      <c r="J37" s="10"/>
      <c r="K37" s="444" t="s">
        <v>548</v>
      </c>
      <c r="L37" s="445"/>
      <c r="M37" s="2"/>
      <c r="N37" s="463">
        <v>768</v>
      </c>
      <c r="O37" s="445"/>
      <c r="P37" s="2"/>
      <c r="Q37" s="437">
        <v>0.01</v>
      </c>
      <c r="R37" s="2">
        <f t="shared" si="0"/>
        <v>2.6222791293213827E-2</v>
      </c>
      <c r="S37" s="2">
        <f t="shared" si="1"/>
        <v>2.6222791293213827E-4</v>
      </c>
    </row>
    <row r="38" spans="1:19" ht="12" customHeight="1" x14ac:dyDescent="0.2">
      <c r="A38" s="10"/>
      <c r="B38" s="10"/>
      <c r="C38" s="10"/>
      <c r="D38" s="10"/>
      <c r="E38" s="438">
        <v>2</v>
      </c>
      <c r="F38" s="439">
        <v>2.2499999000000002</v>
      </c>
      <c r="G38" s="440" t="s">
        <v>549</v>
      </c>
      <c r="H38" s="441">
        <v>4.2500000000000003E-2</v>
      </c>
      <c r="I38" s="10"/>
      <c r="J38" s="10"/>
      <c r="K38" s="444" t="s">
        <v>550</v>
      </c>
      <c r="L38" s="445"/>
      <c r="M38" s="2"/>
      <c r="N38" s="463">
        <v>800</v>
      </c>
      <c r="O38" s="445"/>
      <c r="P38" s="2"/>
      <c r="Q38" s="437">
        <v>1.7999999999999999E-2</v>
      </c>
      <c r="R38" s="2">
        <f t="shared" si="0"/>
        <v>2.7315407597097739E-2</v>
      </c>
      <c r="S38" s="2">
        <f t="shared" si="1"/>
        <v>4.9167733674775928E-4</v>
      </c>
    </row>
    <row r="39" spans="1:19" ht="12" customHeight="1" x14ac:dyDescent="0.2">
      <c r="A39" s="10"/>
      <c r="B39" s="10"/>
      <c r="C39" s="10"/>
      <c r="D39" s="10"/>
      <c r="E39" s="434">
        <v>1.75</v>
      </c>
      <c r="F39" s="434">
        <v>1.9999990000000001</v>
      </c>
      <c r="G39" s="435" t="s">
        <v>551</v>
      </c>
      <c r="H39" s="436">
        <v>5.5E-2</v>
      </c>
      <c r="I39" s="10"/>
      <c r="J39" s="10"/>
      <c r="K39" s="444" t="s">
        <v>552</v>
      </c>
      <c r="L39" s="445"/>
      <c r="M39" s="2"/>
      <c r="N39" s="463">
        <v>500</v>
      </c>
      <c r="O39" s="445"/>
      <c r="P39" s="2"/>
      <c r="Q39" s="437">
        <v>0.6</v>
      </c>
      <c r="R39" s="2">
        <f t="shared" si="0"/>
        <v>1.7072129748186088E-2</v>
      </c>
      <c r="S39" s="2">
        <f t="shared" si="1"/>
        <v>1.0243277848911653E-2</v>
      </c>
    </row>
    <row r="40" spans="1:19" ht="12" customHeight="1" x14ac:dyDescent="0.2">
      <c r="A40" s="10"/>
      <c r="B40" s="10"/>
      <c r="C40" s="10"/>
      <c r="D40" s="10"/>
      <c r="E40" s="438">
        <v>1.5</v>
      </c>
      <c r="F40" s="439">
        <v>1.7499990000000001</v>
      </c>
      <c r="G40" s="440" t="s">
        <v>553</v>
      </c>
      <c r="H40" s="441">
        <v>6.5000000000000002E-2</v>
      </c>
      <c r="I40" s="10"/>
      <c r="J40" s="10"/>
      <c r="K40" s="444" t="s">
        <v>554</v>
      </c>
      <c r="L40" s="445"/>
      <c r="M40" s="2"/>
      <c r="N40" s="463">
        <v>650</v>
      </c>
      <c r="O40" s="445"/>
      <c r="P40" s="2"/>
      <c r="Q40" s="437">
        <v>1.4999999999999999E-2</v>
      </c>
      <c r="R40" s="2">
        <f t="shared" si="0"/>
        <v>2.2193768672641914E-2</v>
      </c>
      <c r="S40" s="2">
        <f t="shared" si="1"/>
        <v>3.3290653008962871E-4</v>
      </c>
    </row>
    <row r="41" spans="1:19" ht="12" customHeight="1" x14ac:dyDescent="0.2">
      <c r="A41" s="10"/>
      <c r="B41" s="10"/>
      <c r="C41" s="10"/>
      <c r="D41" s="10"/>
      <c r="E41" s="434">
        <v>1.25</v>
      </c>
      <c r="F41" s="434">
        <v>1.4999990000000001</v>
      </c>
      <c r="G41" s="435" t="s">
        <v>555</v>
      </c>
      <c r="H41" s="436">
        <v>7.4999999999999997E-2</v>
      </c>
      <c r="I41" s="10"/>
      <c r="J41" s="10"/>
      <c r="K41" s="444" t="s">
        <v>556</v>
      </c>
      <c r="L41" s="445"/>
      <c r="M41" s="2"/>
      <c r="N41" s="463">
        <v>550</v>
      </c>
      <c r="O41" s="445"/>
      <c r="P41" s="2"/>
      <c r="Q41" s="437">
        <v>2.9499999999999998E-2</v>
      </c>
      <c r="R41" s="2">
        <f t="shared" si="0"/>
        <v>1.8779342723004695E-2</v>
      </c>
      <c r="S41" s="2">
        <f t="shared" si="1"/>
        <v>5.5399061032863851E-4</v>
      </c>
    </row>
    <row r="42" spans="1:19" ht="12" customHeight="1" x14ac:dyDescent="0.2">
      <c r="A42" s="10"/>
      <c r="B42" s="10"/>
      <c r="C42" s="10"/>
      <c r="D42" s="10"/>
      <c r="E42" s="438">
        <v>0.8</v>
      </c>
      <c r="F42" s="439">
        <v>1.2499990000000001</v>
      </c>
      <c r="G42" s="440" t="s">
        <v>557</v>
      </c>
      <c r="H42" s="441">
        <v>0.09</v>
      </c>
      <c r="I42" s="10"/>
      <c r="J42" s="10"/>
      <c r="K42" s="10"/>
      <c r="L42" s="10"/>
      <c r="M42" s="10"/>
      <c r="N42" s="10"/>
      <c r="O42" s="10"/>
      <c r="P42" s="10"/>
      <c r="Q42" s="437"/>
      <c r="R42" s="442" t="s">
        <v>558</v>
      </c>
      <c r="S42" s="442">
        <f>SUM(S31:S41)</f>
        <v>3.0240034144259503E-2</v>
      </c>
    </row>
    <row r="43" spans="1:19" ht="18" customHeight="1" x14ac:dyDescent="0.2">
      <c r="A43" s="10"/>
      <c r="B43" s="10"/>
      <c r="C43" s="10"/>
      <c r="D43" s="10"/>
      <c r="E43" s="434">
        <v>0.65</v>
      </c>
      <c r="F43" s="434">
        <v>0.79999900000000002</v>
      </c>
      <c r="G43" s="435" t="s">
        <v>559</v>
      </c>
      <c r="H43" s="436">
        <v>0.12</v>
      </c>
      <c r="I43" s="10"/>
      <c r="J43" s="10"/>
      <c r="K43" s="10"/>
      <c r="L43" s="10"/>
      <c r="M43" s="10"/>
      <c r="N43" s="10"/>
      <c r="O43" s="10"/>
      <c r="P43" s="10"/>
      <c r="Q43" s="437"/>
      <c r="R43" s="2"/>
      <c r="S43" s="443">
        <f>S42</f>
        <v>3.0240034144259503E-2</v>
      </c>
    </row>
    <row r="44" spans="1:19" ht="9.75" customHeight="1" x14ac:dyDescent="0.2">
      <c r="A44" s="10"/>
      <c r="B44" s="10"/>
      <c r="C44" s="10"/>
      <c r="D44" s="10"/>
      <c r="E44" s="438">
        <v>0.2</v>
      </c>
      <c r="F44" s="439">
        <v>0.64999899999999999</v>
      </c>
      <c r="G44" s="440" t="s">
        <v>560</v>
      </c>
      <c r="H44" s="441">
        <v>0.16</v>
      </c>
      <c r="I44" s="10"/>
      <c r="J44" s="10"/>
      <c r="K44" s="10"/>
      <c r="L44" s="10"/>
      <c r="M44" s="10"/>
      <c r="N44" s="10"/>
      <c r="O44" s="10"/>
      <c r="P44" s="10"/>
      <c r="Q44" s="437"/>
      <c r="R44" s="2"/>
      <c r="S44" s="2"/>
    </row>
    <row r="45" spans="1:19" ht="9.75" customHeight="1" x14ac:dyDescent="0.2">
      <c r="A45" s="10"/>
      <c r="B45" s="10"/>
      <c r="C45" s="10"/>
      <c r="D45" s="10"/>
      <c r="E45" s="434">
        <v>-100000</v>
      </c>
      <c r="F45" s="434">
        <v>0.19999900000000001</v>
      </c>
      <c r="G45" s="435" t="s">
        <v>561</v>
      </c>
      <c r="H45" s="436">
        <v>0.2</v>
      </c>
      <c r="I45" s="10"/>
      <c r="J45" s="10"/>
      <c r="K45" s="10"/>
      <c r="L45" s="10"/>
      <c r="M45" s="10"/>
      <c r="N45" s="10"/>
      <c r="O45" s="10"/>
      <c r="P45" s="10"/>
      <c r="Q45" s="2"/>
      <c r="R45" s="2"/>
      <c r="S45" s="2"/>
    </row>
    <row r="46" spans="1:19" ht="9.75" customHeight="1" x14ac:dyDescent="0.1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2"/>
      <c r="R46" s="2"/>
      <c r="S46" s="2"/>
    </row>
    <row r="47" spans="1:19" ht="9.75" customHeight="1" x14ac:dyDescent="0.1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2"/>
      <c r="R47" s="2"/>
      <c r="S47" s="2"/>
    </row>
    <row r="48" spans="1:19" ht="9.75" customHeight="1" x14ac:dyDescent="0.1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2"/>
      <c r="R48" s="2"/>
      <c r="S48" s="2"/>
    </row>
    <row r="49" spans="1:16" ht="9.75" customHeight="1" x14ac:dyDescent="0.1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  <row r="50" spans="1:16" ht="9.75" customHeight="1" x14ac:dyDescent="0.1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  <row r="51" spans="1:16" ht="9.75" customHeight="1" x14ac:dyDescent="0.1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  <row r="52" spans="1:16" ht="9.75" customHeight="1" x14ac:dyDescent="0.1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  <row r="53" spans="1:16" ht="9.75" customHeight="1" x14ac:dyDescent="0.1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</row>
    <row r="54" spans="1:16" ht="9.75" customHeight="1" x14ac:dyDescent="0.1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</row>
    <row r="55" spans="1:16" ht="9.75" customHeight="1" x14ac:dyDescent="0.1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</row>
    <row r="56" spans="1:16" ht="9.75" customHeight="1" x14ac:dyDescent="0.1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</row>
    <row r="57" spans="1:16" ht="9.75" customHeight="1" x14ac:dyDescent="0.1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</row>
    <row r="58" spans="1:16" ht="9.75" customHeight="1" x14ac:dyDescent="0.1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</row>
    <row r="59" spans="1:16" ht="9.75" customHeight="1" x14ac:dyDescent="0.1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</row>
    <row r="60" spans="1:16" ht="9.75" customHeight="1" x14ac:dyDescent="0.1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</row>
    <row r="61" spans="1:16" ht="9.75" customHeight="1" x14ac:dyDescent="0.1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</row>
    <row r="62" spans="1:16" ht="9.75" customHeight="1" x14ac:dyDescent="0.1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</row>
    <row r="63" spans="1:16" ht="9.75" customHeight="1" x14ac:dyDescent="0.1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</row>
    <row r="64" spans="1:16" ht="9.75" customHeight="1" x14ac:dyDescent="0.1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</row>
    <row r="65" spans="1:16" ht="9.75" customHeight="1" x14ac:dyDescent="0.1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</row>
    <row r="66" spans="1:16" ht="9.75" customHeight="1" x14ac:dyDescent="0.1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</row>
    <row r="67" spans="1:16" ht="9.75" customHeight="1" x14ac:dyDescent="0.1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</row>
    <row r="68" spans="1:16" ht="9.75" customHeight="1" x14ac:dyDescent="0.1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</row>
    <row r="69" spans="1:16" ht="9.75" customHeight="1" x14ac:dyDescent="0.1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</row>
    <row r="70" spans="1:16" ht="9.75" customHeight="1" x14ac:dyDescent="0.1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</row>
    <row r="71" spans="1:16" ht="9.75" customHeight="1" x14ac:dyDescent="0.1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</row>
    <row r="72" spans="1:16" ht="9.75" customHeight="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</row>
    <row r="73" spans="1:16" ht="9.75" customHeight="1" x14ac:dyDescent="0.1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</row>
    <row r="74" spans="1:16" ht="9.75" customHeight="1" x14ac:dyDescent="0.1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</row>
    <row r="75" spans="1:16" ht="9.75" customHeight="1" x14ac:dyDescent="0.1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</row>
    <row r="76" spans="1:16" ht="9.75" customHeight="1" x14ac:dyDescent="0.1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</row>
    <row r="77" spans="1:16" ht="9.75" customHeight="1" x14ac:dyDescent="0.1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</row>
    <row r="78" spans="1:16" ht="9.75" customHeight="1" x14ac:dyDescent="0.1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</row>
    <row r="79" spans="1:16" ht="9.75" customHeight="1" x14ac:dyDescent="0.1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</row>
    <row r="80" spans="1:16" ht="9.75" customHeight="1" x14ac:dyDescent="0.1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</row>
    <row r="81" spans="1:16" ht="9.75" customHeight="1" x14ac:dyDescent="0.1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</row>
    <row r="82" spans="1:16" ht="9.75" customHeight="1" x14ac:dyDescent="0.1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</row>
    <row r="83" spans="1:16" ht="9.75" customHeight="1" x14ac:dyDescent="0.1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</row>
    <row r="84" spans="1:16" ht="9.75" customHeight="1" x14ac:dyDescent="0.1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</row>
    <row r="85" spans="1:16" ht="9.75" customHeight="1" x14ac:dyDescent="0.1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</row>
    <row r="86" spans="1:16" ht="9.75" customHeight="1" x14ac:dyDescent="0.1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</row>
    <row r="87" spans="1:16" ht="9.75" customHeight="1" x14ac:dyDescent="0.1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</row>
    <row r="88" spans="1:16" ht="9.75" customHeight="1" x14ac:dyDescent="0.1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</row>
    <row r="89" spans="1:16" ht="9.75" customHeight="1" x14ac:dyDescent="0.1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</row>
    <row r="90" spans="1:16" ht="9.75" customHeight="1" x14ac:dyDescent="0.1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</row>
    <row r="91" spans="1:16" ht="9.75" customHeight="1" x14ac:dyDescent="0.1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</row>
    <row r="92" spans="1:16" ht="9.75" customHeight="1" x14ac:dyDescent="0.1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</row>
    <row r="93" spans="1:16" ht="9.7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</row>
    <row r="94" spans="1:16" ht="9.75" customHeight="1" x14ac:dyDescent="0.1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</row>
    <row r="95" spans="1:16" ht="9.75" customHeight="1" x14ac:dyDescent="0.1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</row>
    <row r="96" spans="1:16" ht="9.75" customHeight="1" x14ac:dyDescent="0.1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</row>
    <row r="97" spans="1:16" ht="9.75" customHeight="1" x14ac:dyDescent="0.1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</row>
    <row r="98" spans="1:16" ht="9.75" customHeight="1" x14ac:dyDescent="0.1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</row>
    <row r="99" spans="1:16" ht="9.75" customHeight="1" x14ac:dyDescent="0.1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</row>
    <row r="100" spans="1:16" ht="9.75" customHeight="1" x14ac:dyDescent="0.1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</row>
    <row r="101" spans="1:16" ht="9.75" customHeight="1" x14ac:dyDescent="0.1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</row>
    <row r="102" spans="1:16" ht="9.75" customHeight="1" x14ac:dyDescent="0.1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</row>
    <row r="103" spans="1:16" ht="9.75" customHeight="1" x14ac:dyDescent="0.1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</row>
    <row r="104" spans="1:16" ht="9.75" customHeight="1" x14ac:dyDescent="0.1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</row>
    <row r="105" spans="1:16" ht="9.75" customHeight="1" x14ac:dyDescent="0.1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</row>
    <row r="106" spans="1:16" ht="9.75" customHeight="1" x14ac:dyDescent="0.1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</row>
    <row r="107" spans="1:16" ht="9.75" customHeight="1" x14ac:dyDescent="0.1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</row>
    <row r="108" spans="1:16" ht="9.75" customHeight="1" x14ac:dyDescent="0.1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</row>
    <row r="109" spans="1:16" ht="9.75" customHeight="1" x14ac:dyDescent="0.1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</row>
    <row r="110" spans="1:16" ht="9.75" customHeight="1" x14ac:dyDescent="0.1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</row>
    <row r="111" spans="1:16" ht="9.75" customHeight="1" x14ac:dyDescent="0.1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</row>
    <row r="112" spans="1:16" ht="9.75" customHeight="1" x14ac:dyDescent="0.1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</row>
    <row r="113" spans="1:16" ht="9.75" customHeight="1" x14ac:dyDescent="0.1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</row>
    <row r="114" spans="1:16" ht="9.75" customHeight="1" x14ac:dyDescent="0.1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</row>
    <row r="115" spans="1:16" ht="9.75" customHeight="1" x14ac:dyDescent="0.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</row>
    <row r="116" spans="1:16" ht="9.75" customHeight="1" x14ac:dyDescent="0.1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</row>
    <row r="117" spans="1:16" ht="9.75" customHeight="1" x14ac:dyDescent="0.1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</row>
    <row r="118" spans="1:16" ht="9.75" customHeight="1" x14ac:dyDescent="0.1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</row>
    <row r="119" spans="1:16" ht="9.75" customHeight="1" x14ac:dyDescent="0.1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</row>
    <row r="120" spans="1:16" ht="9.75" customHeight="1" x14ac:dyDescent="0.1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</row>
    <row r="121" spans="1:16" ht="9.75" customHeight="1" x14ac:dyDescent="0.1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</row>
    <row r="122" spans="1:16" ht="9.75" customHeight="1" x14ac:dyDescent="0.1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</row>
    <row r="123" spans="1:16" ht="9.75" customHeight="1" x14ac:dyDescent="0.1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</row>
    <row r="124" spans="1:16" ht="9.75" customHeight="1" x14ac:dyDescent="0.1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</row>
    <row r="125" spans="1:16" ht="9.75" customHeight="1" x14ac:dyDescent="0.1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</row>
    <row r="126" spans="1:16" ht="9.75" customHeight="1" x14ac:dyDescent="0.1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</row>
    <row r="127" spans="1:16" ht="9.75" customHeight="1" x14ac:dyDescent="0.1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</row>
    <row r="128" spans="1:16" ht="9.75" customHeight="1" x14ac:dyDescent="0.1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</row>
    <row r="129" spans="1:16" ht="9.75" customHeight="1" x14ac:dyDescent="0.1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</row>
    <row r="130" spans="1:16" ht="9.75" customHeight="1" x14ac:dyDescent="0.1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</row>
    <row r="131" spans="1:16" ht="9.75" customHeight="1" x14ac:dyDescent="0.1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</row>
    <row r="132" spans="1:16" ht="9.75" customHeight="1" x14ac:dyDescent="0.1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</row>
    <row r="133" spans="1:16" ht="9.75" customHeight="1" x14ac:dyDescent="0.1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</row>
    <row r="134" spans="1:16" ht="9.75" customHeight="1" x14ac:dyDescent="0.1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</row>
    <row r="135" spans="1:16" ht="9.75" customHeight="1" x14ac:dyDescent="0.1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</row>
    <row r="136" spans="1:16" ht="9.75" customHeight="1" x14ac:dyDescent="0.1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</row>
    <row r="137" spans="1:16" ht="9.75" customHeight="1" x14ac:dyDescent="0.1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</row>
    <row r="138" spans="1:16" ht="9.75" customHeight="1" x14ac:dyDescent="0.1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</row>
    <row r="139" spans="1:16" ht="9.75" customHeight="1" x14ac:dyDescent="0.1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</row>
    <row r="140" spans="1:16" ht="9.75" customHeight="1" x14ac:dyDescent="0.1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</row>
    <row r="141" spans="1:16" ht="9.75" customHeight="1" x14ac:dyDescent="0.1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</row>
    <row r="142" spans="1:16" ht="9.75" customHeight="1" x14ac:dyDescent="0.1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</row>
    <row r="143" spans="1:16" ht="9.75" customHeight="1" x14ac:dyDescent="0.1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</row>
    <row r="144" spans="1:16" ht="9.75" customHeight="1" x14ac:dyDescent="0.1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</row>
    <row r="145" spans="1:16" ht="9.75" customHeight="1" x14ac:dyDescent="0.1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</row>
    <row r="146" spans="1:16" ht="9.75" customHeight="1" x14ac:dyDescent="0.1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</row>
    <row r="147" spans="1:16" ht="9.75" customHeight="1" x14ac:dyDescent="0.1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</row>
    <row r="148" spans="1:16" ht="9.75" customHeight="1" x14ac:dyDescent="0.1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</row>
    <row r="149" spans="1:16" ht="9.75" customHeight="1" x14ac:dyDescent="0.1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</row>
    <row r="150" spans="1:16" ht="9.75" customHeight="1" x14ac:dyDescent="0.1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</row>
    <row r="151" spans="1:16" ht="9.75" customHeight="1" x14ac:dyDescent="0.1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</row>
    <row r="152" spans="1:16" ht="9.75" customHeight="1" x14ac:dyDescent="0.1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</row>
    <row r="153" spans="1:16" ht="9.75" customHeight="1" x14ac:dyDescent="0.1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</row>
    <row r="154" spans="1:16" ht="9.75" customHeight="1" x14ac:dyDescent="0.1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</row>
    <row r="155" spans="1:16" ht="9.75" customHeight="1" x14ac:dyDescent="0.1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</row>
    <row r="156" spans="1:16" ht="9.75" customHeight="1" x14ac:dyDescent="0.1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</row>
    <row r="157" spans="1:16" ht="9.75" customHeight="1" x14ac:dyDescent="0.1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</row>
    <row r="158" spans="1:16" ht="9.75" customHeight="1" x14ac:dyDescent="0.1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</row>
    <row r="159" spans="1:16" ht="9.75" customHeight="1" x14ac:dyDescent="0.1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</row>
    <row r="160" spans="1:16" ht="9.75" customHeight="1" x14ac:dyDescent="0.1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</row>
    <row r="161" spans="1:16" ht="9.75" customHeight="1" x14ac:dyDescent="0.1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</row>
    <row r="162" spans="1:16" ht="9.75" customHeight="1" x14ac:dyDescent="0.1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</row>
    <row r="163" spans="1:16" ht="9.75" customHeight="1" x14ac:dyDescent="0.1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</row>
    <row r="164" spans="1:16" ht="9.75" customHeight="1" x14ac:dyDescent="0.1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</row>
    <row r="165" spans="1:16" ht="9.75" customHeight="1" x14ac:dyDescent="0.1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</row>
    <row r="166" spans="1:16" ht="9.75" customHeight="1" x14ac:dyDescent="0.1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</row>
    <row r="167" spans="1:16" ht="9.75" customHeight="1" x14ac:dyDescent="0.1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</row>
    <row r="168" spans="1:16" ht="9.75" customHeight="1" x14ac:dyDescent="0.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</row>
    <row r="169" spans="1:16" ht="9.75" customHeight="1" x14ac:dyDescent="0.1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</row>
    <row r="170" spans="1:16" ht="9.75" customHeight="1" x14ac:dyDescent="0.1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</row>
    <row r="171" spans="1:16" ht="9.75" customHeight="1" x14ac:dyDescent="0.1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</row>
    <row r="172" spans="1:16" ht="9.75" customHeight="1" x14ac:dyDescent="0.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</row>
    <row r="173" spans="1:16" ht="9.75" customHeight="1" x14ac:dyDescent="0.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</row>
    <row r="174" spans="1:16" ht="9.75" customHeight="1" x14ac:dyDescent="0.1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</row>
    <row r="175" spans="1:16" ht="9.75" customHeight="1" x14ac:dyDescent="0.1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</row>
    <row r="176" spans="1:16" ht="9.75" customHeight="1" x14ac:dyDescent="0.1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</row>
    <row r="177" spans="1:16" ht="9.75" customHeight="1" x14ac:dyDescent="0.1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</row>
    <row r="178" spans="1:16" ht="9.75" customHeight="1" x14ac:dyDescent="0.1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</row>
    <row r="179" spans="1:16" ht="9.75" customHeight="1" x14ac:dyDescent="0.1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</row>
    <row r="180" spans="1:16" ht="9.75" customHeight="1" x14ac:dyDescent="0.1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</row>
    <row r="181" spans="1:16" ht="9.75" customHeight="1" x14ac:dyDescent="0.1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</row>
    <row r="182" spans="1:16" ht="9.75" customHeight="1" x14ac:dyDescent="0.1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</row>
    <row r="183" spans="1:16" ht="9.75" customHeight="1" x14ac:dyDescent="0.1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</row>
    <row r="184" spans="1:16" ht="9.75" customHeight="1" x14ac:dyDescent="0.1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</row>
    <row r="185" spans="1:16" ht="9.75" customHeight="1" x14ac:dyDescent="0.1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</row>
    <row r="186" spans="1:16" ht="9.75" customHeight="1" x14ac:dyDescent="0.1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</row>
    <row r="187" spans="1:16" ht="9.75" customHeight="1" x14ac:dyDescent="0.1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</row>
    <row r="188" spans="1:16" ht="9.75" customHeight="1" x14ac:dyDescent="0.1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</row>
    <row r="189" spans="1:16" ht="9.75" customHeight="1" x14ac:dyDescent="0.1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</row>
    <row r="190" spans="1:16" ht="9.75" customHeight="1" x14ac:dyDescent="0.1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</row>
    <row r="191" spans="1:16" ht="9.75" customHeight="1" x14ac:dyDescent="0.1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</row>
    <row r="192" spans="1:16" ht="9.75" customHeight="1" x14ac:dyDescent="0.1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</row>
    <row r="193" spans="1:16" ht="9.75" customHeight="1" x14ac:dyDescent="0.1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</row>
    <row r="194" spans="1:16" ht="9.75" customHeight="1" x14ac:dyDescent="0.1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</row>
    <row r="195" spans="1:16" ht="9.75" customHeight="1" x14ac:dyDescent="0.1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</row>
    <row r="196" spans="1:16" ht="9.75" customHeight="1" x14ac:dyDescent="0.1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</row>
    <row r="197" spans="1:16" ht="9.75" customHeight="1" x14ac:dyDescent="0.1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</row>
    <row r="198" spans="1:16" ht="9.75" customHeight="1" x14ac:dyDescent="0.1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</row>
    <row r="199" spans="1:16" ht="9.75" customHeight="1" x14ac:dyDescent="0.1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</row>
    <row r="200" spans="1:16" ht="9.75" customHeight="1" x14ac:dyDescent="0.1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</row>
    <row r="201" spans="1:16" ht="9.75" customHeight="1" x14ac:dyDescent="0.1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</row>
    <row r="202" spans="1:16" ht="9.75" customHeight="1" x14ac:dyDescent="0.1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</row>
    <row r="203" spans="1:16" ht="9.75" customHeight="1" x14ac:dyDescent="0.1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</row>
    <row r="204" spans="1:16" ht="9.75" customHeight="1" x14ac:dyDescent="0.1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</row>
    <row r="205" spans="1:16" ht="9.75" customHeight="1" x14ac:dyDescent="0.1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</row>
    <row r="206" spans="1:16" ht="9.75" customHeight="1" x14ac:dyDescent="0.1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</row>
    <row r="207" spans="1:16" ht="9.75" customHeight="1" x14ac:dyDescent="0.1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</row>
    <row r="208" spans="1:16" ht="9.75" customHeight="1" x14ac:dyDescent="0.1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</row>
    <row r="209" spans="1:16" ht="9.75" customHeight="1" x14ac:dyDescent="0.1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</row>
    <row r="210" spans="1:16" ht="9.75" customHeight="1" x14ac:dyDescent="0.1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</row>
    <row r="211" spans="1:16" ht="9.75" customHeight="1" x14ac:dyDescent="0.1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</row>
    <row r="212" spans="1:16" ht="9.75" customHeight="1" x14ac:dyDescent="0.1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</row>
    <row r="213" spans="1:16" ht="9.75" customHeight="1" x14ac:dyDescent="0.1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</row>
    <row r="214" spans="1:16" ht="9.75" customHeight="1" x14ac:dyDescent="0.1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</row>
    <row r="215" spans="1:16" ht="9.75" customHeight="1" x14ac:dyDescent="0.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</row>
    <row r="216" spans="1:16" ht="9.75" customHeight="1" x14ac:dyDescent="0.1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</row>
    <row r="217" spans="1:16" ht="9.75" customHeight="1" x14ac:dyDescent="0.1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</row>
    <row r="218" spans="1:16" ht="9.75" customHeight="1" x14ac:dyDescent="0.1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</row>
    <row r="219" spans="1:16" ht="9.75" customHeight="1" x14ac:dyDescent="0.1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</row>
    <row r="220" spans="1:16" ht="9.75" customHeight="1" x14ac:dyDescent="0.1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</row>
    <row r="221" spans="1:16" ht="9.75" customHeight="1" x14ac:dyDescent="0.1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</row>
    <row r="222" spans="1:16" ht="9.75" customHeight="1" x14ac:dyDescent="0.1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</row>
    <row r="223" spans="1:16" ht="9.75" customHeight="1" x14ac:dyDescent="0.1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</row>
    <row r="224" spans="1:16" ht="9.75" customHeight="1" x14ac:dyDescent="0.1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</row>
    <row r="225" spans="1:16" ht="9.75" customHeight="1" x14ac:dyDescent="0.1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</row>
    <row r="226" spans="1:16" ht="9.75" customHeight="1" x14ac:dyDescent="0.1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</row>
    <row r="227" spans="1:16" ht="9.75" customHeight="1" x14ac:dyDescent="0.1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</row>
    <row r="228" spans="1:16" ht="9.75" customHeight="1" x14ac:dyDescent="0.1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</row>
    <row r="229" spans="1:16" ht="9.75" customHeight="1" x14ac:dyDescent="0.1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</row>
    <row r="230" spans="1:16" ht="9.75" customHeight="1" x14ac:dyDescent="0.1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</row>
    <row r="231" spans="1:16" ht="9.75" customHeight="1" x14ac:dyDescent="0.1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</row>
    <row r="232" spans="1:16" ht="9.75" customHeight="1" x14ac:dyDescent="0.1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</row>
    <row r="233" spans="1:16" ht="9.75" customHeight="1" x14ac:dyDescent="0.1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</row>
    <row r="234" spans="1:16" ht="9.75" customHeight="1" x14ac:dyDescent="0.1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</row>
    <row r="235" spans="1:16" ht="9.75" customHeight="1" x14ac:dyDescent="0.1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</row>
    <row r="236" spans="1:16" ht="9.75" customHeight="1" x14ac:dyDescent="0.1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</row>
    <row r="237" spans="1:16" ht="9.75" customHeight="1" x14ac:dyDescent="0.1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</row>
    <row r="238" spans="1:16" ht="9.75" customHeight="1" x14ac:dyDescent="0.1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</row>
    <row r="239" spans="1:16" ht="9.75" customHeight="1" x14ac:dyDescent="0.1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</row>
    <row r="240" spans="1:16" ht="9.75" customHeight="1" x14ac:dyDescent="0.1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</row>
    <row r="241" spans="1:16" ht="9.75" customHeight="1" x14ac:dyDescent="0.1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</row>
    <row r="242" spans="1:16" ht="9.75" customHeight="1" x14ac:dyDescent="0.1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</row>
    <row r="243" spans="1:16" ht="9.75" customHeight="1" x14ac:dyDescent="0.1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</row>
    <row r="244" spans="1:16" ht="9.75" customHeight="1" x14ac:dyDescent="0.1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</row>
    <row r="245" spans="1:16" ht="9.75" customHeight="1" x14ac:dyDescent="0.1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</row>
    <row r="246" spans="1:16" ht="15.75" customHeight="1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.75" customHeight="1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.75" customHeight="1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.75" customHeight="1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.75" customHeight="1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.75" customHeight="1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.75" customHeight="1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.75" customHeight="1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.75" customHeight="1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.75" customHeight="1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.75" customHeight="1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mergeCells count="24">
    <mergeCell ref="K37:L37"/>
    <mergeCell ref="K38:L38"/>
    <mergeCell ref="K39:L39"/>
    <mergeCell ref="N39:O39"/>
    <mergeCell ref="N40:O40"/>
    <mergeCell ref="N41:O41"/>
    <mergeCell ref="K30:L30"/>
    <mergeCell ref="N30:P30"/>
    <mergeCell ref="K31:L31"/>
    <mergeCell ref="N31:O31"/>
    <mergeCell ref="K32:L32"/>
    <mergeCell ref="N32:O32"/>
    <mergeCell ref="N33:O33"/>
    <mergeCell ref="K40:L40"/>
    <mergeCell ref="K41:L41"/>
    <mergeCell ref="K33:L33"/>
    <mergeCell ref="K34:L34"/>
    <mergeCell ref="K35:L35"/>
    <mergeCell ref="K36:L36"/>
    <mergeCell ref="N34:O34"/>
    <mergeCell ref="N35:O35"/>
    <mergeCell ref="N36:O36"/>
    <mergeCell ref="N37:O37"/>
    <mergeCell ref="N38:O38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1001"/>
  <sheetViews>
    <sheetView showGridLines="0" workbookViewId="0"/>
  </sheetViews>
  <sheetFormatPr baseColWidth="10" defaultColWidth="12.6640625" defaultRowHeight="15" customHeight="1" outlineLevelCol="1" x14ac:dyDescent="0.15"/>
  <cols>
    <col min="1" max="1" width="1.5" customWidth="1"/>
    <col min="2" max="2" width="40.6640625" customWidth="1"/>
    <col min="3" max="3" width="3.33203125" customWidth="1"/>
    <col min="4" max="7" width="9.5" hidden="1" customWidth="1" outlineLevel="1"/>
    <col min="8" max="10" width="7.6640625" hidden="1" customWidth="1" outlineLevel="1"/>
    <col min="11" max="11" width="8.5" hidden="1" customWidth="1" outlineLevel="1"/>
    <col min="12" max="12" width="9.5" hidden="1" customWidth="1"/>
    <col min="13" max="16" width="9.5" hidden="1" customWidth="1" outlineLevel="1"/>
    <col min="17" max="17" width="9.5" customWidth="1" collapsed="1"/>
    <col min="18" max="21" width="9.5" hidden="1" customWidth="1" outlineLevel="1"/>
    <col min="22" max="22" width="9.5" customWidth="1" collapsed="1"/>
    <col min="23" max="25" width="9.5" hidden="1" customWidth="1" outlineLevel="1"/>
    <col min="26" max="26" width="7.1640625" hidden="1" customWidth="1" outlineLevel="1"/>
    <col min="27" max="27" width="9.5" customWidth="1" collapsed="1"/>
    <col min="28" max="31" width="9.5" hidden="1" customWidth="1" outlineLevel="1"/>
    <col min="32" max="32" width="9.5" customWidth="1" collapsed="1"/>
    <col min="33" max="36" width="9.5" hidden="1" customWidth="1" outlineLevel="1"/>
    <col min="37" max="37" width="9.5" customWidth="1" collapsed="1"/>
    <col min="38" max="41" width="9.5" hidden="1" customWidth="1" outlineLevel="1"/>
    <col min="42" max="42" width="9.5" customWidth="1" collapsed="1"/>
    <col min="43" max="46" width="9.5" hidden="1" customWidth="1" outlineLevel="1"/>
    <col min="47" max="47" width="9.5" customWidth="1" collapsed="1"/>
    <col min="48" max="51" width="9.5" hidden="1" customWidth="1" outlineLevel="1"/>
    <col min="52" max="52" width="9.5" customWidth="1" collapsed="1"/>
    <col min="53" max="56" width="9.5" hidden="1" customWidth="1" outlineLevel="1"/>
    <col min="57" max="57" width="9.5" customWidth="1" collapsed="1"/>
    <col min="58" max="62" width="8" customWidth="1"/>
  </cols>
  <sheetData>
    <row r="1" spans="1:62" ht="9.75" customHeight="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</row>
    <row r="2" spans="1:62" ht="15" customHeight="1" x14ac:dyDescent="0.2">
      <c r="A2" s="10"/>
      <c r="B2" s="11"/>
      <c r="C2" s="12"/>
      <c r="D2" s="13"/>
      <c r="E2" s="14"/>
      <c r="F2" s="15"/>
      <c r="G2" s="16"/>
      <c r="H2" s="13"/>
      <c r="I2" s="14"/>
      <c r="J2" s="15"/>
      <c r="K2" s="16"/>
      <c r="L2" s="17"/>
      <c r="M2" s="13"/>
      <c r="N2" s="14"/>
      <c r="O2" s="15"/>
      <c r="P2" s="16"/>
      <c r="Q2" s="17"/>
      <c r="R2" s="13"/>
      <c r="S2" s="14"/>
      <c r="T2" s="15"/>
      <c r="U2" s="16"/>
      <c r="V2" s="17"/>
      <c r="W2" s="13"/>
      <c r="X2" s="14"/>
      <c r="Y2" s="15"/>
      <c r="Z2" s="16"/>
      <c r="AA2" s="17"/>
      <c r="AB2" s="13"/>
      <c r="AC2" s="14"/>
      <c r="AD2" s="15"/>
      <c r="AE2" s="16"/>
      <c r="AF2" s="17"/>
      <c r="AG2" s="13"/>
      <c r="AH2" s="14"/>
      <c r="AI2" s="15"/>
      <c r="AJ2" s="16"/>
      <c r="AK2" s="17"/>
      <c r="AL2" s="13"/>
      <c r="AM2" s="14"/>
      <c r="AN2" s="15"/>
      <c r="AO2" s="16"/>
      <c r="AP2" s="17"/>
      <c r="AQ2" s="13"/>
      <c r="AR2" s="14"/>
      <c r="AS2" s="15"/>
      <c r="AT2" s="16"/>
      <c r="AU2" s="17"/>
      <c r="AV2" s="13"/>
      <c r="AW2" s="14"/>
      <c r="AX2" s="15"/>
      <c r="AY2" s="16"/>
      <c r="AZ2" s="17"/>
      <c r="BA2" s="13"/>
      <c r="BB2" s="14"/>
      <c r="BC2" s="15"/>
      <c r="BD2" s="16"/>
      <c r="BE2" s="17"/>
      <c r="BF2" s="10"/>
      <c r="BG2" s="10"/>
      <c r="BH2" s="10"/>
      <c r="BI2" s="10"/>
      <c r="BJ2" s="10"/>
    </row>
    <row r="3" spans="1:62" ht="33.75" customHeight="1" x14ac:dyDescent="0.2">
      <c r="A3" s="10"/>
      <c r="B3" s="18"/>
      <c r="C3" s="19"/>
      <c r="D3" s="20"/>
      <c r="E3" s="21"/>
      <c r="F3" s="22"/>
      <c r="G3" s="23"/>
      <c r="H3" s="20"/>
      <c r="I3" s="21"/>
      <c r="J3" s="22"/>
      <c r="K3" s="23"/>
      <c r="L3" s="24"/>
      <c r="M3" s="20"/>
      <c r="N3" s="21"/>
      <c r="O3" s="22"/>
      <c r="P3" s="23"/>
      <c r="Q3" s="24"/>
      <c r="R3" s="20"/>
      <c r="S3" s="21"/>
      <c r="T3" s="22"/>
      <c r="U3" s="23"/>
      <c r="V3" s="24"/>
      <c r="W3" s="20"/>
      <c r="X3" s="21"/>
      <c r="Y3" s="22"/>
      <c r="Z3" s="23"/>
      <c r="AA3" s="24"/>
      <c r="AB3" s="20"/>
      <c r="AC3" s="21"/>
      <c r="AD3" s="22"/>
      <c r="AE3" s="23"/>
      <c r="AF3" s="24"/>
      <c r="AG3" s="20"/>
      <c r="AH3" s="21"/>
      <c r="AI3" s="22"/>
      <c r="AJ3" s="23"/>
      <c r="AK3" s="24"/>
      <c r="AL3" s="20"/>
      <c r="AM3" s="21"/>
      <c r="AN3" s="22"/>
      <c r="AO3" s="23"/>
      <c r="AP3" s="24"/>
      <c r="AQ3" s="20"/>
      <c r="AR3" s="21"/>
      <c r="AS3" s="22"/>
      <c r="AT3" s="23"/>
      <c r="AU3" s="24"/>
      <c r="AV3" s="20"/>
      <c r="AW3" s="21"/>
      <c r="AX3" s="22"/>
      <c r="AY3" s="23"/>
      <c r="AZ3" s="24"/>
      <c r="BA3" s="20"/>
      <c r="BB3" s="21"/>
      <c r="BC3" s="22"/>
      <c r="BD3" s="23"/>
      <c r="BE3" s="24"/>
      <c r="BF3" s="25"/>
      <c r="BG3" s="26"/>
      <c r="BH3" s="26"/>
      <c r="BI3" s="26"/>
      <c r="BJ3" s="26"/>
    </row>
    <row r="4" spans="1:62" ht="15" customHeight="1" x14ac:dyDescent="0.2">
      <c r="A4" s="10"/>
      <c r="B4" s="27" t="str">
        <f>ModelCover!B7</f>
        <v>American Tower</v>
      </c>
      <c r="C4" s="19"/>
      <c r="D4" s="28" t="e">
        <f t="shared" ref="D4:G4" si="0">#REF!</f>
        <v>#REF!</v>
      </c>
      <c r="E4" s="29" t="e">
        <f t="shared" si="0"/>
        <v>#REF!</v>
      </c>
      <c r="F4" s="30" t="e">
        <f t="shared" si="0"/>
        <v>#REF!</v>
      </c>
      <c r="G4" s="31" t="e">
        <f t="shared" si="0"/>
        <v>#REF!</v>
      </c>
      <c r="H4" s="28">
        <f t="shared" ref="H4:K4" si="1">$L$4</f>
        <v>2017</v>
      </c>
      <c r="I4" s="29">
        <f t="shared" si="1"/>
        <v>2017</v>
      </c>
      <c r="J4" s="30">
        <f t="shared" si="1"/>
        <v>2017</v>
      </c>
      <c r="K4" s="31">
        <f t="shared" si="1"/>
        <v>2017</v>
      </c>
      <c r="L4" s="32">
        <v>2017</v>
      </c>
      <c r="M4" s="28">
        <f t="shared" ref="M4:P4" si="2">$Q$4</f>
        <v>2018</v>
      </c>
      <c r="N4" s="29">
        <f t="shared" si="2"/>
        <v>2018</v>
      </c>
      <c r="O4" s="30">
        <f t="shared" si="2"/>
        <v>2018</v>
      </c>
      <c r="P4" s="31">
        <f t="shared" si="2"/>
        <v>2018</v>
      </c>
      <c r="Q4" s="32">
        <f>L4+1</f>
        <v>2018</v>
      </c>
      <c r="R4" s="28">
        <f t="shared" ref="R4:U4" si="3">$V$4</f>
        <v>2019</v>
      </c>
      <c r="S4" s="29">
        <f t="shared" si="3"/>
        <v>2019</v>
      </c>
      <c r="T4" s="30">
        <f t="shared" si="3"/>
        <v>2019</v>
      </c>
      <c r="U4" s="31">
        <f t="shared" si="3"/>
        <v>2019</v>
      </c>
      <c r="V4" s="32">
        <f>Q4+1</f>
        <v>2019</v>
      </c>
      <c r="W4" s="28">
        <f t="shared" ref="W4:Z4" si="4">$AA$4</f>
        <v>2020</v>
      </c>
      <c r="X4" s="29">
        <f t="shared" si="4"/>
        <v>2020</v>
      </c>
      <c r="Y4" s="30">
        <f t="shared" si="4"/>
        <v>2020</v>
      </c>
      <c r="Z4" s="31">
        <f t="shared" si="4"/>
        <v>2020</v>
      </c>
      <c r="AA4" s="33">
        <f>V4+1</f>
        <v>2020</v>
      </c>
      <c r="AB4" s="34" t="s">
        <v>14</v>
      </c>
      <c r="AC4" s="34" t="s">
        <v>15</v>
      </c>
      <c r="AD4" s="34" t="s">
        <v>16</v>
      </c>
      <c r="AE4" s="34" t="s">
        <v>17</v>
      </c>
      <c r="AF4" s="34">
        <f>AA4+1</f>
        <v>2021</v>
      </c>
      <c r="AG4" s="34" t="s">
        <v>18</v>
      </c>
      <c r="AH4" s="34" t="s">
        <v>19</v>
      </c>
      <c r="AI4" s="34" t="s">
        <v>20</v>
      </c>
      <c r="AJ4" s="34" t="s">
        <v>21</v>
      </c>
      <c r="AK4" s="34">
        <f>AF4+1</f>
        <v>2022</v>
      </c>
      <c r="AL4" s="34" t="s">
        <v>22</v>
      </c>
      <c r="AM4" s="34" t="s">
        <v>23</v>
      </c>
      <c r="AN4" s="34" t="s">
        <v>24</v>
      </c>
      <c r="AO4" s="34" t="s">
        <v>25</v>
      </c>
      <c r="AP4" s="34">
        <f t="shared" ref="AP4:BE4" si="5">AK4+1</f>
        <v>2023</v>
      </c>
      <c r="AQ4" s="34" t="e">
        <f t="shared" si="5"/>
        <v>#VALUE!</v>
      </c>
      <c r="AR4" s="34" t="e">
        <f t="shared" si="5"/>
        <v>#VALUE!</v>
      </c>
      <c r="AS4" s="34" t="e">
        <f t="shared" si="5"/>
        <v>#VALUE!</v>
      </c>
      <c r="AT4" s="34" t="e">
        <f t="shared" si="5"/>
        <v>#VALUE!</v>
      </c>
      <c r="AU4" s="34">
        <f t="shared" si="5"/>
        <v>2024</v>
      </c>
      <c r="AV4" s="34" t="e">
        <f t="shared" si="5"/>
        <v>#VALUE!</v>
      </c>
      <c r="AW4" s="34" t="e">
        <f t="shared" si="5"/>
        <v>#VALUE!</v>
      </c>
      <c r="AX4" s="34" t="e">
        <f t="shared" si="5"/>
        <v>#VALUE!</v>
      </c>
      <c r="AY4" s="34" t="e">
        <f t="shared" si="5"/>
        <v>#VALUE!</v>
      </c>
      <c r="AZ4" s="34">
        <f t="shared" si="5"/>
        <v>2025</v>
      </c>
      <c r="BA4" s="34" t="e">
        <f t="shared" si="5"/>
        <v>#VALUE!</v>
      </c>
      <c r="BB4" s="34" t="e">
        <f t="shared" si="5"/>
        <v>#VALUE!</v>
      </c>
      <c r="BC4" s="34" t="e">
        <f t="shared" si="5"/>
        <v>#VALUE!</v>
      </c>
      <c r="BD4" s="34" t="e">
        <f t="shared" si="5"/>
        <v>#VALUE!</v>
      </c>
      <c r="BE4" s="34">
        <f t="shared" si="5"/>
        <v>2026</v>
      </c>
      <c r="BF4" s="35"/>
      <c r="BG4" s="26"/>
      <c r="BH4" s="26"/>
      <c r="BI4" s="26"/>
      <c r="BJ4" s="26"/>
    </row>
    <row r="5" spans="1:62" ht="12.75" customHeight="1" x14ac:dyDescent="0.2">
      <c r="A5" s="10"/>
      <c r="B5" s="36" t="str">
        <f ca="1">MID(CELL("filename",A1),FIND("]",CELL("filename",A1))+1,255)&amp;" ($USD in Millions)"</f>
        <v>Balance Sheet ($USD in Millions)</v>
      </c>
      <c r="C5" s="37"/>
      <c r="D5" s="38" t="e">
        <f>EOMONTH(#REF!,3)</f>
        <v>#REF!</v>
      </c>
      <c r="E5" s="39" t="e">
        <f t="shared" ref="E5:G5" si="6">EOMONTH(D5,3)</f>
        <v>#REF!</v>
      </c>
      <c r="F5" s="39" t="e">
        <f t="shared" si="6"/>
        <v>#REF!</v>
      </c>
      <c r="G5" s="40" t="e">
        <f t="shared" si="6"/>
        <v>#REF!</v>
      </c>
      <c r="H5" s="38" t="e">
        <f>EOMONTH(#REF!,3)</f>
        <v>#REF!</v>
      </c>
      <c r="I5" s="39" t="e">
        <f t="shared" ref="I5:K5" si="7">EOMONTH(H5,3)</f>
        <v>#REF!</v>
      </c>
      <c r="J5" s="39" t="e">
        <f t="shared" si="7"/>
        <v>#REF!</v>
      </c>
      <c r="K5" s="40" t="e">
        <f t="shared" si="7"/>
        <v>#REF!</v>
      </c>
      <c r="L5" s="41">
        <v>43100</v>
      </c>
      <c r="M5" s="42">
        <f t="shared" ref="M5:P5" si="8">EOMONTH(L5,3)</f>
        <v>43190</v>
      </c>
      <c r="N5" s="43">
        <f t="shared" si="8"/>
        <v>43281</v>
      </c>
      <c r="O5" s="43">
        <f t="shared" si="8"/>
        <v>43373</v>
      </c>
      <c r="P5" s="40">
        <f t="shared" si="8"/>
        <v>43465</v>
      </c>
      <c r="Q5" s="41">
        <f>DATE(YEAR(L5)+1,MONTH(L5),DAY(L5))</f>
        <v>43465</v>
      </c>
      <c r="R5" s="38">
        <f t="shared" ref="R5:U5" si="9">EOMONTH(Q5,3)</f>
        <v>43555</v>
      </c>
      <c r="S5" s="39">
        <f t="shared" si="9"/>
        <v>43646</v>
      </c>
      <c r="T5" s="39">
        <f t="shared" si="9"/>
        <v>43738</v>
      </c>
      <c r="U5" s="40">
        <f t="shared" si="9"/>
        <v>43830</v>
      </c>
      <c r="V5" s="41">
        <f>DATE(YEAR(Q5)+1,MONTH(Q5),DAY(Q5))</f>
        <v>43830</v>
      </c>
      <c r="W5" s="38">
        <f t="shared" ref="W5:Z5" si="10">EOMONTH(V5,3)</f>
        <v>43921</v>
      </c>
      <c r="X5" s="39">
        <f t="shared" si="10"/>
        <v>44012</v>
      </c>
      <c r="Y5" s="39">
        <f t="shared" si="10"/>
        <v>44104</v>
      </c>
      <c r="Z5" s="40">
        <f t="shared" si="10"/>
        <v>44196</v>
      </c>
      <c r="AA5" s="41">
        <f>DATE(YEAR(V5)+1,MONTH(V5),DAY(V5))</f>
        <v>44196</v>
      </c>
      <c r="AB5" s="38">
        <f t="shared" ref="AB5:AE5" si="11">EOMONTH(AA5,3)</f>
        <v>44286</v>
      </c>
      <c r="AC5" s="39">
        <f t="shared" si="11"/>
        <v>44377</v>
      </c>
      <c r="AD5" s="39">
        <f t="shared" si="11"/>
        <v>44469</v>
      </c>
      <c r="AE5" s="40">
        <f t="shared" si="11"/>
        <v>44561</v>
      </c>
      <c r="AF5" s="41">
        <f>DATE(YEAR(AA5)+1,MONTH(AA5),DAY(AA5))</f>
        <v>44561</v>
      </c>
      <c r="AG5" s="38">
        <f t="shared" ref="AG5:AJ5" si="12">EOMONTH(AF5,3)</f>
        <v>44651</v>
      </c>
      <c r="AH5" s="39">
        <f t="shared" si="12"/>
        <v>44742</v>
      </c>
      <c r="AI5" s="39">
        <f t="shared" si="12"/>
        <v>44834</v>
      </c>
      <c r="AJ5" s="40">
        <f t="shared" si="12"/>
        <v>44926</v>
      </c>
      <c r="AK5" s="41">
        <f>DATE(YEAR(AF5)+1,MONTH(AF5),DAY(AF5))</f>
        <v>44926</v>
      </c>
      <c r="AL5" s="38">
        <f t="shared" ref="AL5:AO5" si="13">EOMONTH(AK5,3)</f>
        <v>45016</v>
      </c>
      <c r="AM5" s="39">
        <f t="shared" si="13"/>
        <v>45107</v>
      </c>
      <c r="AN5" s="39">
        <f t="shared" si="13"/>
        <v>45199</v>
      </c>
      <c r="AO5" s="40">
        <f t="shared" si="13"/>
        <v>45291</v>
      </c>
      <c r="AP5" s="41">
        <f>DATE(YEAR(AK5)+1,MONTH(AK5),DAY(AK5))</f>
        <v>45291</v>
      </c>
      <c r="AQ5" s="38">
        <f t="shared" ref="AQ5:AT5" si="14">EOMONTH(AP5,3)</f>
        <v>45382</v>
      </c>
      <c r="AR5" s="39">
        <f t="shared" si="14"/>
        <v>45473</v>
      </c>
      <c r="AS5" s="39">
        <f t="shared" si="14"/>
        <v>45565</v>
      </c>
      <c r="AT5" s="40">
        <f t="shared" si="14"/>
        <v>45657</v>
      </c>
      <c r="AU5" s="41">
        <f>DATE(YEAR(AP5)+1,MONTH(AP5),DAY(AP5))</f>
        <v>45657</v>
      </c>
      <c r="AV5" s="38">
        <f t="shared" ref="AV5:AY5" si="15">EOMONTH(AU5,3)</f>
        <v>45747</v>
      </c>
      <c r="AW5" s="39">
        <f t="shared" si="15"/>
        <v>45838</v>
      </c>
      <c r="AX5" s="39">
        <f t="shared" si="15"/>
        <v>45930</v>
      </c>
      <c r="AY5" s="40">
        <f t="shared" si="15"/>
        <v>46022</v>
      </c>
      <c r="AZ5" s="41">
        <f>DATE(YEAR(AU5)+1,MONTH(AU5),DAY(AU5))</f>
        <v>46022</v>
      </c>
      <c r="BA5" s="38">
        <f t="shared" ref="BA5:BD5" si="16">EOMONTH(AZ5,3)</f>
        <v>46112</v>
      </c>
      <c r="BB5" s="39">
        <f t="shared" si="16"/>
        <v>46203</v>
      </c>
      <c r="BC5" s="39">
        <f t="shared" si="16"/>
        <v>46295</v>
      </c>
      <c r="BD5" s="40">
        <f t="shared" si="16"/>
        <v>46387</v>
      </c>
      <c r="BE5" s="41">
        <f>DATE(YEAR(AZ5)+1,MONTH(AZ5),DAY(AZ5))</f>
        <v>46387</v>
      </c>
      <c r="BF5" s="25"/>
      <c r="BG5" s="26"/>
      <c r="BH5" s="26"/>
      <c r="BI5" s="26"/>
      <c r="BJ5" s="26"/>
    </row>
    <row r="6" spans="1:62" ht="4.5" customHeight="1" x14ac:dyDescent="0.1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44"/>
      <c r="M6" s="45"/>
      <c r="N6" s="10"/>
      <c r="O6" s="10"/>
      <c r="P6" s="10"/>
      <c r="Q6" s="46"/>
      <c r="R6" s="10"/>
      <c r="S6" s="10"/>
      <c r="T6" s="10"/>
      <c r="U6" s="10"/>
      <c r="V6" s="47"/>
      <c r="W6" s="10"/>
      <c r="X6" s="10"/>
      <c r="Y6" s="10"/>
      <c r="Z6" s="10"/>
      <c r="AA6" s="47"/>
      <c r="AB6" s="10"/>
      <c r="AC6" s="10"/>
      <c r="AD6" s="10"/>
      <c r="AE6" s="10"/>
      <c r="AF6" s="47"/>
      <c r="AG6" s="10"/>
      <c r="AH6" s="10"/>
      <c r="AI6" s="10"/>
      <c r="AJ6" s="10"/>
      <c r="AK6" s="47"/>
      <c r="AL6" s="10"/>
      <c r="AM6" s="10"/>
      <c r="AN6" s="10"/>
      <c r="AO6" s="10"/>
      <c r="AP6" s="47"/>
      <c r="AQ6" s="10"/>
      <c r="AR6" s="10"/>
      <c r="AS6" s="10"/>
      <c r="AT6" s="10"/>
      <c r="AU6" s="47"/>
      <c r="AV6" s="10"/>
      <c r="AW6" s="10"/>
      <c r="AX6" s="10"/>
      <c r="AY6" s="10"/>
      <c r="AZ6" s="47"/>
      <c r="BA6" s="10"/>
      <c r="BB6" s="10"/>
      <c r="BC6" s="10"/>
      <c r="BD6" s="10"/>
      <c r="BE6" s="47"/>
      <c r="BF6" s="10"/>
      <c r="BG6" s="10"/>
      <c r="BH6" s="10"/>
      <c r="BI6" s="10"/>
      <c r="BJ6" s="10"/>
    </row>
    <row r="7" spans="1:62" ht="9.75" customHeight="1" x14ac:dyDescent="0.15">
      <c r="A7" s="10"/>
      <c r="B7" s="48" t="s">
        <v>26</v>
      </c>
      <c r="C7" s="10"/>
      <c r="D7" s="49"/>
      <c r="E7" s="49"/>
      <c r="F7" s="49"/>
      <c r="G7" s="49"/>
      <c r="H7" s="49"/>
      <c r="I7" s="49"/>
      <c r="J7" s="49"/>
      <c r="K7" s="49"/>
      <c r="L7" s="50"/>
      <c r="M7" s="50"/>
      <c r="N7" s="49"/>
      <c r="O7" s="49"/>
      <c r="P7" s="49"/>
      <c r="Q7" s="51"/>
      <c r="R7" s="49"/>
      <c r="S7" s="49"/>
      <c r="T7" s="49"/>
      <c r="U7" s="49"/>
      <c r="V7" s="51"/>
      <c r="W7" s="49"/>
      <c r="X7" s="49"/>
      <c r="Y7" s="49"/>
      <c r="Z7" s="49"/>
      <c r="AA7" s="51"/>
      <c r="AB7" s="49"/>
      <c r="AC7" s="49"/>
      <c r="AD7" s="49"/>
      <c r="AE7" s="49"/>
      <c r="AF7" s="51"/>
      <c r="AG7" s="49"/>
      <c r="AH7" s="49"/>
      <c r="AI7" s="49"/>
      <c r="AJ7" s="49"/>
      <c r="AK7" s="51"/>
      <c r="AL7" s="49"/>
      <c r="AM7" s="49"/>
      <c r="AN7" s="49"/>
      <c r="AO7" s="49"/>
      <c r="AP7" s="51"/>
      <c r="AQ7" s="49"/>
      <c r="AR7" s="49"/>
      <c r="AS7" s="49"/>
      <c r="AT7" s="49"/>
      <c r="AU7" s="51"/>
      <c r="AV7" s="49"/>
      <c r="AW7" s="49"/>
      <c r="AX7" s="49"/>
      <c r="AY7" s="49"/>
      <c r="AZ7" s="51"/>
      <c r="BA7" s="49"/>
      <c r="BB7" s="49"/>
      <c r="BC7" s="49"/>
      <c r="BD7" s="49"/>
      <c r="BE7" s="51"/>
      <c r="BF7" s="10"/>
      <c r="BG7" s="10"/>
      <c r="BH7" s="10"/>
      <c r="BI7" s="10"/>
      <c r="BJ7" s="10"/>
    </row>
    <row r="8" spans="1:62" ht="4.5" customHeight="1" x14ac:dyDescent="0.15">
      <c r="A8" s="10"/>
      <c r="B8" s="10"/>
      <c r="C8" s="10"/>
      <c r="D8" s="49"/>
      <c r="E8" s="49"/>
      <c r="F8" s="49"/>
      <c r="G8" s="49"/>
      <c r="H8" s="49"/>
      <c r="I8" s="49"/>
      <c r="J8" s="49"/>
      <c r="K8" s="49"/>
      <c r="L8" s="50"/>
      <c r="M8" s="50"/>
      <c r="N8" s="49"/>
      <c r="O8" s="49"/>
      <c r="P8" s="49"/>
      <c r="Q8" s="51"/>
      <c r="R8" s="49"/>
      <c r="S8" s="49"/>
      <c r="T8" s="49"/>
      <c r="U8" s="49"/>
      <c r="V8" s="51"/>
      <c r="W8" s="49"/>
      <c r="X8" s="49"/>
      <c r="Y8" s="49"/>
      <c r="Z8" s="49"/>
      <c r="AA8" s="51"/>
      <c r="AB8" s="49"/>
      <c r="AC8" s="49"/>
      <c r="AD8" s="49"/>
      <c r="AE8" s="49"/>
      <c r="AF8" s="51"/>
      <c r="AG8" s="49"/>
      <c r="AH8" s="49"/>
      <c r="AI8" s="49"/>
      <c r="AJ8" s="49"/>
      <c r="AK8" s="51"/>
      <c r="AL8" s="49"/>
      <c r="AM8" s="49"/>
      <c r="AN8" s="49"/>
      <c r="AO8" s="49"/>
      <c r="AP8" s="51"/>
      <c r="AQ8" s="49"/>
      <c r="AR8" s="49"/>
      <c r="AS8" s="49"/>
      <c r="AT8" s="49"/>
      <c r="AU8" s="51"/>
      <c r="AV8" s="49"/>
      <c r="AW8" s="49"/>
      <c r="AX8" s="49"/>
      <c r="AY8" s="49"/>
      <c r="AZ8" s="51"/>
      <c r="BA8" s="49"/>
      <c r="BB8" s="49"/>
      <c r="BC8" s="49"/>
      <c r="BD8" s="49"/>
      <c r="BE8" s="51"/>
      <c r="BF8" s="10"/>
      <c r="BG8" s="10"/>
      <c r="BH8" s="10"/>
      <c r="BI8" s="10"/>
      <c r="BJ8" s="10"/>
    </row>
    <row r="9" spans="1:62" ht="9.75" customHeight="1" x14ac:dyDescent="0.15">
      <c r="A9" s="10"/>
      <c r="B9" s="52" t="s">
        <v>27</v>
      </c>
      <c r="C9" s="10"/>
      <c r="D9" s="49"/>
      <c r="E9" s="49"/>
      <c r="F9" s="49"/>
      <c r="G9" s="49"/>
      <c r="H9" s="49"/>
      <c r="I9" s="49"/>
      <c r="J9" s="49"/>
      <c r="K9" s="49"/>
      <c r="L9" s="50"/>
      <c r="M9" s="50"/>
      <c r="N9" s="49"/>
      <c r="O9" s="49"/>
      <c r="P9" s="49"/>
      <c r="Q9" s="51"/>
      <c r="R9" s="50"/>
      <c r="S9" s="49"/>
      <c r="T9" s="49"/>
      <c r="U9" s="49"/>
      <c r="V9" s="51"/>
      <c r="W9" s="50"/>
      <c r="X9" s="49"/>
      <c r="Y9" s="49"/>
      <c r="Z9" s="49"/>
      <c r="AA9" s="51"/>
      <c r="AB9" s="49"/>
      <c r="AC9" s="49"/>
      <c r="AD9" s="49"/>
      <c r="AE9" s="49"/>
      <c r="AF9" s="51"/>
      <c r="AG9" s="49"/>
      <c r="AH9" s="49"/>
      <c r="AI9" s="49"/>
      <c r="AJ9" s="49"/>
      <c r="AK9" s="51"/>
      <c r="AL9" s="49"/>
      <c r="AM9" s="49"/>
      <c r="AN9" s="49"/>
      <c r="AO9" s="49"/>
      <c r="AP9" s="51"/>
      <c r="AQ9" s="49"/>
      <c r="AR9" s="49"/>
      <c r="AS9" s="49"/>
      <c r="AT9" s="49"/>
      <c r="AU9" s="51"/>
      <c r="AV9" s="49"/>
      <c r="AW9" s="49"/>
      <c r="AX9" s="49"/>
      <c r="AY9" s="49"/>
      <c r="AZ9" s="51"/>
      <c r="BA9" s="49"/>
      <c r="BB9" s="49"/>
      <c r="BC9" s="49"/>
      <c r="BD9" s="49"/>
      <c r="BE9" s="51"/>
      <c r="BF9" s="10"/>
      <c r="BG9" s="10"/>
      <c r="BH9" s="10"/>
      <c r="BI9" s="10"/>
      <c r="BJ9" s="10"/>
    </row>
    <row r="10" spans="1:62" ht="9.75" customHeight="1" x14ac:dyDescent="0.15">
      <c r="A10" s="10"/>
      <c r="B10" s="53" t="s">
        <v>28</v>
      </c>
      <c r="C10" s="52"/>
      <c r="D10" s="52"/>
      <c r="E10" s="49"/>
      <c r="F10" s="49"/>
      <c r="G10" s="49"/>
      <c r="H10" s="49"/>
      <c r="I10" s="49"/>
      <c r="J10" s="49"/>
      <c r="K10" s="49"/>
      <c r="L10" s="50"/>
      <c r="M10" s="54">
        <v>1125.4000000000001</v>
      </c>
      <c r="N10" s="55">
        <v>834.5</v>
      </c>
      <c r="O10" s="55">
        <v>1026.5</v>
      </c>
      <c r="P10" s="56">
        <f t="shared" ref="P10:P14" si="17">Q10</f>
        <v>1208</v>
      </c>
      <c r="Q10" s="57">
        <v>1208</v>
      </c>
      <c r="R10" s="54">
        <v>1004.8</v>
      </c>
      <c r="S10" s="55">
        <v>1192.2</v>
      </c>
      <c r="T10" s="55">
        <v>1352.6</v>
      </c>
      <c r="U10" s="56">
        <f t="shared" ref="U10:U14" si="18">V10</f>
        <v>1501.2</v>
      </c>
      <c r="V10" s="57">
        <v>1501.2</v>
      </c>
      <c r="W10" s="54">
        <v>1326</v>
      </c>
      <c r="X10" s="55">
        <v>2038.1</v>
      </c>
      <c r="Y10" s="55">
        <v>1626</v>
      </c>
      <c r="Z10" s="56">
        <f t="shared" ref="Z10:Z14" si="19">AA10</f>
        <v>1746.3</v>
      </c>
      <c r="AA10" s="57">
        <v>1746.3</v>
      </c>
      <c r="AB10" s="54">
        <v>1913.6</v>
      </c>
      <c r="AC10" s="55">
        <v>1928</v>
      </c>
      <c r="AD10" s="55">
        <v>3277.2</v>
      </c>
      <c r="AE10" s="56"/>
      <c r="AF10" s="57">
        <f t="shared" ref="AF10:AF11" si="20">AVERAGE(Q10:AA10)*1.08</f>
        <v>1594.7378181818183</v>
      </c>
      <c r="AG10" s="54"/>
      <c r="AH10" s="55"/>
      <c r="AI10" s="55"/>
      <c r="AJ10" s="56"/>
      <c r="AK10" s="57">
        <f t="shared" ref="AK10:BE10" si="21">AF10*1.08</f>
        <v>1722.316843636364</v>
      </c>
      <c r="AL10" s="54">
        <f t="shared" si="21"/>
        <v>0</v>
      </c>
      <c r="AM10" s="55">
        <f t="shared" si="21"/>
        <v>0</v>
      </c>
      <c r="AN10" s="55">
        <f t="shared" si="21"/>
        <v>0</v>
      </c>
      <c r="AO10" s="56">
        <f t="shared" si="21"/>
        <v>0</v>
      </c>
      <c r="AP10" s="57">
        <f t="shared" si="21"/>
        <v>1860.1021911272733</v>
      </c>
      <c r="AQ10" s="54">
        <f t="shared" si="21"/>
        <v>0</v>
      </c>
      <c r="AR10" s="55">
        <f t="shared" si="21"/>
        <v>0</v>
      </c>
      <c r="AS10" s="55">
        <f t="shared" si="21"/>
        <v>0</v>
      </c>
      <c r="AT10" s="56">
        <f t="shared" si="21"/>
        <v>0</v>
      </c>
      <c r="AU10" s="57">
        <f t="shared" si="21"/>
        <v>2008.9103664174552</v>
      </c>
      <c r="AV10" s="54">
        <f t="shared" si="21"/>
        <v>0</v>
      </c>
      <c r="AW10" s="55">
        <f t="shared" si="21"/>
        <v>0</v>
      </c>
      <c r="AX10" s="55">
        <f t="shared" si="21"/>
        <v>0</v>
      </c>
      <c r="AY10" s="56">
        <f t="shared" si="21"/>
        <v>0</v>
      </c>
      <c r="AZ10" s="57">
        <f t="shared" si="21"/>
        <v>2169.6231957308519</v>
      </c>
      <c r="BA10" s="54">
        <f t="shared" si="21"/>
        <v>0</v>
      </c>
      <c r="BB10" s="55">
        <f t="shared" si="21"/>
        <v>0</v>
      </c>
      <c r="BC10" s="55">
        <f t="shared" si="21"/>
        <v>0</v>
      </c>
      <c r="BD10" s="56">
        <f t="shared" si="21"/>
        <v>0</v>
      </c>
      <c r="BE10" s="57">
        <f t="shared" si="21"/>
        <v>2343.1930513893203</v>
      </c>
      <c r="BF10" s="45"/>
      <c r="BG10" s="10"/>
      <c r="BH10" s="10"/>
      <c r="BI10" s="10"/>
      <c r="BJ10" s="10"/>
    </row>
    <row r="11" spans="1:62" ht="9.75" customHeight="1" x14ac:dyDescent="0.15">
      <c r="A11" s="10"/>
      <c r="B11" s="53" t="s">
        <v>29</v>
      </c>
      <c r="C11" s="52"/>
      <c r="D11" s="52"/>
      <c r="E11" s="49"/>
      <c r="F11" s="49"/>
      <c r="G11" s="49"/>
      <c r="H11" s="55"/>
      <c r="I11" s="55"/>
      <c r="J11" s="55"/>
      <c r="K11" s="55"/>
      <c r="L11" s="54"/>
      <c r="M11" s="54">
        <v>153.5</v>
      </c>
      <c r="N11" s="55">
        <v>135.6</v>
      </c>
      <c r="O11" s="55">
        <v>266.8</v>
      </c>
      <c r="P11" s="56">
        <f t="shared" si="17"/>
        <v>96.2</v>
      </c>
      <c r="Q11" s="54">
        <v>96.2</v>
      </c>
      <c r="R11" s="54">
        <v>94.9</v>
      </c>
      <c r="S11" s="55">
        <v>93.8</v>
      </c>
      <c r="T11" s="55">
        <v>95.7</v>
      </c>
      <c r="U11" s="56">
        <f t="shared" si="18"/>
        <v>76.8</v>
      </c>
      <c r="V11" s="54">
        <v>76.8</v>
      </c>
      <c r="W11" s="54">
        <v>74.3</v>
      </c>
      <c r="X11" s="55">
        <v>68</v>
      </c>
      <c r="Y11" s="55">
        <v>104.2</v>
      </c>
      <c r="Z11" s="56">
        <f t="shared" si="19"/>
        <v>115.1</v>
      </c>
      <c r="AA11" s="54">
        <v>115.1</v>
      </c>
      <c r="AB11" s="54">
        <v>79.7</v>
      </c>
      <c r="AC11" s="55">
        <v>72.8</v>
      </c>
      <c r="AD11" s="55">
        <v>422.1</v>
      </c>
      <c r="AE11" s="56"/>
      <c r="AF11" s="57">
        <f t="shared" si="20"/>
        <v>99.25200000000001</v>
      </c>
      <c r="AG11" s="54"/>
      <c r="AH11" s="55"/>
      <c r="AI11" s="55"/>
      <c r="AJ11" s="56"/>
      <c r="AK11" s="54">
        <f t="shared" ref="AK11:BE11" si="22">AF11*1.07</f>
        <v>106.19964000000002</v>
      </c>
      <c r="AL11" s="54">
        <f t="shared" si="22"/>
        <v>0</v>
      </c>
      <c r="AM11" s="55">
        <f t="shared" si="22"/>
        <v>0</v>
      </c>
      <c r="AN11" s="55">
        <f t="shared" si="22"/>
        <v>0</v>
      </c>
      <c r="AO11" s="56">
        <f t="shared" si="22"/>
        <v>0</v>
      </c>
      <c r="AP11" s="54">
        <f t="shared" si="22"/>
        <v>113.63361480000002</v>
      </c>
      <c r="AQ11" s="54">
        <f t="shared" si="22"/>
        <v>0</v>
      </c>
      <c r="AR11" s="55">
        <f t="shared" si="22"/>
        <v>0</v>
      </c>
      <c r="AS11" s="55">
        <f t="shared" si="22"/>
        <v>0</v>
      </c>
      <c r="AT11" s="56">
        <f t="shared" si="22"/>
        <v>0</v>
      </c>
      <c r="AU11" s="54">
        <f t="shared" si="22"/>
        <v>121.58796783600003</v>
      </c>
      <c r="AV11" s="54">
        <f t="shared" si="22"/>
        <v>0</v>
      </c>
      <c r="AW11" s="55">
        <f t="shared" si="22"/>
        <v>0</v>
      </c>
      <c r="AX11" s="55">
        <f t="shared" si="22"/>
        <v>0</v>
      </c>
      <c r="AY11" s="56">
        <f t="shared" si="22"/>
        <v>0</v>
      </c>
      <c r="AZ11" s="54">
        <f t="shared" si="22"/>
        <v>130.09912558452004</v>
      </c>
      <c r="BA11" s="54">
        <f t="shared" si="22"/>
        <v>0</v>
      </c>
      <c r="BB11" s="55">
        <f t="shared" si="22"/>
        <v>0</v>
      </c>
      <c r="BC11" s="55">
        <f t="shared" si="22"/>
        <v>0</v>
      </c>
      <c r="BD11" s="56">
        <f t="shared" si="22"/>
        <v>0</v>
      </c>
      <c r="BE11" s="54">
        <f t="shared" si="22"/>
        <v>139.20606437543645</v>
      </c>
      <c r="BF11" s="45"/>
      <c r="BG11" s="10"/>
      <c r="BH11" s="10"/>
      <c r="BI11" s="10"/>
      <c r="BJ11" s="10"/>
    </row>
    <row r="12" spans="1:62" ht="9.75" customHeight="1" x14ac:dyDescent="0.15">
      <c r="A12" s="10"/>
      <c r="B12" s="53" t="s">
        <v>30</v>
      </c>
      <c r="C12" s="52"/>
      <c r="D12" s="52"/>
      <c r="E12" s="49"/>
      <c r="F12" s="49"/>
      <c r="G12" s="49"/>
      <c r="H12" s="55"/>
      <c r="I12" s="55"/>
      <c r="J12" s="55"/>
      <c r="K12" s="55"/>
      <c r="L12" s="54"/>
      <c r="M12" s="54">
        <v>389.4</v>
      </c>
      <c r="N12" s="55">
        <v>80.8</v>
      </c>
      <c r="O12" s="55">
        <v>68.2</v>
      </c>
      <c r="P12" s="56">
        <f t="shared" si="17"/>
        <v>0</v>
      </c>
      <c r="Q12" s="54"/>
      <c r="R12" s="54">
        <v>18.399999999999999</v>
      </c>
      <c r="S12" s="55"/>
      <c r="T12" s="55"/>
      <c r="U12" s="56">
        <f t="shared" si="18"/>
        <v>0</v>
      </c>
      <c r="V12" s="54"/>
      <c r="W12" s="54"/>
      <c r="X12" s="55"/>
      <c r="Y12" s="55"/>
      <c r="Z12" s="56">
        <f t="shared" si="19"/>
        <v>0</v>
      </c>
      <c r="AA12" s="54"/>
      <c r="AB12" s="54"/>
      <c r="AC12" s="55"/>
      <c r="AD12" s="55"/>
      <c r="AE12" s="56"/>
      <c r="AF12" s="57"/>
      <c r="AG12" s="54"/>
      <c r="AH12" s="55"/>
      <c r="AI12" s="55"/>
      <c r="AJ12" s="56"/>
      <c r="AK12" s="54"/>
      <c r="AL12" s="54"/>
      <c r="AM12" s="55"/>
      <c r="AN12" s="55"/>
      <c r="AO12" s="56"/>
      <c r="AP12" s="54"/>
      <c r="AQ12" s="54"/>
      <c r="AR12" s="55"/>
      <c r="AS12" s="55"/>
      <c r="AT12" s="56"/>
      <c r="AU12" s="54"/>
      <c r="AV12" s="54"/>
      <c r="AW12" s="55"/>
      <c r="AX12" s="55"/>
      <c r="AY12" s="56"/>
      <c r="AZ12" s="54"/>
      <c r="BA12" s="54"/>
      <c r="BB12" s="55"/>
      <c r="BC12" s="55"/>
      <c r="BD12" s="56"/>
      <c r="BE12" s="54"/>
      <c r="BF12" s="45"/>
      <c r="BG12" s="10"/>
      <c r="BH12" s="10"/>
      <c r="BI12" s="10"/>
      <c r="BJ12" s="10"/>
    </row>
    <row r="13" spans="1:62" ht="9.75" customHeight="1" x14ac:dyDescent="0.15">
      <c r="A13" s="10"/>
      <c r="B13" s="53" t="s">
        <v>31</v>
      </c>
      <c r="C13" s="52"/>
      <c r="D13" s="52"/>
      <c r="E13" s="49"/>
      <c r="F13" s="49"/>
      <c r="G13" s="49"/>
      <c r="H13" s="55"/>
      <c r="I13" s="55"/>
      <c r="J13" s="55"/>
      <c r="K13" s="55"/>
      <c r="L13" s="54"/>
      <c r="M13" s="54">
        <v>557.9</v>
      </c>
      <c r="N13" s="55">
        <v>506.9</v>
      </c>
      <c r="O13" s="55">
        <v>511.1</v>
      </c>
      <c r="P13" s="56">
        <f t="shared" si="17"/>
        <v>459.4</v>
      </c>
      <c r="Q13" s="54">
        <v>459.4</v>
      </c>
      <c r="R13" s="54">
        <v>473</v>
      </c>
      <c r="S13" s="55">
        <v>459.5</v>
      </c>
      <c r="T13" s="55">
        <v>441.7</v>
      </c>
      <c r="U13" s="56">
        <f t="shared" si="18"/>
        <v>462.2</v>
      </c>
      <c r="V13" s="54">
        <v>462.2</v>
      </c>
      <c r="W13" s="54">
        <v>623.9</v>
      </c>
      <c r="X13" s="55">
        <v>585.20000000000005</v>
      </c>
      <c r="Y13" s="55">
        <v>573.6</v>
      </c>
      <c r="Z13" s="56">
        <f t="shared" si="19"/>
        <v>511.6</v>
      </c>
      <c r="AA13" s="54">
        <v>511.6</v>
      </c>
      <c r="AB13" s="54">
        <v>537.70000000000005</v>
      </c>
      <c r="AC13" s="55">
        <v>739.6</v>
      </c>
      <c r="AD13" s="55">
        <v>750.6</v>
      </c>
      <c r="AE13" s="56">
        <f>'Δ NWC'!AE8</f>
        <v>620.1369073972603</v>
      </c>
      <c r="AF13" s="57">
        <f>'Δ NWC'!AF8</f>
        <v>620.1369073972603</v>
      </c>
      <c r="AG13" s="54">
        <f>'Δ NWC'!AG8</f>
        <v>670.54816438356158</v>
      </c>
      <c r="AH13" s="55">
        <f>'Δ NWC'!AH8</f>
        <v>713.53558904109582</v>
      </c>
      <c r="AI13" s="55">
        <f>'Δ NWC'!AI8</f>
        <v>762.72605479452068</v>
      </c>
      <c r="AJ13" s="56">
        <f>'Δ NWC'!AJ8</f>
        <v>723.99114131506849</v>
      </c>
      <c r="AK13" s="56">
        <f>'Δ NWC'!AK8</f>
        <v>723.99114131506849</v>
      </c>
      <c r="AL13" s="54">
        <f>'Δ NWC'!AL8</f>
        <v>798.57926486356166</v>
      </c>
      <c r="AM13" s="55">
        <f>'Δ NWC'!AM8</f>
        <v>852.18854351123298</v>
      </c>
      <c r="AN13" s="55">
        <f>'Δ NWC'!AN8</f>
        <v>916.1712992810958</v>
      </c>
      <c r="AO13" s="56">
        <f>'Δ NWC'!AO8</f>
        <v>858.34016258494694</v>
      </c>
      <c r="AP13" s="56">
        <f>'Δ NWC'!AP8</f>
        <v>858.34016258494694</v>
      </c>
      <c r="AQ13" s="56">
        <f>'Δ NWC'!AQ8</f>
        <v>0</v>
      </c>
      <c r="AR13" s="56">
        <f>'Δ NWC'!AR8</f>
        <v>0</v>
      </c>
      <c r="AS13" s="56">
        <f>'Δ NWC'!AS8</f>
        <v>0</v>
      </c>
      <c r="AT13" s="56">
        <f>'Δ NWC'!AT8</f>
        <v>0</v>
      </c>
      <c r="AU13" s="56">
        <f>'Δ NWC'!AU8</f>
        <v>921.85420940719382</v>
      </c>
      <c r="AV13" s="56">
        <f>'Δ NWC'!AV8</f>
        <v>0</v>
      </c>
      <c r="AW13" s="56">
        <f>'Δ NWC'!AW8</f>
        <v>0</v>
      </c>
      <c r="AX13" s="56">
        <f>'Δ NWC'!AX8</f>
        <v>0</v>
      </c>
      <c r="AY13" s="56">
        <f>'Δ NWC'!AY8</f>
        <v>0</v>
      </c>
      <c r="AZ13" s="56">
        <f>'Δ NWC'!AZ8</f>
        <v>822.52551731321125</v>
      </c>
      <c r="BA13" s="56">
        <f>'Δ NWC'!BA8</f>
        <v>0</v>
      </c>
      <c r="BB13" s="56">
        <f>'Δ NWC'!BB8</f>
        <v>0</v>
      </c>
      <c r="BC13" s="56">
        <f>'Δ NWC'!BC8</f>
        <v>0</v>
      </c>
      <c r="BD13" s="56">
        <f>'Δ NWC'!BD8</f>
        <v>0</v>
      </c>
      <c r="BE13" s="56">
        <f>'Δ NWC'!BE8</f>
        <v>772.93969936533404</v>
      </c>
      <c r="BF13" s="45"/>
      <c r="BG13" s="10"/>
      <c r="BH13" s="10"/>
      <c r="BI13" s="10"/>
      <c r="BJ13" s="10"/>
    </row>
    <row r="14" spans="1:62" ht="9.75" customHeight="1" x14ac:dyDescent="0.15">
      <c r="A14" s="10"/>
      <c r="B14" s="53" t="s">
        <v>32</v>
      </c>
      <c r="C14" s="52"/>
      <c r="D14" s="52"/>
      <c r="E14" s="49"/>
      <c r="F14" s="49"/>
      <c r="G14" s="49"/>
      <c r="H14" s="55"/>
      <c r="I14" s="55"/>
      <c r="J14" s="55"/>
      <c r="K14" s="55"/>
      <c r="L14" s="54"/>
      <c r="M14" s="54">
        <v>571.20000000000005</v>
      </c>
      <c r="N14" s="55">
        <v>569.29999999999995</v>
      </c>
      <c r="O14" s="55">
        <v>564.4</v>
      </c>
      <c r="P14" s="56">
        <f t="shared" si="17"/>
        <v>621.20000000000005</v>
      </c>
      <c r="Q14" s="54">
        <v>621.20000000000005</v>
      </c>
      <c r="R14" s="54">
        <v>471.2</v>
      </c>
      <c r="S14" s="55">
        <v>486.9</v>
      </c>
      <c r="T14" s="55">
        <v>472</v>
      </c>
      <c r="U14" s="56">
        <f t="shared" si="18"/>
        <v>513.6</v>
      </c>
      <c r="V14" s="54">
        <v>513.6</v>
      </c>
      <c r="W14" s="54">
        <v>480.7</v>
      </c>
      <c r="X14" s="55">
        <v>535.29999999999995</v>
      </c>
      <c r="Y14" s="55">
        <v>548.70000000000005</v>
      </c>
      <c r="Z14" s="56">
        <f t="shared" si="19"/>
        <v>532.6</v>
      </c>
      <c r="AA14" s="54">
        <v>532.6</v>
      </c>
      <c r="AB14" s="54">
        <v>490.6</v>
      </c>
      <c r="AC14" s="55">
        <v>615.6</v>
      </c>
      <c r="AD14" s="55">
        <v>592</v>
      </c>
      <c r="AE14" s="56">
        <f>'Δ NWC'!AE12</f>
        <v>580.96492608000005</v>
      </c>
      <c r="AF14" s="57">
        <f>'Δ NWC'!AF12</f>
        <v>580.96492608000005</v>
      </c>
      <c r="AG14" s="54">
        <f>'Δ NWC'!AG12</f>
        <v>593.17264445406795</v>
      </c>
      <c r="AH14" s="55">
        <f>'Δ NWC'!AH12</f>
        <v>671.84315923346628</v>
      </c>
      <c r="AI14" s="55">
        <f>'Δ NWC'!AI12</f>
        <v>669.54559122454805</v>
      </c>
      <c r="AJ14" s="56">
        <f>'Δ NWC'!AJ12</f>
        <v>665.92705178159997</v>
      </c>
      <c r="AK14" s="56">
        <f>'Δ NWC'!AK12</f>
        <v>665.92705178159997</v>
      </c>
      <c r="AL14" s="54">
        <f>'Δ NWC'!AL12</f>
        <v>677.29142423476799</v>
      </c>
      <c r="AM14" s="55">
        <f>'Δ NWC'!AM12</f>
        <v>768.76604249751426</v>
      </c>
      <c r="AN14" s="55">
        <f>'Δ NWC'!AN12</f>
        <v>771.13950616499289</v>
      </c>
      <c r="AO14" s="56">
        <f>'Δ NWC'!AO12</f>
        <v>756.60539481456613</v>
      </c>
      <c r="AP14" s="56">
        <f>'Δ NWC'!AP12</f>
        <v>756.60539481456613</v>
      </c>
      <c r="AQ14" s="56">
        <f>'Δ NWC'!AQ12</f>
        <v>0</v>
      </c>
      <c r="AR14" s="56">
        <f>'Δ NWC'!AR12</f>
        <v>0</v>
      </c>
      <c r="AS14" s="56">
        <f>'Δ NWC'!AS12</f>
        <v>0</v>
      </c>
      <c r="AT14" s="56">
        <f>'Δ NWC'!AT12</f>
        <v>0</v>
      </c>
      <c r="AU14" s="56">
        <f>'Δ NWC'!AU12</f>
        <v>880.01621067255985</v>
      </c>
      <c r="AV14" s="56">
        <f>'Δ NWC'!AV12</f>
        <v>0</v>
      </c>
      <c r="AW14" s="56">
        <f>'Δ NWC'!AW12</f>
        <v>0</v>
      </c>
      <c r="AX14" s="56">
        <f>'Δ NWC'!AX12</f>
        <v>0</v>
      </c>
      <c r="AY14" s="56">
        <f>'Δ NWC'!AY12</f>
        <v>0</v>
      </c>
      <c r="AZ14" s="56">
        <f>'Δ NWC'!AZ12</f>
        <v>859.7261032098769</v>
      </c>
      <c r="BA14" s="56">
        <f>'Δ NWC'!BA12</f>
        <v>0</v>
      </c>
      <c r="BB14" s="56">
        <f>'Δ NWC'!BB12</f>
        <v>0</v>
      </c>
      <c r="BC14" s="56">
        <f>'Δ NWC'!BC12</f>
        <v>0</v>
      </c>
      <c r="BD14" s="56">
        <f>'Δ NWC'!BD12</f>
        <v>0</v>
      </c>
      <c r="BE14" s="56">
        <f>'Δ NWC'!BE12</f>
        <v>846.36897080504082</v>
      </c>
      <c r="BF14" s="45"/>
      <c r="BG14" s="10"/>
      <c r="BH14" s="10"/>
      <c r="BI14" s="10"/>
      <c r="BJ14" s="10"/>
    </row>
    <row r="15" spans="1:62" ht="9.75" customHeight="1" x14ac:dyDescent="0.15">
      <c r="A15" s="58"/>
      <c r="B15" s="52" t="s">
        <v>33</v>
      </c>
      <c r="C15" s="52"/>
      <c r="D15" s="52"/>
      <c r="E15" s="59"/>
      <c r="F15" s="59"/>
      <c r="G15" s="59"/>
      <c r="H15" s="60"/>
      <c r="I15" s="60"/>
      <c r="J15" s="60"/>
      <c r="K15" s="60"/>
      <c r="L15" s="61">
        <f t="shared" ref="L15:BE15" si="23">SUM(L10:L14)</f>
        <v>0</v>
      </c>
      <c r="M15" s="61">
        <f t="shared" si="23"/>
        <v>2797.4000000000005</v>
      </c>
      <c r="N15" s="60">
        <f t="shared" si="23"/>
        <v>2127.1000000000004</v>
      </c>
      <c r="O15" s="60">
        <f t="shared" si="23"/>
        <v>2437</v>
      </c>
      <c r="P15" s="62">
        <f t="shared" si="23"/>
        <v>2384.8000000000002</v>
      </c>
      <c r="Q15" s="63">
        <f t="shared" si="23"/>
        <v>2384.8000000000002</v>
      </c>
      <c r="R15" s="61">
        <f t="shared" si="23"/>
        <v>2062.3000000000002</v>
      </c>
      <c r="S15" s="60">
        <f t="shared" si="23"/>
        <v>2232.4</v>
      </c>
      <c r="T15" s="60">
        <f t="shared" si="23"/>
        <v>2362</v>
      </c>
      <c r="U15" s="62">
        <f t="shared" si="23"/>
        <v>2553.8000000000002</v>
      </c>
      <c r="V15" s="63">
        <f t="shared" si="23"/>
        <v>2553.8000000000002</v>
      </c>
      <c r="W15" s="61">
        <f t="shared" si="23"/>
        <v>2504.8999999999996</v>
      </c>
      <c r="X15" s="60">
        <f t="shared" si="23"/>
        <v>3226.6000000000004</v>
      </c>
      <c r="Y15" s="60">
        <f t="shared" si="23"/>
        <v>2852.5</v>
      </c>
      <c r="Z15" s="62">
        <f t="shared" si="23"/>
        <v>2905.6</v>
      </c>
      <c r="AA15" s="63">
        <f t="shared" si="23"/>
        <v>2905.6</v>
      </c>
      <c r="AB15" s="61">
        <f t="shared" si="23"/>
        <v>3021.6</v>
      </c>
      <c r="AC15" s="60">
        <f t="shared" si="23"/>
        <v>3356</v>
      </c>
      <c r="AD15" s="60">
        <f t="shared" si="23"/>
        <v>5041.8999999999996</v>
      </c>
      <c r="AE15" s="62">
        <f t="shared" si="23"/>
        <v>1201.1018334772602</v>
      </c>
      <c r="AF15" s="63">
        <f t="shared" si="23"/>
        <v>2895.0916516590787</v>
      </c>
      <c r="AG15" s="61">
        <f t="shared" si="23"/>
        <v>1263.7208088376296</v>
      </c>
      <c r="AH15" s="60">
        <f t="shared" si="23"/>
        <v>1385.378748274562</v>
      </c>
      <c r="AI15" s="60">
        <f t="shared" si="23"/>
        <v>1432.2716460190686</v>
      </c>
      <c r="AJ15" s="62">
        <f t="shared" si="23"/>
        <v>1389.9181930966683</v>
      </c>
      <c r="AK15" s="63">
        <f t="shared" si="23"/>
        <v>3218.4346767330321</v>
      </c>
      <c r="AL15" s="61">
        <f t="shared" si="23"/>
        <v>1475.8706890983296</v>
      </c>
      <c r="AM15" s="60">
        <f t="shared" si="23"/>
        <v>1620.9545860087474</v>
      </c>
      <c r="AN15" s="60">
        <f t="shared" si="23"/>
        <v>1687.3108054460886</v>
      </c>
      <c r="AO15" s="62">
        <f t="shared" si="23"/>
        <v>1614.9455573995131</v>
      </c>
      <c r="AP15" s="63">
        <f t="shared" si="23"/>
        <v>3588.6813633267866</v>
      </c>
      <c r="AQ15" s="61">
        <f t="shared" si="23"/>
        <v>0</v>
      </c>
      <c r="AR15" s="60">
        <f t="shared" si="23"/>
        <v>0</v>
      </c>
      <c r="AS15" s="60">
        <f t="shared" si="23"/>
        <v>0</v>
      </c>
      <c r="AT15" s="62">
        <f t="shared" si="23"/>
        <v>0</v>
      </c>
      <c r="AU15" s="63">
        <f t="shared" si="23"/>
        <v>3932.3687543332085</v>
      </c>
      <c r="AV15" s="61">
        <f t="shared" si="23"/>
        <v>0</v>
      </c>
      <c r="AW15" s="60">
        <f t="shared" si="23"/>
        <v>0</v>
      </c>
      <c r="AX15" s="60">
        <f t="shared" si="23"/>
        <v>0</v>
      </c>
      <c r="AY15" s="62">
        <f t="shared" si="23"/>
        <v>0</v>
      </c>
      <c r="AZ15" s="63">
        <f t="shared" si="23"/>
        <v>3981.9739418384602</v>
      </c>
      <c r="BA15" s="61">
        <f t="shared" si="23"/>
        <v>0</v>
      </c>
      <c r="BB15" s="60">
        <f t="shared" si="23"/>
        <v>0</v>
      </c>
      <c r="BC15" s="60">
        <f t="shared" si="23"/>
        <v>0</v>
      </c>
      <c r="BD15" s="62">
        <f t="shared" si="23"/>
        <v>0</v>
      </c>
      <c r="BE15" s="63">
        <f t="shared" si="23"/>
        <v>4101.7077859351321</v>
      </c>
      <c r="BF15" s="64"/>
      <c r="BG15" s="58"/>
      <c r="BH15" s="58"/>
      <c r="BI15" s="58"/>
      <c r="BJ15" s="58"/>
    </row>
    <row r="16" spans="1:62" ht="9.75" customHeight="1" x14ac:dyDescent="0.15">
      <c r="A16" s="10"/>
      <c r="B16" s="53" t="s">
        <v>34</v>
      </c>
      <c r="C16" s="52"/>
      <c r="D16" s="52"/>
      <c r="E16" s="49"/>
      <c r="F16" s="49"/>
      <c r="G16" s="49"/>
      <c r="H16" s="55"/>
      <c r="I16" s="55"/>
      <c r="J16" s="55"/>
      <c r="K16" s="55"/>
      <c r="L16" s="54"/>
      <c r="M16" s="54">
        <v>11294.8</v>
      </c>
      <c r="N16" s="55">
        <v>11067</v>
      </c>
      <c r="O16" s="55">
        <v>10996.3</v>
      </c>
      <c r="P16" s="56">
        <f t="shared" ref="P16:P22" si="24">Q16</f>
        <v>11247</v>
      </c>
      <c r="Q16" s="54">
        <v>11247</v>
      </c>
      <c r="R16" s="54">
        <v>11202.6</v>
      </c>
      <c r="S16" s="55">
        <v>11268.6</v>
      </c>
      <c r="T16" s="55">
        <v>11283.2</v>
      </c>
      <c r="U16" s="56">
        <f t="shared" ref="U16:U22" si="25">V16</f>
        <v>12084.4</v>
      </c>
      <c r="V16" s="54">
        <v>12084.4</v>
      </c>
      <c r="W16" s="54">
        <v>11451.3</v>
      </c>
      <c r="X16" s="55">
        <v>11545.7</v>
      </c>
      <c r="Y16" s="55">
        <v>11643.6</v>
      </c>
      <c r="Z16" s="56">
        <f t="shared" ref="Z16:Z22" si="26">AA16</f>
        <v>12808.7</v>
      </c>
      <c r="AA16" s="54">
        <v>12808.7</v>
      </c>
      <c r="AB16" s="54">
        <v>12712.5</v>
      </c>
      <c r="AC16" s="55">
        <v>14216.5</v>
      </c>
      <c r="AD16" s="55">
        <v>14268.1</v>
      </c>
      <c r="AE16" s="56"/>
      <c r="AF16" s="57"/>
      <c r="AG16" s="54"/>
      <c r="AH16" s="55"/>
      <c r="AI16" s="55"/>
      <c r="AJ16" s="56"/>
      <c r="AK16" s="54"/>
      <c r="AL16" s="54"/>
      <c r="AM16" s="55"/>
      <c r="AN16" s="55"/>
      <c r="AO16" s="56"/>
      <c r="AP16" s="54"/>
      <c r="AQ16" s="54"/>
      <c r="AR16" s="55"/>
      <c r="AS16" s="55"/>
      <c r="AT16" s="56"/>
      <c r="AU16" s="54"/>
      <c r="AV16" s="54"/>
      <c r="AW16" s="55"/>
      <c r="AX16" s="55"/>
      <c r="AY16" s="56"/>
      <c r="AZ16" s="54"/>
      <c r="BA16" s="54"/>
      <c r="BB16" s="55"/>
      <c r="BC16" s="55"/>
      <c r="BD16" s="56"/>
      <c r="BE16" s="54"/>
      <c r="BF16" s="45"/>
      <c r="BG16" s="10"/>
      <c r="BH16" s="10"/>
      <c r="BI16" s="10"/>
      <c r="BJ16" s="10"/>
    </row>
    <row r="17" spans="1:62" ht="9.75" customHeight="1" x14ac:dyDescent="0.15">
      <c r="A17" s="10"/>
      <c r="B17" s="53" t="s">
        <v>35</v>
      </c>
      <c r="C17" s="52"/>
      <c r="D17" s="52"/>
      <c r="E17" s="49"/>
      <c r="F17" s="49"/>
      <c r="G17" s="49"/>
      <c r="H17" s="55"/>
      <c r="I17" s="55"/>
      <c r="J17" s="55"/>
      <c r="K17" s="55"/>
      <c r="L17" s="54"/>
      <c r="M17" s="54">
        <v>5647.1</v>
      </c>
      <c r="N17" s="55">
        <v>5526.6</v>
      </c>
      <c r="O17" s="55">
        <v>5463.4</v>
      </c>
      <c r="P17" s="56">
        <f t="shared" si="24"/>
        <v>5502</v>
      </c>
      <c r="Q17" s="54">
        <v>5502</v>
      </c>
      <c r="R17" s="54">
        <v>5538.2</v>
      </c>
      <c r="S17" s="55">
        <v>5557.8</v>
      </c>
      <c r="T17" s="55">
        <v>5481.4</v>
      </c>
      <c r="U17" s="56">
        <f t="shared" si="25"/>
        <v>6178.3</v>
      </c>
      <c r="V17" s="54">
        <v>6178.3</v>
      </c>
      <c r="W17" s="54">
        <v>5948.8</v>
      </c>
      <c r="X17" s="55">
        <v>5822.4</v>
      </c>
      <c r="Y17" s="55">
        <v>5848.6</v>
      </c>
      <c r="Z17" s="56">
        <f t="shared" si="26"/>
        <v>7282.7</v>
      </c>
      <c r="AA17" s="54">
        <v>7282.7</v>
      </c>
      <c r="AB17" s="54">
        <v>7262.4</v>
      </c>
      <c r="AC17" s="55">
        <v>10575.4</v>
      </c>
      <c r="AD17" s="55">
        <v>10480.799999999999</v>
      </c>
      <c r="AE17" s="56"/>
      <c r="AF17" s="57"/>
      <c r="AG17" s="54"/>
      <c r="AH17" s="55"/>
      <c r="AI17" s="55"/>
      <c r="AJ17" s="56"/>
      <c r="AK17" s="54"/>
      <c r="AL17" s="54"/>
      <c r="AM17" s="55"/>
      <c r="AN17" s="55"/>
      <c r="AO17" s="56"/>
      <c r="AP17" s="54"/>
      <c r="AQ17" s="54"/>
      <c r="AR17" s="55"/>
      <c r="AS17" s="55"/>
      <c r="AT17" s="56"/>
      <c r="AU17" s="54"/>
      <c r="AV17" s="54"/>
      <c r="AW17" s="55"/>
      <c r="AX17" s="55"/>
      <c r="AY17" s="56"/>
      <c r="AZ17" s="54"/>
      <c r="BA17" s="54"/>
      <c r="BB17" s="55"/>
      <c r="BC17" s="55"/>
      <c r="BD17" s="56"/>
      <c r="BE17" s="54"/>
      <c r="BF17" s="45"/>
      <c r="BG17" s="10"/>
      <c r="BH17" s="10"/>
      <c r="BI17" s="10"/>
      <c r="BJ17" s="10"/>
    </row>
    <row r="18" spans="1:62" ht="9.75" customHeight="1" x14ac:dyDescent="0.15">
      <c r="A18" s="10"/>
      <c r="B18" s="53" t="s">
        <v>36</v>
      </c>
      <c r="C18" s="52"/>
      <c r="D18" s="52"/>
      <c r="E18" s="49"/>
      <c r="F18" s="49"/>
      <c r="G18" s="49"/>
      <c r="H18" s="55"/>
      <c r="I18" s="55"/>
      <c r="J18" s="55"/>
      <c r="K18" s="55"/>
      <c r="L18" s="54"/>
      <c r="M18" s="54">
        <v>11940.2</v>
      </c>
      <c r="N18" s="55">
        <v>11758.2</v>
      </c>
      <c r="O18" s="55">
        <v>11481.7</v>
      </c>
      <c r="P18" s="56">
        <f t="shared" si="24"/>
        <v>11174</v>
      </c>
      <c r="Q18" s="54">
        <v>11174</v>
      </c>
      <c r="R18" s="54">
        <v>11042.8</v>
      </c>
      <c r="S18" s="55">
        <v>10895.2</v>
      </c>
      <c r="T18" s="55">
        <v>10895.8</v>
      </c>
      <c r="U18" s="56">
        <f t="shared" si="25"/>
        <v>12318.4</v>
      </c>
      <c r="V18" s="54">
        <v>12318.4</v>
      </c>
      <c r="W18" s="54">
        <v>11600.6</v>
      </c>
      <c r="X18" s="55">
        <v>11613.8</v>
      </c>
      <c r="Y18" s="55">
        <v>11517.3</v>
      </c>
      <c r="Z18" s="56">
        <f t="shared" si="26"/>
        <v>13839.8</v>
      </c>
      <c r="AA18" s="54">
        <v>13839.8</v>
      </c>
      <c r="AB18" s="54">
        <v>13507.3</v>
      </c>
      <c r="AC18" s="55">
        <v>18785</v>
      </c>
      <c r="AD18" s="55">
        <v>18768.400000000001</v>
      </c>
      <c r="AE18" s="56"/>
      <c r="AF18" s="54"/>
      <c r="AG18" s="54"/>
      <c r="AH18" s="55"/>
      <c r="AI18" s="55"/>
      <c r="AJ18" s="56"/>
      <c r="AK18" s="54"/>
      <c r="AL18" s="54"/>
      <c r="AM18" s="55"/>
      <c r="AN18" s="55"/>
      <c r="AO18" s="56"/>
      <c r="AP18" s="54"/>
      <c r="AQ18" s="54"/>
      <c r="AR18" s="55"/>
      <c r="AS18" s="55"/>
      <c r="AT18" s="56"/>
      <c r="AU18" s="54"/>
      <c r="AV18" s="54"/>
      <c r="AW18" s="55"/>
      <c r="AX18" s="55"/>
      <c r="AY18" s="56"/>
      <c r="AZ18" s="54"/>
      <c r="BA18" s="54"/>
      <c r="BB18" s="55"/>
      <c r="BC18" s="55"/>
      <c r="BD18" s="56"/>
      <c r="BE18" s="54"/>
      <c r="BF18" s="45"/>
      <c r="BG18" s="10"/>
      <c r="BH18" s="10"/>
      <c r="BI18" s="10"/>
      <c r="BJ18" s="10"/>
    </row>
    <row r="19" spans="1:62" ht="9.75" customHeight="1" x14ac:dyDescent="0.15">
      <c r="A19" s="10"/>
      <c r="B19" s="53" t="s">
        <v>37</v>
      </c>
      <c r="C19" s="52"/>
      <c r="D19" s="52"/>
      <c r="E19" s="49"/>
      <c r="F19" s="49"/>
      <c r="G19" s="49"/>
      <c r="H19" s="55"/>
      <c r="I19" s="55"/>
      <c r="J19" s="55"/>
      <c r="K19" s="55"/>
      <c r="L19" s="54"/>
      <c r="M19" s="54">
        <v>192.9</v>
      </c>
      <c r="N19" s="55">
        <v>183.7</v>
      </c>
      <c r="O19" s="55">
        <v>173.1</v>
      </c>
      <c r="P19" s="56">
        <f t="shared" si="24"/>
        <v>157.69999999999999</v>
      </c>
      <c r="Q19" s="54">
        <v>157.69999999999999</v>
      </c>
      <c r="R19" s="54">
        <v>132.30000000000001</v>
      </c>
      <c r="S19" s="55">
        <v>147.80000000000001</v>
      </c>
      <c r="T19" s="55">
        <v>143.5</v>
      </c>
      <c r="U19" s="56">
        <f t="shared" si="25"/>
        <v>131.80000000000001</v>
      </c>
      <c r="V19" s="54">
        <v>131.80000000000001</v>
      </c>
      <c r="W19" s="54">
        <v>126.4</v>
      </c>
      <c r="X19" s="55">
        <v>138.6</v>
      </c>
      <c r="Y19" s="55">
        <v>115</v>
      </c>
      <c r="Z19" s="56">
        <f t="shared" si="26"/>
        <v>123.1</v>
      </c>
      <c r="AA19" s="54">
        <v>123.1</v>
      </c>
      <c r="AB19" s="54">
        <v>127.3</v>
      </c>
      <c r="AC19" s="55">
        <v>145.4</v>
      </c>
      <c r="AD19" s="55">
        <v>150.19999999999999</v>
      </c>
      <c r="AE19" s="56"/>
      <c r="AF19" s="54"/>
      <c r="AG19" s="54"/>
      <c r="AH19" s="55"/>
      <c r="AI19" s="55"/>
      <c r="AJ19" s="56"/>
      <c r="AK19" s="54"/>
      <c r="AL19" s="54"/>
      <c r="AM19" s="55"/>
      <c r="AN19" s="55"/>
      <c r="AO19" s="56"/>
      <c r="AP19" s="54"/>
      <c r="AQ19" s="54"/>
      <c r="AR19" s="55"/>
      <c r="AS19" s="55"/>
      <c r="AT19" s="56"/>
      <c r="AU19" s="54"/>
      <c r="AV19" s="54"/>
      <c r="AW19" s="55"/>
      <c r="AX19" s="55"/>
      <c r="AY19" s="56"/>
      <c r="AZ19" s="54"/>
      <c r="BA19" s="54"/>
      <c r="BB19" s="55"/>
      <c r="BC19" s="55"/>
      <c r="BD19" s="56"/>
      <c r="BE19" s="54"/>
      <c r="BF19" s="45"/>
      <c r="BG19" s="10"/>
      <c r="BH19" s="10"/>
      <c r="BI19" s="10"/>
      <c r="BJ19" s="10"/>
    </row>
    <row r="20" spans="1:62" ht="9.75" customHeight="1" x14ac:dyDescent="0.15">
      <c r="A20" s="10"/>
      <c r="B20" s="53" t="s">
        <v>38</v>
      </c>
      <c r="C20" s="52"/>
      <c r="D20" s="52"/>
      <c r="E20" s="49"/>
      <c r="F20" s="49"/>
      <c r="G20" s="49"/>
      <c r="H20" s="55"/>
      <c r="I20" s="55"/>
      <c r="J20" s="55"/>
      <c r="K20" s="55"/>
      <c r="L20" s="54"/>
      <c r="M20" s="54">
        <v>1510</v>
      </c>
      <c r="N20" s="55">
        <v>1518.6</v>
      </c>
      <c r="O20" s="55">
        <v>1547.4</v>
      </c>
      <c r="P20" s="56">
        <f t="shared" si="24"/>
        <v>1582.3</v>
      </c>
      <c r="Q20" s="54">
        <v>1582.3</v>
      </c>
      <c r="R20" s="54">
        <v>1588.6</v>
      </c>
      <c r="S20" s="55">
        <v>1597.1</v>
      </c>
      <c r="T20" s="55">
        <v>1677.7</v>
      </c>
      <c r="U20" s="56">
        <f t="shared" si="25"/>
        <v>1771.1</v>
      </c>
      <c r="V20" s="54">
        <v>1771.1</v>
      </c>
      <c r="W20" s="54">
        <v>1781.8</v>
      </c>
      <c r="X20" s="55">
        <v>1841.3</v>
      </c>
      <c r="Y20" s="55">
        <v>1918</v>
      </c>
      <c r="Z20" s="56">
        <f t="shared" si="26"/>
        <v>2084.3000000000002</v>
      </c>
      <c r="AA20" s="54">
        <v>2084.3000000000002</v>
      </c>
      <c r="AB20" s="54">
        <v>2197.4</v>
      </c>
      <c r="AC20" s="55">
        <v>2309.6</v>
      </c>
      <c r="AD20" s="55">
        <v>2403.3000000000002</v>
      </c>
      <c r="AE20" s="56"/>
      <c r="AF20" s="54"/>
      <c r="AG20" s="54"/>
      <c r="AH20" s="55"/>
      <c r="AI20" s="55"/>
      <c r="AJ20" s="56"/>
      <c r="AK20" s="54"/>
      <c r="AL20" s="54"/>
      <c r="AM20" s="55"/>
      <c r="AN20" s="55"/>
      <c r="AO20" s="56"/>
      <c r="AP20" s="54"/>
      <c r="AQ20" s="54"/>
      <c r="AR20" s="55"/>
      <c r="AS20" s="55"/>
      <c r="AT20" s="56"/>
      <c r="AU20" s="54"/>
      <c r="AV20" s="54"/>
      <c r="AW20" s="55"/>
      <c r="AX20" s="55"/>
      <c r="AY20" s="56"/>
      <c r="AZ20" s="54"/>
      <c r="BA20" s="54"/>
      <c r="BB20" s="55"/>
      <c r="BC20" s="55"/>
      <c r="BD20" s="56"/>
      <c r="BE20" s="54"/>
      <c r="BF20" s="45"/>
      <c r="BG20" s="10"/>
      <c r="BH20" s="10"/>
      <c r="BI20" s="10"/>
      <c r="BJ20" s="10"/>
    </row>
    <row r="21" spans="1:62" ht="9.75" customHeight="1" x14ac:dyDescent="0.15">
      <c r="A21" s="10"/>
      <c r="B21" s="53" t="s">
        <v>39</v>
      </c>
      <c r="C21" s="52"/>
      <c r="D21" s="52"/>
      <c r="E21" s="49"/>
      <c r="F21" s="49"/>
      <c r="G21" s="49"/>
      <c r="H21" s="55"/>
      <c r="I21" s="55"/>
      <c r="J21" s="55"/>
      <c r="K21" s="55"/>
      <c r="L21" s="54"/>
      <c r="M21" s="54"/>
      <c r="N21" s="55"/>
      <c r="O21" s="55"/>
      <c r="P21" s="56">
        <f t="shared" si="24"/>
        <v>0</v>
      </c>
      <c r="Q21" s="54"/>
      <c r="R21" s="54">
        <v>7080.9</v>
      </c>
      <c r="S21" s="55">
        <v>7110</v>
      </c>
      <c r="T21" s="55">
        <v>7214.7</v>
      </c>
      <c r="U21" s="56">
        <f t="shared" si="25"/>
        <v>7357.4</v>
      </c>
      <c r="V21" s="54">
        <v>7357.4</v>
      </c>
      <c r="W21" s="54">
        <v>6968.3</v>
      </c>
      <c r="X21" s="55">
        <v>6934.1</v>
      </c>
      <c r="Y21" s="55">
        <v>7252</v>
      </c>
      <c r="Z21" s="56">
        <f t="shared" si="26"/>
        <v>7789.2</v>
      </c>
      <c r="AA21" s="54">
        <v>7789.2</v>
      </c>
      <c r="AB21" s="54">
        <v>7719.9</v>
      </c>
      <c r="AC21" s="55">
        <v>9193.2000000000007</v>
      </c>
      <c r="AD21" s="55">
        <v>9021.9</v>
      </c>
      <c r="AE21" s="56"/>
      <c r="AF21" s="54"/>
      <c r="AG21" s="54"/>
      <c r="AH21" s="55"/>
      <c r="AI21" s="55"/>
      <c r="AJ21" s="56"/>
      <c r="AK21" s="54"/>
      <c r="AL21" s="54"/>
      <c r="AM21" s="55"/>
      <c r="AN21" s="55"/>
      <c r="AO21" s="56"/>
      <c r="AP21" s="54"/>
      <c r="AQ21" s="54"/>
      <c r="AR21" s="55"/>
      <c r="AS21" s="55"/>
      <c r="AT21" s="56"/>
      <c r="AU21" s="54"/>
      <c r="AV21" s="54"/>
      <c r="AW21" s="55"/>
      <c r="AX21" s="55"/>
      <c r="AY21" s="56"/>
      <c r="AZ21" s="54"/>
      <c r="BA21" s="54"/>
      <c r="BB21" s="55"/>
      <c r="BC21" s="55"/>
      <c r="BD21" s="56"/>
      <c r="BE21" s="54"/>
      <c r="BF21" s="45"/>
      <c r="BG21" s="10"/>
      <c r="BH21" s="10"/>
      <c r="BI21" s="10"/>
      <c r="BJ21" s="10"/>
    </row>
    <row r="22" spans="1:62" ht="9.75" customHeight="1" x14ac:dyDescent="0.15">
      <c r="A22" s="10"/>
      <c r="B22" s="53" t="s">
        <v>40</v>
      </c>
      <c r="C22" s="52"/>
      <c r="D22" s="52"/>
      <c r="E22" s="49"/>
      <c r="F22" s="49"/>
      <c r="G22" s="49"/>
      <c r="H22" s="55"/>
      <c r="I22" s="55"/>
      <c r="J22" s="55"/>
      <c r="K22" s="55"/>
      <c r="L22" s="54"/>
      <c r="M22" s="65">
        <v>990.3</v>
      </c>
      <c r="N22" s="66">
        <v>1024.5</v>
      </c>
      <c r="O22" s="66">
        <v>978.3</v>
      </c>
      <c r="P22" s="67">
        <f t="shared" si="24"/>
        <v>963</v>
      </c>
      <c r="Q22" s="54">
        <v>963</v>
      </c>
      <c r="R22" s="65">
        <v>279.10000000000002</v>
      </c>
      <c r="S22" s="66">
        <v>263.8</v>
      </c>
      <c r="T22" s="66">
        <v>248.9</v>
      </c>
      <c r="U22" s="67">
        <f t="shared" si="25"/>
        <v>406.4</v>
      </c>
      <c r="V22" s="54">
        <v>406.4</v>
      </c>
      <c r="W22" s="65">
        <v>407</v>
      </c>
      <c r="X22" s="66">
        <v>393.4</v>
      </c>
      <c r="Y22" s="66">
        <v>315.2</v>
      </c>
      <c r="Z22" s="67">
        <f t="shared" si="26"/>
        <v>400.1</v>
      </c>
      <c r="AA22" s="54">
        <v>400.1</v>
      </c>
      <c r="AB22" s="65">
        <v>394.1</v>
      </c>
      <c r="AC22" s="66">
        <v>401.8</v>
      </c>
      <c r="AD22" s="66">
        <v>395.4</v>
      </c>
      <c r="AE22" s="67"/>
      <c r="AF22" s="54"/>
      <c r="AG22" s="54"/>
      <c r="AH22" s="55"/>
      <c r="AI22" s="55"/>
      <c r="AJ22" s="56"/>
      <c r="AK22" s="54"/>
      <c r="AL22" s="65"/>
      <c r="AM22" s="66"/>
      <c r="AN22" s="66"/>
      <c r="AO22" s="67"/>
      <c r="AP22" s="54"/>
      <c r="AQ22" s="65"/>
      <c r="AR22" s="66"/>
      <c r="AS22" s="66"/>
      <c r="AT22" s="67"/>
      <c r="AU22" s="54"/>
      <c r="AV22" s="65"/>
      <c r="AW22" s="66"/>
      <c r="AX22" s="66"/>
      <c r="AY22" s="67"/>
      <c r="AZ22" s="54"/>
      <c r="BA22" s="65"/>
      <c r="BB22" s="66"/>
      <c r="BC22" s="66"/>
      <c r="BD22" s="67"/>
      <c r="BE22" s="54"/>
      <c r="BF22" s="45"/>
      <c r="BG22" s="10"/>
      <c r="BH22" s="10"/>
      <c r="BI22" s="10"/>
      <c r="BJ22" s="10"/>
    </row>
    <row r="23" spans="1:62" ht="9.75" customHeight="1" x14ac:dyDescent="0.15">
      <c r="A23" s="10"/>
      <c r="B23" s="68" t="s">
        <v>41</v>
      </c>
      <c r="C23" s="69"/>
      <c r="D23" s="70"/>
      <c r="E23" s="70"/>
      <c r="F23" s="70"/>
      <c r="G23" s="70"/>
      <c r="H23" s="70"/>
      <c r="I23" s="70"/>
      <c r="J23" s="70"/>
      <c r="K23" s="70"/>
      <c r="L23" s="71">
        <f t="shared" ref="L23:P23" si="27">SUM(L15:L22)</f>
        <v>0</v>
      </c>
      <c r="M23" s="72">
        <f t="shared" si="27"/>
        <v>34372.700000000012</v>
      </c>
      <c r="N23" s="73">
        <f t="shared" si="27"/>
        <v>33205.699999999997</v>
      </c>
      <c r="O23" s="73">
        <f t="shared" si="27"/>
        <v>33077.199999999997</v>
      </c>
      <c r="P23" s="74">
        <f t="shared" si="27"/>
        <v>33010.800000000003</v>
      </c>
      <c r="Q23" s="75">
        <v>33010</v>
      </c>
      <c r="R23" s="72">
        <f t="shared" ref="R23:AE23" si="28">SUM(R15:R22)</f>
        <v>38926.799999999996</v>
      </c>
      <c r="S23" s="73">
        <f t="shared" si="28"/>
        <v>39072.699999999997</v>
      </c>
      <c r="T23" s="73">
        <f t="shared" si="28"/>
        <v>39307.199999999997</v>
      </c>
      <c r="U23" s="74">
        <f t="shared" si="28"/>
        <v>42801.600000000006</v>
      </c>
      <c r="V23" s="75">
        <f t="shared" si="28"/>
        <v>42801.600000000006</v>
      </c>
      <c r="W23" s="72">
        <f t="shared" si="28"/>
        <v>40789.100000000006</v>
      </c>
      <c r="X23" s="73">
        <f t="shared" si="28"/>
        <v>41515.9</v>
      </c>
      <c r="Y23" s="73">
        <f t="shared" si="28"/>
        <v>41462.199999999997</v>
      </c>
      <c r="Z23" s="74">
        <f t="shared" si="28"/>
        <v>47233.5</v>
      </c>
      <c r="AA23" s="75">
        <f t="shared" si="28"/>
        <v>47233.5</v>
      </c>
      <c r="AB23" s="72">
        <f t="shared" si="28"/>
        <v>46942.500000000007</v>
      </c>
      <c r="AC23" s="73">
        <f t="shared" si="28"/>
        <v>58982.900000000009</v>
      </c>
      <c r="AD23" s="73">
        <f t="shared" si="28"/>
        <v>60530</v>
      </c>
      <c r="AE23" s="76">
        <f t="shared" si="28"/>
        <v>1201.1018334772602</v>
      </c>
      <c r="AF23" s="71"/>
      <c r="AG23" s="71"/>
      <c r="AH23" s="70"/>
      <c r="AI23" s="70"/>
      <c r="AJ23" s="76"/>
      <c r="AK23" s="76"/>
      <c r="AL23" s="71"/>
      <c r="AM23" s="70"/>
      <c r="AN23" s="70"/>
      <c r="AO23" s="76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45"/>
      <c r="BG23" s="10"/>
      <c r="BH23" s="10"/>
      <c r="BI23" s="10"/>
      <c r="BJ23" s="10"/>
    </row>
    <row r="24" spans="1:62" ht="4.5" customHeight="1" x14ac:dyDescent="0.15">
      <c r="A24" s="10"/>
      <c r="B24" s="10"/>
      <c r="C24" s="10"/>
      <c r="D24" s="49"/>
      <c r="E24" s="49"/>
      <c r="F24" s="49"/>
      <c r="G24" s="49"/>
      <c r="H24" s="49"/>
      <c r="I24" s="49"/>
      <c r="J24" s="49"/>
      <c r="K24" s="49"/>
      <c r="L24" s="50"/>
      <c r="M24" s="50"/>
      <c r="N24" s="49"/>
      <c r="O24" s="49"/>
      <c r="P24" s="49"/>
      <c r="Q24" s="51"/>
      <c r="R24" s="50"/>
      <c r="S24" s="49"/>
      <c r="T24" s="49"/>
      <c r="U24" s="49"/>
      <c r="V24" s="57"/>
      <c r="W24" s="50"/>
      <c r="X24" s="49"/>
      <c r="Y24" s="49"/>
      <c r="Z24" s="49"/>
      <c r="AA24" s="57"/>
      <c r="AB24" s="50"/>
      <c r="AC24" s="49"/>
      <c r="AD24" s="49"/>
      <c r="AE24" s="49"/>
      <c r="AF24" s="51"/>
      <c r="AG24" s="49"/>
      <c r="AH24" s="49"/>
      <c r="AI24" s="49"/>
      <c r="AJ24" s="49"/>
      <c r="AK24" s="51"/>
      <c r="AL24" s="49"/>
      <c r="AM24" s="49"/>
      <c r="AN24" s="49"/>
      <c r="AO24" s="49"/>
      <c r="AP24" s="51"/>
      <c r="AQ24" s="49"/>
      <c r="AR24" s="49"/>
      <c r="AS24" s="49"/>
      <c r="AT24" s="49"/>
      <c r="AU24" s="51"/>
      <c r="AV24" s="49"/>
      <c r="AW24" s="49"/>
      <c r="AX24" s="49"/>
      <c r="AY24" s="49"/>
      <c r="AZ24" s="51"/>
      <c r="BA24" s="49"/>
      <c r="BB24" s="49"/>
      <c r="BC24" s="49"/>
      <c r="BD24" s="49"/>
      <c r="BE24" s="78"/>
      <c r="BF24" s="10"/>
      <c r="BG24" s="10"/>
      <c r="BH24" s="10"/>
      <c r="BI24" s="10"/>
      <c r="BJ24" s="10"/>
    </row>
    <row r="25" spans="1:62" ht="9.75" customHeight="1" x14ac:dyDescent="0.15">
      <c r="A25" s="10"/>
      <c r="B25" s="48" t="s">
        <v>42</v>
      </c>
      <c r="C25" s="10"/>
      <c r="D25" s="49"/>
      <c r="E25" s="49"/>
      <c r="F25" s="49"/>
      <c r="G25" s="49"/>
      <c r="H25" s="49"/>
      <c r="I25" s="49"/>
      <c r="J25" s="49"/>
      <c r="K25" s="49"/>
      <c r="L25" s="50"/>
      <c r="M25" s="50"/>
      <c r="N25" s="49"/>
      <c r="O25" s="49"/>
      <c r="P25" s="49"/>
      <c r="Q25" s="51"/>
      <c r="R25" s="50"/>
      <c r="S25" s="49"/>
      <c r="T25" s="49"/>
      <c r="U25" s="49"/>
      <c r="V25" s="57"/>
      <c r="W25" s="50"/>
      <c r="X25" s="49"/>
      <c r="Y25" s="49"/>
      <c r="Z25" s="49"/>
      <c r="AA25" s="57"/>
      <c r="AB25" s="50"/>
      <c r="AC25" s="49"/>
      <c r="AD25" s="49"/>
      <c r="AE25" s="49"/>
      <c r="AF25" s="51"/>
      <c r="AG25" s="49"/>
      <c r="AH25" s="49"/>
      <c r="AI25" s="49"/>
      <c r="AJ25" s="49"/>
      <c r="AK25" s="51"/>
      <c r="AL25" s="49"/>
      <c r="AM25" s="49"/>
      <c r="AN25" s="49"/>
      <c r="AO25" s="49"/>
      <c r="AP25" s="51"/>
      <c r="AQ25" s="49"/>
      <c r="AR25" s="49"/>
      <c r="AS25" s="49"/>
      <c r="AT25" s="49"/>
      <c r="AU25" s="51"/>
      <c r="AV25" s="49"/>
      <c r="AW25" s="49"/>
      <c r="AX25" s="49"/>
      <c r="AY25" s="49"/>
      <c r="AZ25" s="51"/>
      <c r="BA25" s="49"/>
      <c r="BB25" s="49"/>
      <c r="BC25" s="49"/>
      <c r="BD25" s="49"/>
      <c r="BE25" s="51"/>
      <c r="BF25" s="10"/>
      <c r="BG25" s="10"/>
      <c r="BH25" s="10"/>
      <c r="BI25" s="10"/>
      <c r="BJ25" s="10"/>
    </row>
    <row r="26" spans="1:62" ht="4.5" customHeight="1" x14ac:dyDescent="0.15">
      <c r="A26" s="10"/>
      <c r="B26" s="10"/>
      <c r="C26" s="10"/>
      <c r="D26" s="49"/>
      <c r="E26" s="49"/>
      <c r="F26" s="49"/>
      <c r="G26" s="49"/>
      <c r="H26" s="49"/>
      <c r="I26" s="49"/>
      <c r="J26" s="49"/>
      <c r="K26" s="49"/>
      <c r="L26" s="50"/>
      <c r="M26" s="50"/>
      <c r="N26" s="49"/>
      <c r="O26" s="49"/>
      <c r="P26" s="49"/>
      <c r="Q26" s="51"/>
      <c r="R26" s="50"/>
      <c r="S26" s="49"/>
      <c r="T26" s="49"/>
      <c r="U26" s="49"/>
      <c r="V26" s="57"/>
      <c r="W26" s="50"/>
      <c r="X26" s="49"/>
      <c r="Y26" s="49"/>
      <c r="Z26" s="49"/>
      <c r="AA26" s="57"/>
      <c r="AB26" s="50"/>
      <c r="AC26" s="49"/>
      <c r="AD26" s="49"/>
      <c r="AE26" s="49"/>
      <c r="AF26" s="51"/>
      <c r="AG26" s="49"/>
      <c r="AH26" s="49"/>
      <c r="AI26" s="49"/>
      <c r="AJ26" s="49"/>
      <c r="AK26" s="51"/>
      <c r="AL26" s="49"/>
      <c r="AM26" s="49"/>
      <c r="AN26" s="49"/>
      <c r="AO26" s="49"/>
      <c r="AP26" s="51"/>
      <c r="AQ26" s="49"/>
      <c r="AR26" s="49"/>
      <c r="AS26" s="49"/>
      <c r="AT26" s="49"/>
      <c r="AU26" s="51"/>
      <c r="AV26" s="49"/>
      <c r="AW26" s="49"/>
      <c r="AX26" s="49"/>
      <c r="AY26" s="49"/>
      <c r="AZ26" s="51"/>
      <c r="BA26" s="49"/>
      <c r="BB26" s="49"/>
      <c r="BC26" s="49"/>
      <c r="BD26" s="49"/>
      <c r="BE26" s="51"/>
      <c r="BF26" s="10"/>
      <c r="BG26" s="10"/>
      <c r="BH26" s="10"/>
      <c r="BI26" s="10"/>
      <c r="BJ26" s="10"/>
    </row>
    <row r="27" spans="1:62" ht="9.75" customHeight="1" x14ac:dyDescent="0.15">
      <c r="A27" s="10"/>
      <c r="B27" s="58" t="s">
        <v>43</v>
      </c>
      <c r="C27" s="10"/>
      <c r="D27" s="49"/>
      <c r="E27" s="49"/>
      <c r="F27" s="49"/>
      <c r="G27" s="49"/>
      <c r="H27" s="49"/>
      <c r="I27" s="49"/>
      <c r="J27" s="49"/>
      <c r="K27" s="49"/>
      <c r="L27" s="50"/>
      <c r="M27" s="50"/>
      <c r="N27" s="49"/>
      <c r="O27" s="49"/>
      <c r="P27" s="49"/>
      <c r="Q27" s="45"/>
      <c r="R27" s="50"/>
      <c r="S27" s="49"/>
      <c r="T27" s="49"/>
      <c r="U27" s="49"/>
      <c r="V27" s="79"/>
      <c r="W27" s="50"/>
      <c r="X27" s="49"/>
      <c r="Y27" s="49"/>
      <c r="Z27" s="49"/>
      <c r="AA27" s="54"/>
      <c r="AB27" s="50"/>
      <c r="AC27" s="49"/>
      <c r="AD27" s="49"/>
      <c r="AE27" s="49"/>
      <c r="AF27" s="51"/>
      <c r="AG27" s="49"/>
      <c r="AH27" s="49"/>
      <c r="AI27" s="49"/>
      <c r="AJ27" s="49"/>
      <c r="AK27" s="80"/>
      <c r="AL27" s="49"/>
      <c r="AM27" s="49"/>
      <c r="AN27" s="49"/>
      <c r="AO27" s="49"/>
      <c r="AP27" s="80"/>
      <c r="AQ27" s="49"/>
      <c r="AR27" s="49"/>
      <c r="AS27" s="49"/>
      <c r="AT27" s="49"/>
      <c r="AU27" s="51"/>
      <c r="AV27" s="49"/>
      <c r="AW27" s="49"/>
      <c r="AX27" s="49"/>
      <c r="AY27" s="49"/>
      <c r="AZ27" s="51"/>
      <c r="BA27" s="49"/>
      <c r="BB27" s="49"/>
      <c r="BC27" s="49"/>
      <c r="BD27" s="49"/>
      <c r="BE27" s="51"/>
      <c r="BF27" s="10"/>
      <c r="BG27" s="10"/>
      <c r="BH27" s="10"/>
      <c r="BI27" s="10"/>
      <c r="BJ27" s="10"/>
    </row>
    <row r="28" spans="1:62" ht="9.75" customHeight="1" x14ac:dyDescent="0.15">
      <c r="A28" s="10"/>
      <c r="B28" s="53" t="s">
        <v>44</v>
      </c>
      <c r="C28" s="53"/>
      <c r="D28" s="53"/>
      <c r="E28" s="49"/>
      <c r="F28" s="49"/>
      <c r="G28" s="49"/>
      <c r="H28" s="49"/>
      <c r="I28" s="49"/>
      <c r="J28" s="49"/>
      <c r="K28" s="49"/>
      <c r="L28" s="50"/>
      <c r="M28" s="54">
        <v>118.7</v>
      </c>
      <c r="N28" s="55">
        <v>137</v>
      </c>
      <c r="O28" s="55">
        <v>122.9</v>
      </c>
      <c r="P28" s="49">
        <f t="shared" ref="P28:P34" si="29">Q28</f>
        <v>130.80000000000001</v>
      </c>
      <c r="Q28" s="54">
        <v>130.80000000000001</v>
      </c>
      <c r="R28" s="54">
        <v>130</v>
      </c>
      <c r="S28" s="55">
        <v>144.9</v>
      </c>
      <c r="T28" s="55">
        <v>136.19999999999999</v>
      </c>
      <c r="U28" s="55">
        <f t="shared" ref="U28:U34" si="30">V28</f>
        <v>148.1</v>
      </c>
      <c r="V28" s="54">
        <v>148.1</v>
      </c>
      <c r="W28" s="54">
        <v>120.6</v>
      </c>
      <c r="X28" s="55">
        <v>108.2</v>
      </c>
      <c r="Y28" s="55">
        <v>117</v>
      </c>
      <c r="Z28" s="55">
        <f t="shared" ref="Z28:Z34" si="31">AA28</f>
        <v>139.1</v>
      </c>
      <c r="AA28" s="57">
        <v>139.1</v>
      </c>
      <c r="AB28" s="54">
        <v>130.1</v>
      </c>
      <c r="AC28" s="55">
        <v>193.8</v>
      </c>
      <c r="AD28" s="55">
        <v>217.4</v>
      </c>
      <c r="AE28" s="81">
        <f>'Δ NWC'!AE18</f>
        <v>194.82634507397262</v>
      </c>
      <c r="AF28" s="80">
        <f>'Δ NWC'!AF18</f>
        <v>194.82634507397262</v>
      </c>
      <c r="AG28" s="81">
        <f>'Δ NWC'!AG18</f>
        <v>192.14497877073774</v>
      </c>
      <c r="AH28" s="81">
        <f>'Δ NWC'!AH18</f>
        <v>212.6801503151994</v>
      </c>
      <c r="AI28" s="81">
        <f>'Δ NWC'!AI18</f>
        <v>237.07622867892385</v>
      </c>
      <c r="AJ28" s="81">
        <f>'Δ NWC'!AJ18</f>
        <v>206.77186995958354</v>
      </c>
      <c r="AK28" s="80">
        <f>'Δ NWC'!AK18</f>
        <v>206.77186995958354</v>
      </c>
      <c r="AL28" s="81">
        <f>'Δ NWC'!AL18</f>
        <v>201.12012623078883</v>
      </c>
      <c r="AM28" s="81">
        <f>'Δ NWC'!AM18</f>
        <v>223.38390229520627</v>
      </c>
      <c r="AN28" s="81">
        <f>'Δ NWC'!AN18</f>
        <v>250.59534121463614</v>
      </c>
      <c r="AO28" s="81">
        <f>'Δ NWC'!AO18</f>
        <v>215.4433808088217</v>
      </c>
      <c r="AP28" s="80">
        <f>'Δ NWC'!AP18</f>
        <v>215.4433808088217</v>
      </c>
      <c r="AQ28" s="81">
        <f>'Δ NWC'!AQ18</f>
        <v>0</v>
      </c>
      <c r="AR28" s="81">
        <f>'Δ NWC'!AR18</f>
        <v>0</v>
      </c>
      <c r="AS28" s="81">
        <f>'Δ NWC'!AS18</f>
        <v>0</v>
      </c>
      <c r="AT28" s="81">
        <f>'Δ NWC'!AT18</f>
        <v>0</v>
      </c>
      <c r="AU28" s="80">
        <f>'Δ NWC'!AU18</f>
        <v>239.68209444587043</v>
      </c>
      <c r="AV28" s="81">
        <f>'Δ NWC'!AV18</f>
        <v>0</v>
      </c>
      <c r="AW28" s="81">
        <f>'Δ NWC'!AW18</f>
        <v>0</v>
      </c>
      <c r="AX28" s="81">
        <f>'Δ NWC'!AX18</f>
        <v>0</v>
      </c>
      <c r="AY28" s="81">
        <f>'Δ NWC'!AY18</f>
        <v>0</v>
      </c>
      <c r="AZ28" s="80">
        <f>'Δ NWC'!AZ18</f>
        <v>297.23081193818314</v>
      </c>
      <c r="BA28" s="81">
        <f>'Δ NWC'!BA18</f>
        <v>0</v>
      </c>
      <c r="BB28" s="81">
        <f>'Δ NWC'!BB18</f>
        <v>0</v>
      </c>
      <c r="BC28" s="81">
        <f>'Δ NWC'!BC18</f>
        <v>0</v>
      </c>
      <c r="BD28" s="81">
        <f>'Δ NWC'!BD18</f>
        <v>0</v>
      </c>
      <c r="BE28" s="82">
        <f>'Δ NWC'!BE18</f>
        <v>333.90995012582431</v>
      </c>
      <c r="BF28" s="10"/>
      <c r="BG28" s="10"/>
      <c r="BH28" s="10"/>
      <c r="BI28" s="10"/>
      <c r="BJ28" s="10"/>
    </row>
    <row r="29" spans="1:62" ht="9.75" customHeight="1" x14ac:dyDescent="0.15">
      <c r="A29" s="10"/>
      <c r="B29" s="53" t="s">
        <v>45</v>
      </c>
      <c r="C29" s="53"/>
      <c r="D29" s="53"/>
      <c r="E29" s="49"/>
      <c r="F29" s="49"/>
      <c r="G29" s="49"/>
      <c r="H29" s="49"/>
      <c r="I29" s="49"/>
      <c r="J29" s="49"/>
      <c r="K29" s="49"/>
      <c r="L29" s="50"/>
      <c r="M29" s="54">
        <v>825.4</v>
      </c>
      <c r="N29" s="55">
        <v>782.5</v>
      </c>
      <c r="O29" s="55">
        <v>863.1</v>
      </c>
      <c r="P29" s="49">
        <f t="shared" si="29"/>
        <v>948.3</v>
      </c>
      <c r="Q29" s="54">
        <v>948.3</v>
      </c>
      <c r="R29" s="54">
        <v>863.7</v>
      </c>
      <c r="S29" s="55">
        <v>835.6</v>
      </c>
      <c r="T29" s="55">
        <v>856.7</v>
      </c>
      <c r="U29" s="55">
        <f t="shared" si="30"/>
        <v>958.2</v>
      </c>
      <c r="V29" s="54">
        <v>958.2</v>
      </c>
      <c r="W29" s="54">
        <v>876.4</v>
      </c>
      <c r="X29" s="55">
        <v>879.2</v>
      </c>
      <c r="Y29" s="55">
        <v>914.1</v>
      </c>
      <c r="Z29" s="55">
        <f t="shared" si="31"/>
        <v>1043.7</v>
      </c>
      <c r="AA29" s="57">
        <v>1043.7</v>
      </c>
      <c r="AB29" s="54">
        <v>944.8</v>
      </c>
      <c r="AC29" s="55">
        <v>1044.5999999999999</v>
      </c>
      <c r="AD29" s="55">
        <v>1165.4000000000001</v>
      </c>
      <c r="AE29" s="81">
        <f>'Δ NWC'!AE30</f>
        <v>995.93987328000003</v>
      </c>
      <c r="AF29" s="80">
        <f>'Δ NWC'!AF30</f>
        <v>995.93987328000003</v>
      </c>
      <c r="AG29" s="81">
        <f>'Δ NWC'!AG30</f>
        <v>1101.606339700412</v>
      </c>
      <c r="AH29" s="81">
        <f>'Δ NWC'!AH30</f>
        <v>1247.7087242907232</v>
      </c>
      <c r="AI29" s="81">
        <f>'Δ NWC'!AI30</f>
        <v>1243.4418122741608</v>
      </c>
      <c r="AJ29" s="81">
        <f>'Δ NWC'!AJ30</f>
        <v>1236.7216675944001</v>
      </c>
      <c r="AK29" s="80">
        <f>'Δ NWC'!AK30</f>
        <v>1236.7216675944001</v>
      </c>
      <c r="AL29" s="81">
        <f>'Δ NWC'!AL30</f>
        <v>1285.8721242718061</v>
      </c>
      <c r="AM29" s="81">
        <f>'Δ NWC'!AM30</f>
        <v>1459.5413270604981</v>
      </c>
      <c r="AN29" s="81">
        <f>'Δ NWC'!AN30</f>
        <v>1464.0474682262911</v>
      </c>
      <c r="AO29" s="81">
        <f>'Δ NWC'!AO30</f>
        <v>1436.4537205899735</v>
      </c>
      <c r="AP29" s="80">
        <f>'Δ NWC'!AP30</f>
        <v>1436.4537205899735</v>
      </c>
      <c r="AQ29" s="81">
        <f>'Δ NWC'!AQ30</f>
        <v>0</v>
      </c>
      <c r="AR29" s="81">
        <f>'Δ NWC'!AR30</f>
        <v>0</v>
      </c>
      <c r="AS29" s="81">
        <f>'Δ NWC'!AS30</f>
        <v>0</v>
      </c>
      <c r="AT29" s="81">
        <f>'Δ NWC'!AT30</f>
        <v>0</v>
      </c>
      <c r="AU29" s="80">
        <f>'Δ NWC'!AU30</f>
        <v>1695.3253470309608</v>
      </c>
      <c r="AV29" s="81">
        <f>'Δ NWC'!AV30</f>
        <v>0</v>
      </c>
      <c r="AW29" s="81">
        <f>'Δ NWC'!AW30</f>
        <v>0</v>
      </c>
      <c r="AX29" s="81">
        <f>'Δ NWC'!AX30</f>
        <v>0</v>
      </c>
      <c r="AY29" s="81">
        <f>'Δ NWC'!AY30</f>
        <v>0</v>
      </c>
      <c r="AZ29" s="80">
        <f>'Δ NWC'!AZ30</f>
        <v>1787.6844368332363</v>
      </c>
      <c r="BA29" s="81">
        <f>'Δ NWC'!BA30</f>
        <v>0</v>
      </c>
      <c r="BB29" s="81">
        <f>'Δ NWC'!BB30</f>
        <v>0</v>
      </c>
      <c r="BC29" s="81">
        <f>'Δ NWC'!BC30</f>
        <v>0</v>
      </c>
      <c r="BD29" s="81">
        <f>'Δ NWC'!BD30</f>
        <v>0</v>
      </c>
      <c r="BE29" s="82">
        <f>'Δ NWC'!BE30</f>
        <v>1946.6486328515937</v>
      </c>
      <c r="BF29" s="10"/>
      <c r="BG29" s="10"/>
      <c r="BH29" s="10"/>
      <c r="BI29" s="10"/>
      <c r="BJ29" s="10"/>
    </row>
    <row r="30" spans="1:62" ht="9.75" customHeight="1" x14ac:dyDescent="0.15">
      <c r="A30" s="10"/>
      <c r="B30" s="53" t="s">
        <v>46</v>
      </c>
      <c r="C30" s="53"/>
      <c r="D30" s="53"/>
      <c r="E30" s="49"/>
      <c r="F30" s="49"/>
      <c r="G30" s="49"/>
      <c r="H30" s="49"/>
      <c r="I30" s="49"/>
      <c r="J30" s="49"/>
      <c r="K30" s="49"/>
      <c r="L30" s="50"/>
      <c r="M30" s="54">
        <v>335</v>
      </c>
      <c r="N30" s="55">
        <v>344.9</v>
      </c>
      <c r="O30" s="55">
        <v>354.2</v>
      </c>
      <c r="P30" s="49">
        <f t="shared" si="29"/>
        <v>377.4</v>
      </c>
      <c r="Q30" s="54">
        <v>377.4</v>
      </c>
      <c r="R30" s="54">
        <v>403.1</v>
      </c>
      <c r="S30" s="55">
        <v>413</v>
      </c>
      <c r="T30" s="55">
        <v>427.5</v>
      </c>
      <c r="U30" s="55">
        <f t="shared" si="30"/>
        <v>455</v>
      </c>
      <c r="V30" s="54">
        <v>455</v>
      </c>
      <c r="W30" s="54">
        <v>483.9</v>
      </c>
      <c r="X30" s="55">
        <v>493.4</v>
      </c>
      <c r="Y30" s="55">
        <v>512.6</v>
      </c>
      <c r="Z30" s="55">
        <f t="shared" si="31"/>
        <v>544.6</v>
      </c>
      <c r="AA30" s="57">
        <v>544.6</v>
      </c>
      <c r="AB30" s="54">
        <v>555.79999999999995</v>
      </c>
      <c r="AC30" s="55">
        <v>582.70000000000005</v>
      </c>
      <c r="AD30" s="55">
        <v>602.20000000000005</v>
      </c>
      <c r="AE30" s="81">
        <f>'Δ NWC'!AE26</f>
        <v>470.27048810958911</v>
      </c>
      <c r="AF30" s="80">
        <f>'Δ NWC'!AF26</f>
        <v>470.27048810958911</v>
      </c>
      <c r="AG30" s="81">
        <f>'Δ NWC'!AG26</f>
        <v>514.6740502787618</v>
      </c>
      <c r="AH30" s="81">
        <f>'Δ NWC'!AH26</f>
        <v>569.67897405856991</v>
      </c>
      <c r="AI30" s="81">
        <f>'Δ NWC'!AI26</f>
        <v>635.0256125328317</v>
      </c>
      <c r="AJ30" s="81">
        <f>'Δ NWC'!AJ26</f>
        <v>553.85322310602737</v>
      </c>
      <c r="AK30" s="80">
        <f>'Δ NWC'!AK26</f>
        <v>553.85322310602737</v>
      </c>
      <c r="AL30" s="81">
        <f>'Δ NWC'!AL26</f>
        <v>595.62498922195164</v>
      </c>
      <c r="AM30" s="81">
        <f>'Δ NWC'!AM26</f>
        <v>661.56001833580308</v>
      </c>
      <c r="AN30" s="81">
        <f>'Δ NWC'!AN26</f>
        <v>742.14774128949932</v>
      </c>
      <c r="AO30" s="81">
        <f>'Δ NWC'!AO26</f>
        <v>638.0438585492027</v>
      </c>
      <c r="AP30" s="80">
        <f>'Δ NWC'!AP26</f>
        <v>638.0438585492027</v>
      </c>
      <c r="AQ30" s="81" t="str">
        <f>'Δ NWC'!AQ26</f>
        <v>#REF!</v>
      </c>
      <c r="AR30" s="81" t="str">
        <f>'Δ NWC'!AR26</f>
        <v>#REF!</v>
      </c>
      <c r="AS30" s="81" t="str">
        <f>'Δ NWC'!AS26</f>
        <v>#REF!</v>
      </c>
      <c r="AT30" s="81" t="str">
        <f>'Δ NWC'!AT26</f>
        <v>#REF!</v>
      </c>
      <c r="AU30" s="80">
        <f>'Δ NWC'!AU26</f>
        <v>719.04628333761138</v>
      </c>
      <c r="AV30" s="81">
        <f>'Δ NWC'!AV26</f>
        <v>0</v>
      </c>
      <c r="AW30" s="81">
        <f>'Δ NWC'!AW26</f>
        <v>0</v>
      </c>
      <c r="AX30" s="81">
        <f>'Δ NWC'!AX26</f>
        <v>0</v>
      </c>
      <c r="AY30" s="81">
        <f>'Δ NWC'!AY26</f>
        <v>0</v>
      </c>
      <c r="AZ30" s="80">
        <f>'Δ NWC'!AZ26</f>
        <v>792.61549850182166</v>
      </c>
      <c r="BA30" s="81">
        <f>'Δ NWC'!BA26</f>
        <v>0</v>
      </c>
      <c r="BB30" s="81">
        <f>'Δ NWC'!BB26</f>
        <v>0</v>
      </c>
      <c r="BC30" s="81">
        <f>'Δ NWC'!BC26</f>
        <v>0</v>
      </c>
      <c r="BD30" s="81">
        <f>'Δ NWC'!BD26</f>
        <v>0</v>
      </c>
      <c r="BE30" s="82">
        <f>'Δ NWC'!BE26</f>
        <v>855.64424719742487</v>
      </c>
      <c r="BF30" s="10"/>
      <c r="BG30" s="10"/>
      <c r="BH30" s="10"/>
      <c r="BI30" s="10"/>
      <c r="BJ30" s="10"/>
    </row>
    <row r="31" spans="1:62" ht="9.75" customHeight="1" x14ac:dyDescent="0.15">
      <c r="A31" s="10"/>
      <c r="B31" s="53" t="s">
        <v>47</v>
      </c>
      <c r="C31" s="53"/>
      <c r="D31" s="53"/>
      <c r="E31" s="49"/>
      <c r="F31" s="49"/>
      <c r="G31" s="49"/>
      <c r="H31" s="49"/>
      <c r="I31" s="49"/>
      <c r="J31" s="49"/>
      <c r="K31" s="49"/>
      <c r="L31" s="50"/>
      <c r="M31" s="54">
        <v>131</v>
      </c>
      <c r="N31" s="55">
        <v>178.1</v>
      </c>
      <c r="O31" s="55">
        <v>121.6</v>
      </c>
      <c r="P31" s="49">
        <f t="shared" si="29"/>
        <v>174.7</v>
      </c>
      <c r="Q31" s="54">
        <v>174.7</v>
      </c>
      <c r="R31" s="54">
        <v>126.5</v>
      </c>
      <c r="S31" s="55">
        <v>154.19999999999999</v>
      </c>
      <c r="T31" s="55">
        <v>145.4</v>
      </c>
      <c r="U31" s="55">
        <f t="shared" si="30"/>
        <v>209.4</v>
      </c>
      <c r="V31" s="54">
        <v>209.4</v>
      </c>
      <c r="W31" s="54">
        <v>148.19999999999999</v>
      </c>
      <c r="X31" s="55">
        <v>203.6</v>
      </c>
      <c r="Y31" s="55">
        <v>139.4</v>
      </c>
      <c r="Z31" s="55">
        <f t="shared" si="31"/>
        <v>207.8</v>
      </c>
      <c r="AA31" s="57">
        <v>207.8</v>
      </c>
      <c r="AB31" s="54">
        <v>167.1</v>
      </c>
      <c r="AC31" s="55">
        <v>221.8</v>
      </c>
      <c r="AD31" s="55">
        <v>250.2</v>
      </c>
      <c r="AE31" s="81">
        <f>'Δ NWC'!AE34</f>
        <v>182.58897676800001</v>
      </c>
      <c r="AF31" s="80">
        <f>'Δ NWC'!AF34</f>
        <v>182.58897676800001</v>
      </c>
      <c r="AG31" s="81">
        <f>'Δ NWC'!AG34</f>
        <v>211.84737301931</v>
      </c>
      <c r="AH31" s="81">
        <f>'Δ NWC'!AH34</f>
        <v>239.9439854405237</v>
      </c>
      <c r="AI31" s="81">
        <f>'Δ NWC'!AI34</f>
        <v>239.1234254373386</v>
      </c>
      <c r="AJ31" s="81">
        <f>'Δ NWC'!AJ34</f>
        <v>237.83108992200002</v>
      </c>
      <c r="AK31" s="80">
        <f>'Δ NWC'!AK34</f>
        <v>237.83108992200002</v>
      </c>
      <c r="AL31" s="81">
        <f>'Δ NWC'!AL34</f>
        <v>255.21126130585463</v>
      </c>
      <c r="AM31" s="81">
        <f>'Δ NWC'!AM34</f>
        <v>289.67995804254161</v>
      </c>
      <c r="AN31" s="81">
        <f>'Δ NWC'!AN34</f>
        <v>290.57430667086692</v>
      </c>
      <c r="AO31" s="81">
        <f>'Δ NWC'!AO34</f>
        <v>285.09768500259014</v>
      </c>
      <c r="AP31" s="80">
        <f>'Δ NWC'!AP34</f>
        <v>285.09768500259014</v>
      </c>
      <c r="AQ31" s="81" t="str">
        <f>'Δ NWC'!AQ34</f>
        <v>#REF!</v>
      </c>
      <c r="AR31" s="81" t="str">
        <f>'Δ NWC'!AR34</f>
        <v>#REF!</v>
      </c>
      <c r="AS31" s="81" t="str">
        <f>'Δ NWC'!AS34</f>
        <v>#REF!</v>
      </c>
      <c r="AT31" s="81" t="str">
        <f>'Δ NWC'!AT34</f>
        <v>#REF!</v>
      </c>
      <c r="AU31" s="80">
        <f>'Δ NWC'!AU34</f>
        <v>258.82829725663527</v>
      </c>
      <c r="AV31" s="81">
        <f>'Δ NWC'!AV34</f>
        <v>0</v>
      </c>
      <c r="AW31" s="81">
        <f>'Δ NWC'!AW34</f>
        <v>0</v>
      </c>
      <c r="AX31" s="81">
        <f>'Δ NWC'!AX34</f>
        <v>0</v>
      </c>
      <c r="AY31" s="81">
        <f>'Δ NWC'!AY34</f>
        <v>0</v>
      </c>
      <c r="AZ31" s="80">
        <f>'Δ NWC'!AZ34</f>
        <v>272.92892165392919</v>
      </c>
      <c r="BA31" s="81">
        <f>'Δ NWC'!BA34</f>
        <v>0</v>
      </c>
      <c r="BB31" s="81">
        <f>'Δ NWC'!BB34</f>
        <v>0</v>
      </c>
      <c r="BC31" s="81">
        <f>'Δ NWC'!BC34</f>
        <v>0</v>
      </c>
      <c r="BD31" s="81">
        <f>'Δ NWC'!BD34</f>
        <v>0</v>
      </c>
      <c r="BE31" s="82">
        <f>'Δ NWC'!BE34</f>
        <v>310.33528929518161</v>
      </c>
      <c r="BF31" s="10"/>
      <c r="BG31" s="10"/>
      <c r="BH31" s="10"/>
      <c r="BI31" s="10"/>
      <c r="BJ31" s="10"/>
    </row>
    <row r="32" spans="1:62" ht="9.75" customHeight="1" x14ac:dyDescent="0.15">
      <c r="A32" s="10"/>
      <c r="B32" s="53" t="s">
        <v>48</v>
      </c>
      <c r="C32" s="53"/>
      <c r="D32" s="53"/>
      <c r="E32" s="49"/>
      <c r="F32" s="49"/>
      <c r="G32" s="49"/>
      <c r="H32" s="55"/>
      <c r="I32" s="55"/>
      <c r="J32" s="55"/>
      <c r="K32" s="55"/>
      <c r="L32" s="54"/>
      <c r="M32" s="54"/>
      <c r="N32" s="55"/>
      <c r="O32" s="55"/>
      <c r="P32" s="49">
        <f t="shared" si="29"/>
        <v>0</v>
      </c>
      <c r="Q32" s="54"/>
      <c r="R32" s="54">
        <v>498.4</v>
      </c>
      <c r="S32" s="55">
        <v>496.9</v>
      </c>
      <c r="T32" s="55">
        <v>475.1</v>
      </c>
      <c r="U32" s="55">
        <f t="shared" si="30"/>
        <v>494.5</v>
      </c>
      <c r="V32" s="54">
        <v>494.5</v>
      </c>
      <c r="W32" s="54">
        <v>476.8</v>
      </c>
      <c r="X32" s="55">
        <v>494.3</v>
      </c>
      <c r="Y32" s="55">
        <v>487.3</v>
      </c>
      <c r="Z32" s="55">
        <f t="shared" si="31"/>
        <v>539.9</v>
      </c>
      <c r="AA32" s="57">
        <v>539.9</v>
      </c>
      <c r="AB32" s="54">
        <v>555.79999999999995</v>
      </c>
      <c r="AC32" s="55">
        <v>723.5</v>
      </c>
      <c r="AD32" s="55">
        <v>734.3</v>
      </c>
      <c r="AE32" s="81"/>
      <c r="AF32" s="80"/>
      <c r="AG32" s="81"/>
      <c r="AH32" s="81"/>
      <c r="AI32" s="81"/>
      <c r="AJ32" s="81"/>
      <c r="AK32" s="80"/>
      <c r="AL32" s="81"/>
      <c r="AM32" s="81"/>
      <c r="AN32" s="81"/>
      <c r="AO32" s="81"/>
      <c r="AP32" s="80"/>
      <c r="AQ32" s="81"/>
      <c r="AR32" s="81"/>
      <c r="AS32" s="81"/>
      <c r="AT32" s="81"/>
      <c r="AU32" s="80"/>
      <c r="AV32" s="81"/>
      <c r="AW32" s="81"/>
      <c r="AX32" s="81"/>
      <c r="AY32" s="81"/>
      <c r="AZ32" s="80"/>
      <c r="BA32" s="81"/>
      <c r="BB32" s="81"/>
      <c r="BC32" s="81"/>
      <c r="BD32" s="81"/>
      <c r="BE32" s="82"/>
      <c r="BF32" s="10"/>
      <c r="BG32" s="10"/>
      <c r="BH32" s="10"/>
      <c r="BI32" s="10"/>
      <c r="BJ32" s="10"/>
    </row>
    <row r="33" spans="1:62" ht="9.75" customHeight="1" x14ac:dyDescent="0.15">
      <c r="A33" s="10"/>
      <c r="B33" s="53" t="s">
        <v>49</v>
      </c>
      <c r="C33" s="53"/>
      <c r="D33" s="53"/>
      <c r="E33" s="49"/>
      <c r="F33" s="49"/>
      <c r="G33" s="49"/>
      <c r="H33" s="55"/>
      <c r="I33" s="55"/>
      <c r="J33" s="55"/>
      <c r="K33" s="55"/>
      <c r="L33" s="54"/>
      <c r="M33" s="54">
        <v>2803.2</v>
      </c>
      <c r="N33" s="55">
        <v>2791.8</v>
      </c>
      <c r="O33" s="55">
        <v>2841.3</v>
      </c>
      <c r="P33" s="49">
        <f t="shared" si="29"/>
        <v>2755</v>
      </c>
      <c r="Q33" s="54">
        <v>2755</v>
      </c>
      <c r="R33" s="54">
        <v>2097.1999999999998</v>
      </c>
      <c r="S33" s="55">
        <v>2442.1999999999998</v>
      </c>
      <c r="T33" s="55">
        <v>2443.6</v>
      </c>
      <c r="U33" s="55">
        <f t="shared" si="30"/>
        <v>2928.2</v>
      </c>
      <c r="V33" s="54">
        <v>2928.2</v>
      </c>
      <c r="W33" s="54">
        <v>2640</v>
      </c>
      <c r="X33" s="55">
        <v>3366</v>
      </c>
      <c r="Y33" s="55">
        <v>771.3</v>
      </c>
      <c r="Z33" s="55">
        <f t="shared" si="31"/>
        <v>789.8</v>
      </c>
      <c r="AA33" s="57">
        <v>789.8</v>
      </c>
      <c r="AB33" s="54">
        <v>1336.5</v>
      </c>
      <c r="AC33" s="55">
        <v>2636</v>
      </c>
      <c r="AD33" s="55">
        <v>2106.4</v>
      </c>
      <c r="AE33" s="81">
        <f>'Δ NWC'!AE22</f>
        <v>1813.9004541369866</v>
      </c>
      <c r="AF33" s="80">
        <f>'Δ NWC'!AF22</f>
        <v>1813.9004541369866</v>
      </c>
      <c r="AG33" s="81">
        <f>'Δ NWC'!AG22</f>
        <v>2230.2542178746344</v>
      </c>
      <c r="AH33" s="81">
        <f>'Δ NWC'!AH22</f>
        <v>2468.608887587136</v>
      </c>
      <c r="AI33" s="81">
        <f>'Δ NWC'!AI22</f>
        <v>2963.4528584865475</v>
      </c>
      <c r="AJ33" s="81">
        <f>'Δ NWC'!AJ22</f>
        <v>2584.6483744947946</v>
      </c>
      <c r="AK33" s="57">
        <f>'Δ NWC'!AK22</f>
        <v>2584.6483744947946</v>
      </c>
      <c r="AL33" s="81">
        <f>'Δ NWC'!AL22</f>
        <v>2900.771051405608</v>
      </c>
      <c r="AM33" s="81">
        <f>'Δ NWC'!AM22</f>
        <v>3221.8832061808594</v>
      </c>
      <c r="AN33" s="81">
        <f>'Δ NWC'!AN22</f>
        <v>3614.3558829034059</v>
      </c>
      <c r="AO33" s="81">
        <f>'Δ NWC'!AO22</f>
        <v>3107.3564539733898</v>
      </c>
      <c r="AP33" s="57">
        <f>'Δ NWC'!AP22</f>
        <v>3107.3564539733898</v>
      </c>
      <c r="AQ33" s="81">
        <f>'Δ NWC'!AQ22</f>
        <v>0</v>
      </c>
      <c r="AR33" s="81">
        <f>'Δ NWC'!AR22</f>
        <v>0</v>
      </c>
      <c r="AS33" s="81">
        <f>'Δ NWC'!AS22</f>
        <v>0</v>
      </c>
      <c r="AT33" s="81">
        <f>'Δ NWC'!AT22</f>
        <v>0</v>
      </c>
      <c r="AU33" s="80">
        <f>'Δ NWC'!AU22</f>
        <v>3917.8803899805744</v>
      </c>
      <c r="AV33" s="81">
        <f>'Δ NWC'!AV22</f>
        <v>0</v>
      </c>
      <c r="AW33" s="81">
        <f>'Δ NWC'!AW22</f>
        <v>0</v>
      </c>
      <c r="AX33" s="81">
        <f>'Δ NWC'!AX22</f>
        <v>0</v>
      </c>
      <c r="AY33" s="81">
        <f>'Δ NWC'!AY22</f>
        <v>0</v>
      </c>
      <c r="AZ33" s="80">
        <f>'Δ NWC'!AZ22</f>
        <v>4706.1545223545663</v>
      </c>
      <c r="BA33" s="81">
        <f>'Δ NWC'!BA22</f>
        <v>0</v>
      </c>
      <c r="BB33" s="81">
        <f>'Δ NWC'!BB22</f>
        <v>0</v>
      </c>
      <c r="BC33" s="81">
        <f>'Δ NWC'!BC22</f>
        <v>0</v>
      </c>
      <c r="BD33" s="81">
        <f>'Δ NWC'!BD22</f>
        <v>0</v>
      </c>
      <c r="BE33" s="82">
        <f>'Δ NWC'!BE22</f>
        <v>5739.0772677876057</v>
      </c>
      <c r="BF33" s="10"/>
      <c r="BG33" s="10"/>
      <c r="BH33" s="10"/>
      <c r="BI33" s="10"/>
      <c r="BJ33" s="10"/>
    </row>
    <row r="34" spans="1:62" ht="9.75" customHeight="1" x14ac:dyDescent="0.15">
      <c r="A34" s="10"/>
      <c r="B34" s="53" t="s">
        <v>50</v>
      </c>
      <c r="C34" s="53"/>
      <c r="D34" s="53"/>
      <c r="E34" s="49"/>
      <c r="F34" s="49"/>
      <c r="G34" s="49"/>
      <c r="H34" s="55"/>
      <c r="I34" s="55"/>
      <c r="J34" s="55"/>
      <c r="K34" s="55"/>
      <c r="L34" s="54"/>
      <c r="M34" s="54">
        <v>331.4</v>
      </c>
      <c r="N34" s="55">
        <v>328.6</v>
      </c>
      <c r="O34" s="55">
        <v>276.60000000000002</v>
      </c>
      <c r="P34" s="49">
        <f t="shared" si="29"/>
        <v>304</v>
      </c>
      <c r="Q34" s="54">
        <v>304</v>
      </c>
      <c r="R34" s="54">
        <v>293</v>
      </c>
      <c r="S34" s="55">
        <v>334.8</v>
      </c>
      <c r="T34" s="55">
        <v>302.89999999999998</v>
      </c>
      <c r="U34" s="55">
        <f t="shared" si="30"/>
        <v>294.3</v>
      </c>
      <c r="V34" s="54">
        <v>294.3</v>
      </c>
      <c r="W34" s="54">
        <v>408.5</v>
      </c>
      <c r="X34" s="55">
        <v>400.2</v>
      </c>
      <c r="Y34" s="55">
        <v>324.39999999999998</v>
      </c>
      <c r="Z34" s="55">
        <f t="shared" si="31"/>
        <v>390.6</v>
      </c>
      <c r="AA34" s="57">
        <v>390.6</v>
      </c>
      <c r="AB34" s="54">
        <v>506.5</v>
      </c>
      <c r="AC34" s="55">
        <v>549.70000000000005</v>
      </c>
      <c r="AD34" s="55">
        <v>1448.2</v>
      </c>
      <c r="AE34" s="55"/>
      <c r="AF34" s="57"/>
      <c r="AG34" s="55"/>
      <c r="AH34" s="55"/>
      <c r="AI34" s="55"/>
      <c r="AJ34" s="56"/>
      <c r="AK34" s="57"/>
      <c r="AL34" s="55"/>
      <c r="AM34" s="55"/>
      <c r="AN34" s="55"/>
      <c r="AO34" s="56"/>
      <c r="AP34" s="57"/>
      <c r="AQ34" s="57"/>
      <c r="AR34" s="57"/>
      <c r="AS34" s="57"/>
      <c r="AT34" s="54"/>
      <c r="AU34" s="57"/>
      <c r="AV34" s="56"/>
      <c r="AW34" s="57"/>
      <c r="AX34" s="57"/>
      <c r="AY34" s="57"/>
      <c r="AZ34" s="80"/>
      <c r="BA34" s="57"/>
      <c r="BB34" s="57"/>
      <c r="BC34" s="57"/>
      <c r="BD34" s="57"/>
      <c r="BE34" s="57"/>
      <c r="BF34" s="10"/>
      <c r="BG34" s="10"/>
      <c r="BH34" s="10"/>
      <c r="BI34" s="10"/>
      <c r="BJ34" s="10"/>
    </row>
    <row r="35" spans="1:62" ht="9.75" customHeight="1" x14ac:dyDescent="0.15">
      <c r="A35" s="58"/>
      <c r="B35" s="58" t="s">
        <v>51</v>
      </c>
      <c r="C35" s="58"/>
      <c r="D35" s="59"/>
      <c r="E35" s="59"/>
      <c r="F35" s="59"/>
      <c r="G35" s="59"/>
      <c r="H35" s="60"/>
      <c r="I35" s="60"/>
      <c r="J35" s="60"/>
      <c r="K35" s="60"/>
      <c r="L35" s="61">
        <f>SUM(L32:L34)</f>
        <v>0</v>
      </c>
      <c r="M35" s="61">
        <f t="shared" ref="M35:BE35" si="32">SUM(M28:M34)</f>
        <v>4544.6999999999989</v>
      </c>
      <c r="N35" s="60">
        <f t="shared" si="32"/>
        <v>4562.9000000000005</v>
      </c>
      <c r="O35" s="60">
        <f t="shared" si="32"/>
        <v>4579.7000000000007</v>
      </c>
      <c r="P35" s="62">
        <f t="shared" si="32"/>
        <v>4690.2</v>
      </c>
      <c r="Q35" s="61">
        <f t="shared" si="32"/>
        <v>4690.2</v>
      </c>
      <c r="R35" s="61">
        <f t="shared" si="32"/>
        <v>4411.8999999999996</v>
      </c>
      <c r="S35" s="60">
        <f t="shared" si="32"/>
        <v>4821.5999999999995</v>
      </c>
      <c r="T35" s="60">
        <f t="shared" si="32"/>
        <v>4787.3999999999996</v>
      </c>
      <c r="U35" s="60">
        <f t="shared" si="32"/>
        <v>5487.7</v>
      </c>
      <c r="V35" s="61">
        <f t="shared" si="32"/>
        <v>5487.7</v>
      </c>
      <c r="W35" s="61">
        <f t="shared" si="32"/>
        <v>5154.3999999999996</v>
      </c>
      <c r="X35" s="60">
        <f t="shared" si="32"/>
        <v>5944.9000000000005</v>
      </c>
      <c r="Y35" s="60">
        <f t="shared" si="32"/>
        <v>3266.1</v>
      </c>
      <c r="Z35" s="60">
        <f t="shared" si="32"/>
        <v>3655.4999999999995</v>
      </c>
      <c r="AA35" s="61">
        <f t="shared" si="32"/>
        <v>3655.4999999999995</v>
      </c>
      <c r="AB35" s="61">
        <f t="shared" si="32"/>
        <v>4196.5999999999995</v>
      </c>
      <c r="AC35" s="60">
        <f t="shared" si="32"/>
        <v>5952.0999999999995</v>
      </c>
      <c r="AD35" s="60">
        <f t="shared" si="32"/>
        <v>6524.0999999999995</v>
      </c>
      <c r="AE35" s="60">
        <f t="shared" si="32"/>
        <v>3657.526137368548</v>
      </c>
      <c r="AF35" s="63">
        <f t="shared" si="32"/>
        <v>3657.526137368548</v>
      </c>
      <c r="AG35" s="61">
        <f t="shared" si="32"/>
        <v>4250.5269596438557</v>
      </c>
      <c r="AH35" s="60">
        <f t="shared" si="32"/>
        <v>4738.6207216921521</v>
      </c>
      <c r="AI35" s="60">
        <f t="shared" si="32"/>
        <v>5318.1199374098023</v>
      </c>
      <c r="AJ35" s="62">
        <f t="shared" si="32"/>
        <v>4819.8262250768057</v>
      </c>
      <c r="AK35" s="63">
        <f t="shared" si="32"/>
        <v>4819.8262250768057</v>
      </c>
      <c r="AL35" s="61">
        <f t="shared" si="32"/>
        <v>5238.5995524360096</v>
      </c>
      <c r="AM35" s="60">
        <f t="shared" si="32"/>
        <v>5856.0484119149087</v>
      </c>
      <c r="AN35" s="60">
        <f t="shared" si="32"/>
        <v>6361.7207403046996</v>
      </c>
      <c r="AO35" s="62">
        <f t="shared" si="32"/>
        <v>5682.3950989239775</v>
      </c>
      <c r="AP35" s="63">
        <f t="shared" si="32"/>
        <v>5682.3950989239775</v>
      </c>
      <c r="AQ35" s="63">
        <f t="shared" si="32"/>
        <v>0</v>
      </c>
      <c r="AR35" s="63">
        <f t="shared" si="32"/>
        <v>0</v>
      </c>
      <c r="AS35" s="63">
        <f t="shared" si="32"/>
        <v>0</v>
      </c>
      <c r="AT35" s="63">
        <f t="shared" si="32"/>
        <v>0</v>
      </c>
      <c r="AU35" s="63">
        <f t="shared" si="32"/>
        <v>6830.7624120516521</v>
      </c>
      <c r="AV35" s="63">
        <f t="shared" si="32"/>
        <v>0</v>
      </c>
      <c r="AW35" s="63">
        <f t="shared" si="32"/>
        <v>0</v>
      </c>
      <c r="AX35" s="63">
        <f t="shared" si="32"/>
        <v>0</v>
      </c>
      <c r="AY35" s="63">
        <f t="shared" si="32"/>
        <v>0</v>
      </c>
      <c r="AZ35" s="63">
        <f t="shared" si="32"/>
        <v>7856.6141912817366</v>
      </c>
      <c r="BA35" s="63">
        <f t="shared" si="32"/>
        <v>0</v>
      </c>
      <c r="BB35" s="63">
        <f t="shared" si="32"/>
        <v>0</v>
      </c>
      <c r="BC35" s="63">
        <f t="shared" si="32"/>
        <v>0</v>
      </c>
      <c r="BD35" s="63">
        <f t="shared" si="32"/>
        <v>0</v>
      </c>
      <c r="BE35" s="63">
        <f t="shared" si="32"/>
        <v>9185.6153872576306</v>
      </c>
      <c r="BF35" s="58"/>
      <c r="BG35" s="58"/>
      <c r="BH35" s="58"/>
      <c r="BI35" s="58"/>
      <c r="BJ35" s="58"/>
    </row>
    <row r="36" spans="1:62" ht="9.75" customHeight="1" x14ac:dyDescent="0.15">
      <c r="A36" s="58"/>
      <c r="B36" s="53" t="s">
        <v>52</v>
      </c>
      <c r="C36" s="53"/>
      <c r="D36" s="53"/>
      <c r="E36" s="59"/>
      <c r="F36" s="59"/>
      <c r="G36" s="59"/>
      <c r="H36" s="60"/>
      <c r="I36" s="60"/>
      <c r="J36" s="60"/>
      <c r="K36" s="60"/>
      <c r="L36" s="61"/>
      <c r="M36" s="54">
        <v>18568.8</v>
      </c>
      <c r="N36" s="55">
        <v>18322</v>
      </c>
      <c r="O36" s="55">
        <v>18422.900000000001</v>
      </c>
      <c r="P36" s="49">
        <f>Q36</f>
        <v>18405</v>
      </c>
      <c r="Q36" s="54">
        <v>18405</v>
      </c>
      <c r="R36" s="54">
        <v>19107.099999999999</v>
      </c>
      <c r="S36" s="55">
        <v>18615.900000000001</v>
      </c>
      <c r="T36" s="55">
        <v>19040</v>
      </c>
      <c r="U36" s="55">
        <f t="shared" ref="U36:U40" si="33">V36</f>
        <v>21127.200000000001</v>
      </c>
      <c r="V36" s="54">
        <v>21127.200000000001</v>
      </c>
      <c r="W36" s="54">
        <v>21937.4</v>
      </c>
      <c r="X36" s="55">
        <v>21849.200000000001</v>
      </c>
      <c r="Y36" s="55">
        <v>24011</v>
      </c>
      <c r="Z36" s="55">
        <f t="shared" ref="Z36:Z40" si="34">AA36</f>
        <v>28497.7</v>
      </c>
      <c r="AA36" s="57">
        <v>28497.7</v>
      </c>
      <c r="AB36" s="54">
        <v>27990.3</v>
      </c>
      <c r="AC36" s="55">
        <v>32947.599999999999</v>
      </c>
      <c r="AD36" s="55">
        <v>31439</v>
      </c>
      <c r="AE36" s="60"/>
      <c r="AF36" s="83"/>
      <c r="AG36" s="83"/>
      <c r="AH36" s="60"/>
      <c r="AI36" s="60"/>
      <c r="AJ36" s="60"/>
      <c r="AK36" s="63"/>
      <c r="AL36" s="60"/>
      <c r="AM36" s="60"/>
      <c r="AN36" s="60"/>
      <c r="AO36" s="60"/>
      <c r="AP36" s="63"/>
      <c r="AQ36" s="60"/>
      <c r="AR36" s="60"/>
      <c r="AS36" s="60"/>
      <c r="AT36" s="60"/>
      <c r="AU36" s="63"/>
      <c r="AV36" s="60"/>
      <c r="AW36" s="60"/>
      <c r="AX36" s="60"/>
      <c r="AY36" s="60"/>
      <c r="AZ36" s="63"/>
      <c r="BA36" s="60"/>
      <c r="BB36" s="60"/>
      <c r="BC36" s="60"/>
      <c r="BD36" s="60"/>
      <c r="BE36" s="63"/>
      <c r="BF36" s="58"/>
      <c r="BG36" s="58"/>
      <c r="BH36" s="58"/>
      <c r="BI36" s="58"/>
      <c r="BJ36" s="58"/>
    </row>
    <row r="37" spans="1:62" ht="9.75" customHeight="1" x14ac:dyDescent="0.15">
      <c r="A37" s="58"/>
      <c r="B37" s="53" t="s">
        <v>53</v>
      </c>
      <c r="C37" s="53"/>
      <c r="D37" s="53"/>
      <c r="E37" s="59"/>
      <c r="F37" s="59"/>
      <c r="G37" s="59"/>
      <c r="H37" s="60"/>
      <c r="I37" s="60"/>
      <c r="J37" s="60"/>
      <c r="K37" s="60"/>
      <c r="L37" s="61"/>
      <c r="M37" s="54"/>
      <c r="N37" s="55"/>
      <c r="O37" s="55"/>
      <c r="P37" s="49"/>
      <c r="Q37" s="54"/>
      <c r="R37" s="54">
        <v>6316.1</v>
      </c>
      <c r="S37" s="55">
        <v>6335.4</v>
      </c>
      <c r="T37" s="55">
        <v>6448</v>
      </c>
      <c r="U37" s="55">
        <f t="shared" si="33"/>
        <v>6510.4</v>
      </c>
      <c r="V37" s="54">
        <v>6510.4</v>
      </c>
      <c r="W37" s="54">
        <v>6137.8</v>
      </c>
      <c r="X37" s="55">
        <v>6086.8</v>
      </c>
      <c r="Y37" s="55">
        <v>6424.4</v>
      </c>
      <c r="Z37" s="55">
        <f t="shared" si="34"/>
        <v>6884.4</v>
      </c>
      <c r="AA37" s="57">
        <v>6884.4</v>
      </c>
      <c r="AB37" s="54">
        <v>6812.9</v>
      </c>
      <c r="AC37" s="55">
        <v>8036</v>
      </c>
      <c r="AD37" s="55">
        <v>7863.2</v>
      </c>
      <c r="AE37" s="60"/>
      <c r="AF37" s="83"/>
      <c r="AG37" s="83"/>
      <c r="AH37" s="60"/>
      <c r="AI37" s="60"/>
      <c r="AJ37" s="60"/>
      <c r="AK37" s="63"/>
      <c r="AL37" s="60"/>
      <c r="AM37" s="60"/>
      <c r="AN37" s="60"/>
      <c r="AO37" s="60"/>
      <c r="AP37" s="63"/>
      <c r="AQ37" s="60"/>
      <c r="AR37" s="60"/>
      <c r="AS37" s="60"/>
      <c r="AT37" s="60"/>
      <c r="AU37" s="63"/>
      <c r="AV37" s="60"/>
      <c r="AW37" s="60"/>
      <c r="AX37" s="60"/>
      <c r="AY37" s="60"/>
      <c r="AZ37" s="63"/>
      <c r="BA37" s="60"/>
      <c r="BB37" s="60"/>
      <c r="BC37" s="60"/>
      <c r="BD37" s="60"/>
      <c r="BE37" s="63"/>
      <c r="BF37" s="58"/>
      <c r="BG37" s="58"/>
      <c r="BH37" s="58"/>
      <c r="BI37" s="58"/>
      <c r="BJ37" s="58"/>
    </row>
    <row r="38" spans="1:62" ht="9.75" customHeight="1" x14ac:dyDescent="0.15">
      <c r="A38" s="58"/>
      <c r="B38" s="53" t="s">
        <v>54</v>
      </c>
      <c r="C38" s="53"/>
      <c r="D38" s="53"/>
      <c r="E38" s="59"/>
      <c r="F38" s="59"/>
      <c r="G38" s="59"/>
      <c r="H38" s="60"/>
      <c r="I38" s="60"/>
      <c r="J38" s="60"/>
      <c r="K38" s="60"/>
      <c r="L38" s="61"/>
      <c r="M38" s="54">
        <v>1215</v>
      </c>
      <c r="N38" s="55">
        <v>1185.8</v>
      </c>
      <c r="O38" s="55">
        <v>1196.5</v>
      </c>
      <c r="P38" s="49">
        <f t="shared" ref="P38:P40" si="35">Q38</f>
        <v>1210</v>
      </c>
      <c r="Q38" s="54">
        <v>1210</v>
      </c>
      <c r="R38" s="54">
        <v>1227.2</v>
      </c>
      <c r="S38" s="55">
        <v>1252.3</v>
      </c>
      <c r="T38" s="55">
        <v>1252.5</v>
      </c>
      <c r="U38" s="55">
        <f t="shared" si="33"/>
        <v>1384.1</v>
      </c>
      <c r="V38" s="54">
        <v>1384.1</v>
      </c>
      <c r="W38" s="54">
        <v>1321.5</v>
      </c>
      <c r="X38" s="55">
        <v>1347.4</v>
      </c>
      <c r="Y38" s="55">
        <v>1377.1</v>
      </c>
      <c r="Z38" s="55">
        <f t="shared" si="34"/>
        <v>1571.3</v>
      </c>
      <c r="AA38" s="57">
        <v>1571.3</v>
      </c>
      <c r="AB38" s="54">
        <v>1574.6</v>
      </c>
      <c r="AC38" s="55">
        <v>1893.8</v>
      </c>
      <c r="AD38" s="55">
        <v>1930.2</v>
      </c>
      <c r="AE38" s="60"/>
      <c r="AF38" s="83"/>
      <c r="AG38" s="83"/>
      <c r="AH38" s="60"/>
      <c r="AI38" s="60"/>
      <c r="AJ38" s="60"/>
      <c r="AK38" s="63"/>
      <c r="AL38" s="60"/>
      <c r="AM38" s="60"/>
      <c r="AN38" s="60"/>
      <c r="AO38" s="60"/>
      <c r="AP38" s="63"/>
      <c r="AQ38" s="60"/>
      <c r="AR38" s="60"/>
      <c r="AS38" s="60"/>
      <c r="AT38" s="60"/>
      <c r="AU38" s="63"/>
      <c r="AV38" s="60"/>
      <c r="AW38" s="60"/>
      <c r="AX38" s="60"/>
      <c r="AY38" s="60"/>
      <c r="AZ38" s="63"/>
      <c r="BA38" s="60"/>
      <c r="BB38" s="60"/>
      <c r="BC38" s="60"/>
      <c r="BD38" s="60"/>
      <c r="BE38" s="63"/>
      <c r="BF38" s="58"/>
      <c r="BG38" s="58"/>
      <c r="BH38" s="58"/>
      <c r="BI38" s="58"/>
      <c r="BJ38" s="58"/>
    </row>
    <row r="39" spans="1:62" ht="9.75" customHeight="1" x14ac:dyDescent="0.15">
      <c r="A39" s="58"/>
      <c r="B39" s="53" t="s">
        <v>55</v>
      </c>
      <c r="C39" s="53"/>
      <c r="D39" s="53"/>
      <c r="E39" s="59"/>
      <c r="F39" s="59"/>
      <c r="G39" s="59"/>
      <c r="H39" s="60"/>
      <c r="I39" s="60"/>
      <c r="J39" s="60"/>
      <c r="K39" s="60"/>
      <c r="L39" s="61"/>
      <c r="M39" s="54">
        <v>791.7</v>
      </c>
      <c r="N39" s="55">
        <v>752.2</v>
      </c>
      <c r="O39" s="55">
        <v>706.2</v>
      </c>
      <c r="P39" s="49">
        <f t="shared" si="35"/>
        <v>536</v>
      </c>
      <c r="Q39" s="54">
        <v>536</v>
      </c>
      <c r="R39" s="54">
        <v>510.8</v>
      </c>
      <c r="S39" s="55">
        <v>546.20000000000005</v>
      </c>
      <c r="T39" s="55">
        <v>538.5</v>
      </c>
      <c r="U39" s="55">
        <f t="shared" si="33"/>
        <v>768.3</v>
      </c>
      <c r="V39" s="54">
        <v>768.3</v>
      </c>
      <c r="W39" s="54">
        <v>731</v>
      </c>
      <c r="X39" s="55">
        <v>804.2</v>
      </c>
      <c r="Y39" s="55">
        <v>770.4</v>
      </c>
      <c r="Z39" s="55">
        <f t="shared" si="34"/>
        <v>859.5</v>
      </c>
      <c r="AA39" s="57">
        <v>859.5</v>
      </c>
      <c r="AB39" s="54">
        <v>854.7</v>
      </c>
      <c r="AC39" s="55">
        <v>1993.9</v>
      </c>
      <c r="AD39" s="55">
        <v>1927.5</v>
      </c>
      <c r="AE39" s="60"/>
      <c r="AF39" s="83"/>
      <c r="AG39" s="83"/>
      <c r="AH39" s="60"/>
      <c r="AI39" s="60"/>
      <c r="AJ39" s="60"/>
      <c r="AK39" s="63"/>
      <c r="AL39" s="60"/>
      <c r="AM39" s="60"/>
      <c r="AN39" s="60"/>
      <c r="AO39" s="60"/>
      <c r="AP39" s="63"/>
      <c r="AQ39" s="60"/>
      <c r="AR39" s="60"/>
      <c r="AS39" s="60"/>
      <c r="AT39" s="60"/>
      <c r="AU39" s="63"/>
      <c r="AV39" s="60"/>
      <c r="AW39" s="60"/>
      <c r="AX39" s="60"/>
      <c r="AY39" s="60"/>
      <c r="AZ39" s="63"/>
      <c r="BA39" s="60"/>
      <c r="BB39" s="60"/>
      <c r="BC39" s="60"/>
      <c r="BD39" s="60"/>
      <c r="BE39" s="63"/>
      <c r="BF39" s="58"/>
      <c r="BG39" s="58"/>
      <c r="BH39" s="58"/>
      <c r="BI39" s="58"/>
      <c r="BJ39" s="58"/>
    </row>
    <row r="40" spans="1:62" ht="9.75" customHeight="1" x14ac:dyDescent="0.15">
      <c r="A40" s="58"/>
      <c r="B40" s="53" t="s">
        <v>56</v>
      </c>
      <c r="C40" s="53"/>
      <c r="D40" s="53"/>
      <c r="E40" s="59"/>
      <c r="F40" s="59"/>
      <c r="G40" s="59"/>
      <c r="H40" s="60"/>
      <c r="I40" s="60"/>
      <c r="J40" s="60"/>
      <c r="K40" s="60"/>
      <c r="L40" s="61"/>
      <c r="M40" s="65">
        <v>1246</v>
      </c>
      <c r="N40" s="66">
        <v>1246.9000000000001</v>
      </c>
      <c r="O40" s="66">
        <v>1288.4000000000001</v>
      </c>
      <c r="P40" s="49">
        <f t="shared" si="35"/>
        <v>1265</v>
      </c>
      <c r="Q40" s="54">
        <v>1265</v>
      </c>
      <c r="R40" s="65">
        <v>864.4</v>
      </c>
      <c r="S40" s="66">
        <v>868</v>
      </c>
      <c r="T40" s="66">
        <v>870.9</v>
      </c>
      <c r="U40" s="66">
        <f t="shared" si="33"/>
        <v>937</v>
      </c>
      <c r="V40" s="54">
        <v>937</v>
      </c>
      <c r="W40" s="65">
        <v>901</v>
      </c>
      <c r="X40" s="66">
        <v>880.8</v>
      </c>
      <c r="Y40" s="66">
        <v>869.2</v>
      </c>
      <c r="Z40" s="66">
        <f t="shared" si="34"/>
        <v>984.6</v>
      </c>
      <c r="AA40" s="84">
        <v>984.6</v>
      </c>
      <c r="AB40" s="65">
        <v>961.6</v>
      </c>
      <c r="AC40" s="66">
        <v>1126.7</v>
      </c>
      <c r="AD40" s="66">
        <v>1157.5999999999999</v>
      </c>
      <c r="AE40" s="60"/>
      <c r="AF40" s="83"/>
      <c r="AG40" s="85"/>
      <c r="AH40" s="60"/>
      <c r="AI40" s="60"/>
      <c r="AJ40" s="60"/>
      <c r="AK40" s="63"/>
      <c r="AL40" s="60"/>
      <c r="AM40" s="60"/>
      <c r="AN40" s="60"/>
      <c r="AO40" s="60"/>
      <c r="AP40" s="63"/>
      <c r="AQ40" s="60"/>
      <c r="AR40" s="60"/>
      <c r="AS40" s="60"/>
      <c r="AT40" s="60"/>
      <c r="AU40" s="63"/>
      <c r="AV40" s="60"/>
      <c r="AW40" s="60"/>
      <c r="AX40" s="60"/>
      <c r="AY40" s="60"/>
      <c r="AZ40" s="63"/>
      <c r="BA40" s="60"/>
      <c r="BB40" s="60"/>
      <c r="BC40" s="60"/>
      <c r="BD40" s="60"/>
      <c r="BE40" s="63"/>
      <c r="BF40" s="58"/>
      <c r="BG40" s="58"/>
      <c r="BH40" s="58"/>
      <c r="BI40" s="58"/>
      <c r="BJ40" s="58"/>
    </row>
    <row r="41" spans="1:62" ht="9.75" customHeight="1" x14ac:dyDescent="0.15">
      <c r="A41" s="10"/>
      <c r="B41" s="68" t="s">
        <v>57</v>
      </c>
      <c r="C41" s="69"/>
      <c r="D41" s="71"/>
      <c r="E41" s="70"/>
      <c r="F41" s="70"/>
      <c r="G41" s="76"/>
      <c r="H41" s="71"/>
      <c r="I41" s="70"/>
      <c r="J41" s="70"/>
      <c r="K41" s="76"/>
      <c r="L41" s="77">
        <f t="shared" ref="L41:AE41" si="36">SUM(L35:L40)</f>
        <v>0</v>
      </c>
      <c r="M41" s="72">
        <f t="shared" si="36"/>
        <v>26366.2</v>
      </c>
      <c r="N41" s="73">
        <f t="shared" si="36"/>
        <v>26069.800000000003</v>
      </c>
      <c r="O41" s="73">
        <f t="shared" si="36"/>
        <v>26193.700000000004</v>
      </c>
      <c r="P41" s="86">
        <f t="shared" si="36"/>
        <v>26106.2</v>
      </c>
      <c r="Q41" s="86">
        <f t="shared" si="36"/>
        <v>26106.2</v>
      </c>
      <c r="R41" s="72">
        <f t="shared" si="36"/>
        <v>32437.5</v>
      </c>
      <c r="S41" s="73">
        <f t="shared" si="36"/>
        <v>32439.4</v>
      </c>
      <c r="T41" s="73">
        <f t="shared" si="36"/>
        <v>32937.300000000003</v>
      </c>
      <c r="U41" s="86">
        <f t="shared" si="36"/>
        <v>36214.700000000004</v>
      </c>
      <c r="V41" s="75">
        <f t="shared" si="36"/>
        <v>36214.700000000004</v>
      </c>
      <c r="W41" s="72">
        <f t="shared" si="36"/>
        <v>36183.100000000006</v>
      </c>
      <c r="X41" s="73">
        <f t="shared" si="36"/>
        <v>36913.300000000003</v>
      </c>
      <c r="Y41" s="73">
        <f t="shared" si="36"/>
        <v>36718.199999999997</v>
      </c>
      <c r="Z41" s="86">
        <f t="shared" si="36"/>
        <v>42453</v>
      </c>
      <c r="AA41" s="75">
        <f t="shared" si="36"/>
        <v>42453</v>
      </c>
      <c r="AB41" s="72">
        <f t="shared" si="36"/>
        <v>42390.69999999999</v>
      </c>
      <c r="AC41" s="73">
        <f t="shared" si="36"/>
        <v>51950.1</v>
      </c>
      <c r="AD41" s="73">
        <f t="shared" si="36"/>
        <v>50841.599999999991</v>
      </c>
      <c r="AE41" s="70">
        <f t="shared" si="36"/>
        <v>3657.526137368548</v>
      </c>
      <c r="AF41" s="77"/>
      <c r="AG41" s="71"/>
      <c r="AH41" s="70"/>
      <c r="AI41" s="70"/>
      <c r="AJ41" s="76"/>
      <c r="AK41" s="77"/>
      <c r="AL41" s="71"/>
      <c r="AM41" s="70"/>
      <c r="AN41" s="70"/>
      <c r="AO41" s="76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10"/>
      <c r="BG41" s="10"/>
      <c r="BH41" s="10"/>
      <c r="BI41" s="10"/>
      <c r="BJ41" s="10"/>
    </row>
    <row r="42" spans="1:62" ht="9.75" customHeight="1" x14ac:dyDescent="0.15">
      <c r="A42" s="10"/>
      <c r="B42" s="53" t="s">
        <v>58</v>
      </c>
      <c r="C42" s="53"/>
      <c r="D42" s="53"/>
      <c r="E42" s="49"/>
      <c r="F42" s="49"/>
      <c r="G42" s="49"/>
      <c r="H42" s="49"/>
      <c r="I42" s="49"/>
      <c r="J42" s="49"/>
      <c r="K42" s="49"/>
      <c r="L42" s="51"/>
      <c r="M42" s="54">
        <v>1065.2</v>
      </c>
      <c r="N42" s="55">
        <v>1009.3</v>
      </c>
      <c r="O42" s="55">
        <v>954.8</v>
      </c>
      <c r="P42" s="55">
        <f>Q42</f>
        <v>1005</v>
      </c>
      <c r="Q42" s="54">
        <v>1005</v>
      </c>
      <c r="R42" s="54">
        <v>589</v>
      </c>
      <c r="S42" s="55">
        <v>590.20000000000005</v>
      </c>
      <c r="T42" s="55">
        <v>574.79999999999995</v>
      </c>
      <c r="U42" s="55">
        <f>V42</f>
        <v>1096.5</v>
      </c>
      <c r="V42" s="87">
        <v>1096.5</v>
      </c>
      <c r="W42" s="54">
        <v>541.4</v>
      </c>
      <c r="X42" s="55">
        <v>542.29999999999995</v>
      </c>
      <c r="Y42" s="55">
        <v>554.9</v>
      </c>
      <c r="Z42" s="55">
        <f>AA42</f>
        <v>212.1</v>
      </c>
      <c r="AA42" s="87">
        <v>212.1</v>
      </c>
      <c r="AB42" s="54">
        <v>212.9</v>
      </c>
      <c r="AC42" s="55">
        <v>209.4</v>
      </c>
      <c r="AD42" s="55">
        <v>211.4</v>
      </c>
      <c r="AE42" s="49"/>
      <c r="AF42" s="51"/>
      <c r="AG42" s="49"/>
      <c r="AH42" s="49"/>
      <c r="AI42" s="49"/>
      <c r="AJ42" s="49"/>
      <c r="AK42" s="51"/>
      <c r="AL42" s="49"/>
      <c r="AM42" s="49"/>
      <c r="AN42" s="49"/>
      <c r="AO42" s="49"/>
      <c r="AP42" s="51"/>
      <c r="AQ42" s="49"/>
      <c r="AR42" s="49"/>
      <c r="AS42" s="49"/>
      <c r="AT42" s="49"/>
      <c r="AU42" s="51"/>
      <c r="AV42" s="49"/>
      <c r="AW42" s="49"/>
      <c r="AX42" s="49"/>
      <c r="AY42" s="49"/>
      <c r="AZ42" s="51"/>
      <c r="BA42" s="49"/>
      <c r="BB42" s="49"/>
      <c r="BC42" s="49"/>
      <c r="BD42" s="49"/>
      <c r="BE42" s="51"/>
      <c r="BF42" s="10"/>
      <c r="BG42" s="10"/>
      <c r="BH42" s="10"/>
      <c r="BI42" s="10"/>
      <c r="BJ42" s="10"/>
    </row>
    <row r="43" spans="1:62" ht="9.75" customHeight="1" x14ac:dyDescent="0.15">
      <c r="A43" s="10"/>
      <c r="B43" s="58" t="s">
        <v>59</v>
      </c>
      <c r="C43" s="53"/>
      <c r="D43" s="53"/>
      <c r="E43" s="49"/>
      <c r="F43" s="49"/>
      <c r="G43" s="49"/>
      <c r="H43" s="49"/>
      <c r="I43" s="49"/>
      <c r="J43" s="49"/>
      <c r="K43" s="49"/>
      <c r="L43" s="51"/>
      <c r="M43" s="54">
        <v>0</v>
      </c>
      <c r="N43" s="55"/>
      <c r="O43" s="55"/>
      <c r="P43" s="55"/>
      <c r="Q43" s="54"/>
      <c r="R43" s="54"/>
      <c r="S43" s="55"/>
      <c r="T43" s="55"/>
      <c r="U43" s="55"/>
      <c r="V43" s="88"/>
      <c r="W43" s="54"/>
      <c r="X43" s="55">
        <v>0</v>
      </c>
      <c r="Y43" s="55"/>
      <c r="Z43" s="55"/>
      <c r="AA43" s="88"/>
      <c r="AB43" s="54"/>
      <c r="AC43" s="55"/>
      <c r="AD43" s="55"/>
      <c r="AE43" s="89"/>
      <c r="AF43" s="51"/>
      <c r="AG43" s="49"/>
      <c r="AH43" s="49"/>
      <c r="AI43" s="49"/>
      <c r="AJ43" s="49"/>
      <c r="AK43" s="51"/>
      <c r="AL43" s="49"/>
      <c r="AM43" s="49"/>
      <c r="AN43" s="49"/>
      <c r="AO43" s="49"/>
      <c r="AP43" s="51"/>
      <c r="AQ43" s="49"/>
      <c r="AR43" s="49"/>
      <c r="AS43" s="49"/>
      <c r="AT43" s="49"/>
      <c r="AU43" s="51"/>
      <c r="AV43" s="49"/>
      <c r="AW43" s="49"/>
      <c r="AX43" s="49"/>
      <c r="AY43" s="49"/>
      <c r="AZ43" s="51"/>
      <c r="BA43" s="49"/>
      <c r="BB43" s="49"/>
      <c r="BC43" s="49"/>
      <c r="BD43" s="49"/>
      <c r="BE43" s="51"/>
      <c r="BF43" s="10"/>
      <c r="BG43" s="10"/>
      <c r="BH43" s="10"/>
      <c r="BI43" s="10"/>
      <c r="BJ43" s="10"/>
    </row>
    <row r="44" spans="1:62" ht="9.75" customHeight="1" x14ac:dyDescent="0.15">
      <c r="A44" s="10"/>
      <c r="B44" s="53" t="s">
        <v>60</v>
      </c>
      <c r="C44" s="53"/>
      <c r="D44" s="53"/>
      <c r="E44" s="49"/>
      <c r="F44" s="49"/>
      <c r="G44" s="49"/>
      <c r="H44" s="55"/>
      <c r="I44" s="55"/>
      <c r="J44" s="55"/>
      <c r="K44" s="55"/>
      <c r="L44" s="57"/>
      <c r="M44" s="54">
        <v>4.5</v>
      </c>
      <c r="N44" s="55">
        <v>4.5</v>
      </c>
      <c r="O44" s="55">
        <v>4.5</v>
      </c>
      <c r="P44" s="55">
        <f t="shared" ref="P44:P50" si="37">Q44</f>
        <v>4.5</v>
      </c>
      <c r="Q44" s="54">
        <v>4.5</v>
      </c>
      <c r="R44" s="54">
        <v>4.5</v>
      </c>
      <c r="S44" s="55">
        <v>4.5</v>
      </c>
      <c r="T44" s="55">
        <v>4.5</v>
      </c>
      <c r="U44" s="55">
        <f t="shared" ref="U44:U50" si="38">V44</f>
        <v>4.5</v>
      </c>
      <c r="V44" s="88">
        <v>4.5</v>
      </c>
      <c r="W44" s="54">
        <v>4.5</v>
      </c>
      <c r="X44" s="55">
        <v>4.5</v>
      </c>
      <c r="Y44" s="55">
        <v>4.5</v>
      </c>
      <c r="Z44" s="55">
        <f t="shared" ref="Z44:Z50" si="39">AA44</f>
        <v>4.5999999999999996</v>
      </c>
      <c r="AA44" s="88">
        <v>4.5999999999999996</v>
      </c>
      <c r="AB44" s="54">
        <v>4.5999999999999996</v>
      </c>
      <c r="AC44" s="55">
        <v>4.7</v>
      </c>
      <c r="AD44" s="55">
        <v>4.7</v>
      </c>
      <c r="AE44" s="89"/>
      <c r="AF44" s="57"/>
      <c r="AG44" s="55"/>
      <c r="AH44" s="55"/>
      <c r="AI44" s="55"/>
      <c r="AJ44" s="55"/>
      <c r="AK44" s="57"/>
      <c r="AL44" s="55"/>
      <c r="AM44" s="55"/>
      <c r="AN44" s="55"/>
      <c r="AO44" s="55"/>
      <c r="AP44" s="57"/>
      <c r="AQ44" s="55"/>
      <c r="AR44" s="55"/>
      <c r="AS44" s="55"/>
      <c r="AT44" s="55"/>
      <c r="AU44" s="57"/>
      <c r="AV44" s="55"/>
      <c r="AW44" s="55"/>
      <c r="AX44" s="55"/>
      <c r="AY44" s="55"/>
      <c r="AZ44" s="57"/>
      <c r="BA44" s="55"/>
      <c r="BB44" s="55"/>
      <c r="BC44" s="55"/>
      <c r="BD44" s="55"/>
      <c r="BE44" s="57"/>
      <c r="BF44" s="10"/>
      <c r="BG44" s="10"/>
      <c r="BH44" s="10"/>
      <c r="BI44" s="10"/>
      <c r="BJ44" s="10"/>
    </row>
    <row r="45" spans="1:62" ht="9.75" customHeight="1" x14ac:dyDescent="0.15">
      <c r="A45" s="10"/>
      <c r="B45" s="53" t="s">
        <v>61</v>
      </c>
      <c r="C45" s="53"/>
      <c r="D45" s="53"/>
      <c r="E45" s="49"/>
      <c r="F45" s="49"/>
      <c r="G45" s="49"/>
      <c r="H45" s="55"/>
      <c r="I45" s="55"/>
      <c r="J45" s="55"/>
      <c r="K45" s="55"/>
      <c r="L45" s="57"/>
      <c r="M45" s="54">
        <v>10224</v>
      </c>
      <c r="N45" s="55">
        <v>10251.9</v>
      </c>
      <c r="O45" s="55">
        <v>10310</v>
      </c>
      <c r="P45" s="55">
        <f t="shared" si="37"/>
        <v>10381</v>
      </c>
      <c r="Q45" s="54">
        <v>10381</v>
      </c>
      <c r="R45" s="54">
        <v>10447.9</v>
      </c>
      <c r="S45" s="55">
        <v>10492.7</v>
      </c>
      <c r="T45" s="55">
        <v>10551.8</v>
      </c>
      <c r="U45" s="55">
        <f t="shared" si="38"/>
        <v>10117.700000000001</v>
      </c>
      <c r="V45" s="54">
        <v>10117.700000000001</v>
      </c>
      <c r="W45" s="54">
        <v>10255.6</v>
      </c>
      <c r="X45" s="55">
        <v>10297.799999999999</v>
      </c>
      <c r="Y45" s="55">
        <v>10369.6</v>
      </c>
      <c r="Z45" s="55">
        <f t="shared" si="39"/>
        <v>10473.700000000001</v>
      </c>
      <c r="AA45" s="54">
        <v>10473.700000000001</v>
      </c>
      <c r="AB45" s="54">
        <v>10474.6</v>
      </c>
      <c r="AC45" s="55">
        <v>12019.8</v>
      </c>
      <c r="AD45" s="55">
        <v>12081.3</v>
      </c>
      <c r="AE45" s="55"/>
      <c r="AF45" s="57"/>
      <c r="AG45" s="55"/>
      <c r="AH45" s="55"/>
      <c r="AI45" s="55"/>
      <c r="AJ45" s="55"/>
      <c r="AK45" s="57"/>
      <c r="AL45" s="55"/>
      <c r="AM45" s="55"/>
      <c r="AN45" s="55"/>
      <c r="AO45" s="55"/>
      <c r="AP45" s="57"/>
      <c r="AQ45" s="55"/>
      <c r="AR45" s="55"/>
      <c r="AS45" s="55"/>
      <c r="AT45" s="55"/>
      <c r="AU45" s="57"/>
      <c r="AV45" s="55"/>
      <c r="AW45" s="55"/>
      <c r="AX45" s="55"/>
      <c r="AY45" s="55"/>
      <c r="AZ45" s="57"/>
      <c r="BA45" s="55"/>
      <c r="BB45" s="55"/>
      <c r="BC45" s="55"/>
      <c r="BD45" s="55"/>
      <c r="BE45" s="57"/>
      <c r="BF45" s="10"/>
      <c r="BG45" s="10"/>
      <c r="BH45" s="10"/>
      <c r="BI45" s="10"/>
      <c r="BJ45" s="10"/>
    </row>
    <row r="46" spans="1:62" ht="9.75" customHeight="1" x14ac:dyDescent="0.15">
      <c r="A46" s="10"/>
      <c r="B46" s="53" t="s">
        <v>62</v>
      </c>
      <c r="C46" s="53"/>
      <c r="D46" s="53"/>
      <c r="E46" s="49"/>
      <c r="F46" s="49"/>
      <c r="G46" s="49"/>
      <c r="H46" s="55"/>
      <c r="I46" s="55"/>
      <c r="J46" s="55"/>
      <c r="K46" s="55"/>
      <c r="L46" s="57"/>
      <c r="M46" s="54">
        <v>-1085.7</v>
      </c>
      <c r="N46" s="55">
        <v>-1121.5999999999999</v>
      </c>
      <c r="O46" s="55">
        <v>-1104.3</v>
      </c>
      <c r="P46" s="55">
        <f t="shared" si="37"/>
        <v>-1199.5</v>
      </c>
      <c r="Q46" s="54">
        <v>-1199.5</v>
      </c>
      <c r="R46" s="54">
        <v>-1226.4000000000001</v>
      </c>
      <c r="S46" s="55">
        <v>-1206.2</v>
      </c>
      <c r="T46" s="55">
        <v>-1130.0999999999999</v>
      </c>
      <c r="U46" s="55">
        <f t="shared" si="38"/>
        <v>-1016.8</v>
      </c>
      <c r="V46" s="54">
        <v>-1016.8</v>
      </c>
      <c r="W46" s="54">
        <v>-1082.5</v>
      </c>
      <c r="X46" s="55">
        <v>-1125.0999999999999</v>
      </c>
      <c r="Y46" s="55">
        <v>-1168.8</v>
      </c>
      <c r="Z46" s="55">
        <f t="shared" si="39"/>
        <v>-1343</v>
      </c>
      <c r="AA46" s="54">
        <v>-1343</v>
      </c>
      <c r="AB46" s="54">
        <v>-1251.8</v>
      </c>
      <c r="AC46" s="55">
        <v>-1085</v>
      </c>
      <c r="AD46" s="55">
        <v>-960.4</v>
      </c>
      <c r="AE46" s="55"/>
      <c r="AF46" s="57"/>
      <c r="AG46" s="55"/>
      <c r="AH46" s="55"/>
      <c r="AI46" s="55"/>
      <c r="AJ46" s="55"/>
      <c r="AK46" s="57"/>
      <c r="AL46" s="55"/>
      <c r="AM46" s="55"/>
      <c r="AN46" s="55"/>
      <c r="AO46" s="55"/>
      <c r="AP46" s="57"/>
      <c r="AQ46" s="55"/>
      <c r="AR46" s="55"/>
      <c r="AS46" s="55"/>
      <c r="AT46" s="55"/>
      <c r="AU46" s="57"/>
      <c r="AV46" s="55"/>
      <c r="AW46" s="55"/>
      <c r="AX46" s="55"/>
      <c r="AY46" s="55"/>
      <c r="AZ46" s="57"/>
      <c r="BA46" s="55"/>
      <c r="BB46" s="55"/>
      <c r="BC46" s="55"/>
      <c r="BD46" s="55"/>
      <c r="BE46" s="57"/>
      <c r="BF46" s="10"/>
      <c r="BG46" s="10"/>
      <c r="BH46" s="10"/>
      <c r="BI46" s="10"/>
      <c r="BJ46" s="10"/>
    </row>
    <row r="47" spans="1:62" ht="9.75" customHeight="1" x14ac:dyDescent="0.15">
      <c r="A47" s="10"/>
      <c r="B47" s="53" t="s">
        <v>63</v>
      </c>
      <c r="C47" s="53"/>
      <c r="D47" s="53"/>
      <c r="E47" s="49"/>
      <c r="F47" s="49"/>
      <c r="G47" s="49"/>
      <c r="H47" s="55"/>
      <c r="I47" s="55"/>
      <c r="J47" s="55"/>
      <c r="K47" s="55"/>
      <c r="L47" s="57"/>
      <c r="M47" s="54">
        <v>-1834.6</v>
      </c>
      <c r="N47" s="55">
        <v>-2510.1</v>
      </c>
      <c r="O47" s="55">
        <v>-2696.3</v>
      </c>
      <c r="P47" s="55">
        <f t="shared" si="37"/>
        <v>-2642.9</v>
      </c>
      <c r="Q47" s="54">
        <v>-2642.9</v>
      </c>
      <c r="R47" s="54">
        <v>-2672.2</v>
      </c>
      <c r="S47" s="55">
        <v>-2606.6999999999998</v>
      </c>
      <c r="T47" s="55">
        <v>-2979</v>
      </c>
      <c r="U47" s="55">
        <f t="shared" si="38"/>
        <v>-2823.6</v>
      </c>
      <c r="V47" s="54">
        <v>-2823.6</v>
      </c>
      <c r="W47" s="54">
        <v>-4271.7</v>
      </c>
      <c r="X47" s="55">
        <v>-4274.5</v>
      </c>
      <c r="Y47" s="55">
        <v>-4191.2</v>
      </c>
      <c r="Z47" s="55">
        <f t="shared" si="39"/>
        <v>-3759.4</v>
      </c>
      <c r="AA47" s="54">
        <v>-3759.4</v>
      </c>
      <c r="AB47" s="54">
        <v>-4061.6</v>
      </c>
      <c r="AC47" s="55">
        <v>-3902.9</v>
      </c>
      <c r="AD47" s="55">
        <v>-4432</v>
      </c>
      <c r="AE47" s="55"/>
      <c r="AF47" s="57"/>
      <c r="AG47" s="55"/>
      <c r="AH47" s="55"/>
      <c r="AI47" s="55"/>
      <c r="AJ47" s="55"/>
      <c r="AK47" s="57"/>
      <c r="AL47" s="55"/>
      <c r="AM47" s="55"/>
      <c r="AN47" s="55"/>
      <c r="AO47" s="55"/>
      <c r="AP47" s="57"/>
      <c r="AQ47" s="55"/>
      <c r="AR47" s="55"/>
      <c r="AS47" s="55"/>
      <c r="AT47" s="55"/>
      <c r="AU47" s="57"/>
      <c r="AV47" s="55"/>
      <c r="AW47" s="55"/>
      <c r="AX47" s="55"/>
      <c r="AY47" s="55"/>
      <c r="AZ47" s="57"/>
      <c r="BA47" s="55"/>
      <c r="BB47" s="55"/>
      <c r="BC47" s="55"/>
      <c r="BD47" s="55"/>
      <c r="BE47" s="57"/>
      <c r="BF47" s="10"/>
      <c r="BG47" s="10"/>
      <c r="BH47" s="10"/>
      <c r="BI47" s="10"/>
      <c r="BJ47" s="10"/>
    </row>
    <row r="48" spans="1:62" ht="9.75" customHeight="1" x14ac:dyDescent="0.15">
      <c r="A48" s="10"/>
      <c r="B48" s="53" t="s">
        <v>64</v>
      </c>
      <c r="C48" s="53"/>
      <c r="D48" s="53"/>
      <c r="E48" s="49"/>
      <c r="F48" s="49"/>
      <c r="G48" s="49"/>
      <c r="H48" s="55"/>
      <c r="I48" s="55"/>
      <c r="J48" s="55"/>
      <c r="K48" s="55"/>
      <c r="L48" s="57"/>
      <c r="M48" s="54">
        <v>-974</v>
      </c>
      <c r="N48" s="55">
        <v>-1074</v>
      </c>
      <c r="O48" s="55">
        <v>-1163.2</v>
      </c>
      <c r="P48" s="55">
        <f t="shared" si="37"/>
        <v>-1206.8</v>
      </c>
      <c r="Q48" s="54">
        <v>-1206.8</v>
      </c>
      <c r="R48" s="54">
        <v>-1206.8</v>
      </c>
      <c r="S48" s="55">
        <v>-1206.8</v>
      </c>
      <c r="T48" s="55">
        <v>-1206.8</v>
      </c>
      <c r="U48" s="55">
        <f t="shared" si="38"/>
        <v>-1226.4000000000001</v>
      </c>
      <c r="V48" s="54">
        <v>-1226.4000000000001</v>
      </c>
      <c r="W48" s="54">
        <v>-1271.5</v>
      </c>
      <c r="X48" s="55">
        <v>-1282.4000000000001</v>
      </c>
      <c r="Y48" s="55">
        <v>-1282.4000000000001</v>
      </c>
      <c r="Z48" s="55">
        <f t="shared" si="39"/>
        <v>-1282.4000000000001</v>
      </c>
      <c r="AA48" s="54">
        <v>-1282.4000000000001</v>
      </c>
      <c r="AB48" s="54">
        <v>-1282.4000000000001</v>
      </c>
      <c r="AC48" s="55">
        <v>-1282.4000000000001</v>
      </c>
      <c r="AD48" s="55">
        <v>-1282.4000000000001</v>
      </c>
      <c r="AE48" s="55"/>
      <c r="AF48" s="57"/>
      <c r="AG48" s="55"/>
      <c r="AH48" s="55"/>
      <c r="AI48" s="55"/>
      <c r="AJ48" s="55"/>
      <c r="AK48" s="57"/>
      <c r="AL48" s="55"/>
      <c r="AM48" s="55"/>
      <c r="AN48" s="55"/>
      <c r="AO48" s="55"/>
      <c r="AP48" s="57"/>
      <c r="AQ48" s="55"/>
      <c r="AR48" s="55"/>
      <c r="AS48" s="55"/>
      <c r="AT48" s="55"/>
      <c r="AU48" s="57"/>
      <c r="AV48" s="55"/>
      <c r="AW48" s="55"/>
      <c r="AX48" s="55"/>
      <c r="AY48" s="55"/>
      <c r="AZ48" s="57"/>
      <c r="BA48" s="55"/>
      <c r="BB48" s="55"/>
      <c r="BC48" s="55"/>
      <c r="BD48" s="55"/>
      <c r="BE48" s="57"/>
      <c r="BF48" s="10"/>
      <c r="BG48" s="10"/>
      <c r="BH48" s="10"/>
      <c r="BI48" s="10"/>
      <c r="BJ48" s="10"/>
    </row>
    <row r="49" spans="1:62" ht="9" customHeight="1" x14ac:dyDescent="0.15">
      <c r="A49" s="10"/>
      <c r="B49" s="53" t="s">
        <v>65</v>
      </c>
      <c r="C49" s="53"/>
      <c r="D49" s="53"/>
      <c r="E49" s="49"/>
      <c r="F49" s="49"/>
      <c r="G49" s="49"/>
      <c r="H49" s="55"/>
      <c r="I49" s="55"/>
      <c r="J49" s="55"/>
      <c r="K49" s="55"/>
      <c r="L49" s="57"/>
      <c r="M49" s="54">
        <f t="shared" ref="M49:O49" si="40">SUM(M43:M48)</f>
        <v>6334.1999999999989</v>
      </c>
      <c r="N49" s="55">
        <f t="shared" si="40"/>
        <v>5550.6999999999989</v>
      </c>
      <c r="O49" s="55">
        <f t="shared" si="40"/>
        <v>5350.7000000000007</v>
      </c>
      <c r="P49" s="55">
        <f t="shared" si="37"/>
        <v>5336.1</v>
      </c>
      <c r="Q49" s="54">
        <v>5336.1</v>
      </c>
      <c r="R49" s="54">
        <f>SUM(R42:R48)</f>
        <v>5936</v>
      </c>
      <c r="S49" s="55">
        <f t="shared" ref="S49:T49" si="41">SUM(S43:S48)</f>
        <v>5477.5</v>
      </c>
      <c r="T49" s="55">
        <f t="shared" si="41"/>
        <v>5240.3999999999987</v>
      </c>
      <c r="U49" s="55">
        <f t="shared" si="38"/>
        <v>5055.3999999999996</v>
      </c>
      <c r="V49" s="54">
        <v>5055.3999999999996</v>
      </c>
      <c r="W49" s="54">
        <f t="shared" ref="W49:Y49" si="42">SUM(W43:W48)</f>
        <v>3634.4000000000005</v>
      </c>
      <c r="X49" s="55">
        <f t="shared" si="42"/>
        <v>3620.2999999999988</v>
      </c>
      <c r="Y49" s="55">
        <f t="shared" si="42"/>
        <v>3731.7000000000012</v>
      </c>
      <c r="Z49" s="55">
        <f t="shared" si="39"/>
        <v>4093.5</v>
      </c>
      <c r="AA49" s="54">
        <v>4093.5</v>
      </c>
      <c r="AB49" s="54">
        <f t="shared" ref="AB49:AD49" si="43">SUM(AB43:AB48)</f>
        <v>3883.400000000001</v>
      </c>
      <c r="AC49" s="55">
        <f t="shared" si="43"/>
        <v>5754.2000000000007</v>
      </c>
      <c r="AD49" s="55">
        <f t="shared" si="43"/>
        <v>5411.2000000000007</v>
      </c>
      <c r="AE49" s="55"/>
      <c r="AF49" s="57"/>
      <c r="AG49" s="55"/>
      <c r="AH49" s="55"/>
      <c r="AI49" s="55"/>
      <c r="AJ49" s="55"/>
      <c r="AK49" s="57"/>
      <c r="AL49" s="55"/>
      <c r="AM49" s="55"/>
      <c r="AN49" s="55"/>
      <c r="AO49" s="55"/>
      <c r="AP49" s="57"/>
      <c r="AQ49" s="55"/>
      <c r="AR49" s="55"/>
      <c r="AS49" s="55"/>
      <c r="AT49" s="55"/>
      <c r="AU49" s="57"/>
      <c r="AV49" s="55"/>
      <c r="AW49" s="55"/>
      <c r="AX49" s="55"/>
      <c r="AY49" s="55"/>
      <c r="AZ49" s="57"/>
      <c r="BA49" s="55"/>
      <c r="BB49" s="55"/>
      <c r="BC49" s="55"/>
      <c r="BD49" s="55"/>
      <c r="BE49" s="57"/>
      <c r="BF49" s="10"/>
      <c r="BG49" s="10"/>
      <c r="BH49" s="10"/>
      <c r="BI49" s="10"/>
      <c r="BJ49" s="10"/>
    </row>
    <row r="50" spans="1:62" ht="12" customHeight="1" x14ac:dyDescent="0.15">
      <c r="A50" s="10"/>
      <c r="B50" s="53" t="s">
        <v>66</v>
      </c>
      <c r="C50" s="53"/>
      <c r="D50" s="53"/>
      <c r="E50" s="49"/>
      <c r="F50" s="49"/>
      <c r="G50" s="49"/>
      <c r="H50" s="55"/>
      <c r="I50" s="55"/>
      <c r="J50" s="55"/>
      <c r="K50" s="55"/>
      <c r="L50" s="57"/>
      <c r="M50" s="54">
        <v>607.1</v>
      </c>
      <c r="N50" s="55">
        <v>575.9</v>
      </c>
      <c r="O50" s="55">
        <v>578</v>
      </c>
      <c r="P50" s="55">
        <f t="shared" si="37"/>
        <v>563.5</v>
      </c>
      <c r="Q50" s="54">
        <v>563.5</v>
      </c>
      <c r="R50" s="54">
        <v>553.29999999999995</v>
      </c>
      <c r="S50" s="55">
        <v>565.6</v>
      </c>
      <c r="T50" s="55">
        <v>554.70000000000005</v>
      </c>
      <c r="U50" s="55">
        <f t="shared" si="38"/>
        <v>435</v>
      </c>
      <c r="V50" s="65">
        <v>435</v>
      </c>
      <c r="W50" s="54">
        <v>430.2</v>
      </c>
      <c r="X50" s="55">
        <v>440</v>
      </c>
      <c r="Y50" s="55">
        <v>457.4</v>
      </c>
      <c r="Z50" s="55">
        <f t="shared" si="39"/>
        <v>474.9</v>
      </c>
      <c r="AA50" s="65">
        <v>474.9</v>
      </c>
      <c r="AB50" s="54">
        <v>455.5</v>
      </c>
      <c r="AC50" s="55">
        <v>1069.2</v>
      </c>
      <c r="AD50" s="55">
        <v>4065.8</v>
      </c>
      <c r="AE50" s="55"/>
      <c r="AF50" s="57"/>
      <c r="AG50" s="55"/>
      <c r="AH50" s="55"/>
      <c r="AI50" s="55"/>
      <c r="AJ50" s="55"/>
      <c r="AK50" s="57"/>
      <c r="AL50" s="55"/>
      <c r="AM50" s="55"/>
      <c r="AN50" s="55"/>
      <c r="AO50" s="55"/>
      <c r="AP50" s="57"/>
      <c r="AQ50" s="55"/>
      <c r="AR50" s="55"/>
      <c r="AS50" s="55"/>
      <c r="AT50" s="55"/>
      <c r="AU50" s="57"/>
      <c r="AV50" s="55"/>
      <c r="AW50" s="55"/>
      <c r="AX50" s="55"/>
      <c r="AY50" s="55"/>
      <c r="AZ50" s="57"/>
      <c r="BA50" s="55"/>
      <c r="BB50" s="55"/>
      <c r="BC50" s="55"/>
      <c r="BD50" s="55"/>
      <c r="BE50" s="57"/>
      <c r="BF50" s="10"/>
      <c r="BG50" s="10"/>
      <c r="BH50" s="10"/>
      <c r="BI50" s="10"/>
      <c r="BJ50" s="10"/>
    </row>
    <row r="51" spans="1:62" ht="9.75" customHeight="1" x14ac:dyDescent="0.15">
      <c r="A51" s="10"/>
      <c r="B51" s="68" t="s">
        <v>67</v>
      </c>
      <c r="C51" s="69"/>
      <c r="D51" s="70"/>
      <c r="E51" s="70"/>
      <c r="F51" s="70"/>
      <c r="G51" s="70"/>
      <c r="H51" s="71"/>
      <c r="I51" s="70"/>
      <c r="J51" s="70"/>
      <c r="K51" s="76"/>
      <c r="L51" s="77">
        <f>SUM(L44:L48)</f>
        <v>0</v>
      </c>
      <c r="M51" s="72">
        <f t="shared" ref="M51:P51" si="44">SUM(M49:M50)</f>
        <v>6941.2999999999993</v>
      </c>
      <c r="N51" s="73">
        <f t="shared" si="44"/>
        <v>6126.5999999999985</v>
      </c>
      <c r="O51" s="73">
        <f t="shared" si="44"/>
        <v>5928.7000000000007</v>
      </c>
      <c r="P51" s="73">
        <f t="shared" si="44"/>
        <v>5899.6</v>
      </c>
      <c r="Q51" s="75">
        <v>5900</v>
      </c>
      <c r="R51" s="72">
        <f>SUM(R49:R50)</f>
        <v>6489.3</v>
      </c>
      <c r="S51" s="73">
        <f t="shared" ref="S51:T51" si="45">SUM(S42,S49:S50)</f>
        <v>6633.3</v>
      </c>
      <c r="T51" s="73">
        <f t="shared" si="45"/>
        <v>6369.8999999999987</v>
      </c>
      <c r="U51" s="73">
        <f>SUM(U49:U50)</f>
        <v>5490.4</v>
      </c>
      <c r="V51" s="75">
        <v>5490.4</v>
      </c>
      <c r="W51" s="72">
        <f t="shared" ref="W51:Z51" si="46">SUM(W42,W49:W50)</f>
        <v>4606</v>
      </c>
      <c r="X51" s="73">
        <f t="shared" si="46"/>
        <v>4602.5999999999985</v>
      </c>
      <c r="Y51" s="73">
        <f t="shared" si="46"/>
        <v>4744.0000000000009</v>
      </c>
      <c r="Z51" s="73">
        <f t="shared" si="46"/>
        <v>4780.5</v>
      </c>
      <c r="AA51" s="75">
        <v>4568.3999999999996</v>
      </c>
      <c r="AB51" s="72">
        <f t="shared" ref="AB51:AD51" si="47">SUM(AB42,AB49:AB50)</f>
        <v>4551.8000000000011</v>
      </c>
      <c r="AC51" s="73">
        <f t="shared" si="47"/>
        <v>7032.8</v>
      </c>
      <c r="AD51" s="73">
        <f t="shared" si="47"/>
        <v>9688.4000000000015</v>
      </c>
      <c r="AE51" s="76">
        <f t="shared" ref="AE51:BE51" si="48">SUM(AE44:AE48)</f>
        <v>0</v>
      </c>
      <c r="AF51" s="77">
        <f t="shared" si="48"/>
        <v>0</v>
      </c>
      <c r="AG51" s="77">
        <f t="shared" si="48"/>
        <v>0</v>
      </c>
      <c r="AH51" s="77">
        <f t="shared" si="48"/>
        <v>0</v>
      </c>
      <c r="AI51" s="77">
        <f t="shared" si="48"/>
        <v>0</v>
      </c>
      <c r="AJ51" s="77">
        <f t="shared" si="48"/>
        <v>0</v>
      </c>
      <c r="AK51" s="77">
        <f t="shared" si="48"/>
        <v>0</v>
      </c>
      <c r="AL51" s="77">
        <f t="shared" si="48"/>
        <v>0</v>
      </c>
      <c r="AM51" s="77">
        <f t="shared" si="48"/>
        <v>0</v>
      </c>
      <c r="AN51" s="77">
        <f t="shared" si="48"/>
        <v>0</v>
      </c>
      <c r="AO51" s="77">
        <f t="shared" si="48"/>
        <v>0</v>
      </c>
      <c r="AP51" s="77">
        <f t="shared" si="48"/>
        <v>0</v>
      </c>
      <c r="AQ51" s="77">
        <f t="shared" si="48"/>
        <v>0</v>
      </c>
      <c r="AR51" s="77">
        <f t="shared" si="48"/>
        <v>0</v>
      </c>
      <c r="AS51" s="77">
        <f t="shared" si="48"/>
        <v>0</v>
      </c>
      <c r="AT51" s="77">
        <f t="shared" si="48"/>
        <v>0</v>
      </c>
      <c r="AU51" s="77">
        <f t="shared" si="48"/>
        <v>0</v>
      </c>
      <c r="AV51" s="77">
        <f t="shared" si="48"/>
        <v>0</v>
      </c>
      <c r="AW51" s="77">
        <f t="shared" si="48"/>
        <v>0</v>
      </c>
      <c r="AX51" s="77">
        <f t="shared" si="48"/>
        <v>0</v>
      </c>
      <c r="AY51" s="77">
        <f t="shared" si="48"/>
        <v>0</v>
      </c>
      <c r="AZ51" s="77">
        <f t="shared" si="48"/>
        <v>0</v>
      </c>
      <c r="BA51" s="77">
        <f t="shared" si="48"/>
        <v>0</v>
      </c>
      <c r="BB51" s="77">
        <f t="shared" si="48"/>
        <v>0</v>
      </c>
      <c r="BC51" s="77">
        <f t="shared" si="48"/>
        <v>0</v>
      </c>
      <c r="BD51" s="77">
        <f t="shared" si="48"/>
        <v>0</v>
      </c>
      <c r="BE51" s="77">
        <f t="shared" si="48"/>
        <v>0</v>
      </c>
      <c r="BF51" s="10"/>
      <c r="BG51" s="10"/>
      <c r="BH51" s="10"/>
      <c r="BI51" s="10"/>
      <c r="BJ51" s="10"/>
    </row>
    <row r="52" spans="1:62" ht="4.5" customHeight="1" x14ac:dyDescent="0.15">
      <c r="A52" s="10"/>
      <c r="B52" s="10"/>
      <c r="C52" s="10"/>
      <c r="D52" s="49"/>
      <c r="E52" s="49"/>
      <c r="F52" s="49"/>
      <c r="G52" s="49"/>
      <c r="H52" s="49"/>
      <c r="I52" s="49"/>
      <c r="J52" s="49"/>
      <c r="K52" s="49"/>
      <c r="L52" s="51"/>
      <c r="M52" s="49"/>
      <c r="N52" s="49"/>
      <c r="O52" s="49"/>
      <c r="P52" s="49"/>
      <c r="Q52" s="51"/>
      <c r="R52" s="49"/>
      <c r="S52" s="49"/>
      <c r="T52" s="49"/>
      <c r="U52" s="49"/>
      <c r="V52" s="51"/>
      <c r="W52" s="49"/>
      <c r="X52" s="49"/>
      <c r="Y52" s="49"/>
      <c r="Z52" s="49"/>
      <c r="AA52" s="51"/>
      <c r="AB52" s="49"/>
      <c r="AC52" s="49"/>
      <c r="AD52" s="49"/>
      <c r="AE52" s="49"/>
      <c r="AF52" s="51"/>
      <c r="AG52" s="49"/>
      <c r="AH52" s="49"/>
      <c r="AI52" s="49"/>
      <c r="AJ52" s="49"/>
      <c r="AK52" s="51"/>
      <c r="AL52" s="49"/>
      <c r="AM52" s="49"/>
      <c r="AN52" s="49"/>
      <c r="AO52" s="49"/>
      <c r="AP52" s="51"/>
      <c r="AQ52" s="49"/>
      <c r="AR52" s="49"/>
      <c r="AS52" s="49"/>
      <c r="AT52" s="49"/>
      <c r="AU52" s="51"/>
      <c r="AV52" s="49"/>
      <c r="AW52" s="49"/>
      <c r="AX52" s="49"/>
      <c r="AY52" s="49"/>
      <c r="AZ52" s="51"/>
      <c r="BA52" s="49"/>
      <c r="BB52" s="49"/>
      <c r="BC52" s="49"/>
      <c r="BD52" s="49"/>
      <c r="BE52" s="51"/>
      <c r="BF52" s="10"/>
      <c r="BG52" s="10"/>
      <c r="BH52" s="10"/>
      <c r="BI52" s="10"/>
      <c r="BJ52" s="10"/>
    </row>
    <row r="53" spans="1:62" ht="9.75" customHeight="1" x14ac:dyDescent="0.15">
      <c r="A53" s="10"/>
      <c r="B53" s="68" t="s">
        <v>68</v>
      </c>
      <c r="C53" s="69"/>
      <c r="D53" s="70"/>
      <c r="E53" s="70"/>
      <c r="F53" s="70"/>
      <c r="G53" s="70"/>
      <c r="H53" s="70"/>
      <c r="I53" s="70"/>
      <c r="J53" s="70"/>
      <c r="K53" s="70"/>
      <c r="L53" s="77">
        <f>L51+L41</f>
        <v>0</v>
      </c>
      <c r="M53" s="70">
        <f t="shared" ref="M53:P53" si="49">M41+M51+M42</f>
        <v>34372.699999999997</v>
      </c>
      <c r="N53" s="70">
        <f t="shared" si="49"/>
        <v>33205.700000000004</v>
      </c>
      <c r="O53" s="70">
        <f t="shared" si="49"/>
        <v>33077.200000000004</v>
      </c>
      <c r="P53" s="90">
        <f t="shared" si="49"/>
        <v>33010.800000000003</v>
      </c>
      <c r="Q53" s="77">
        <v>33010</v>
      </c>
      <c r="R53" s="70">
        <f>R41+R51</f>
        <v>38926.800000000003</v>
      </c>
      <c r="S53" s="70">
        <f t="shared" ref="S53:T53" si="50">+S41+S51</f>
        <v>39072.700000000004</v>
      </c>
      <c r="T53" s="70">
        <f t="shared" si="50"/>
        <v>39307.200000000004</v>
      </c>
      <c r="U53" s="90">
        <f>U41+U51+U42</f>
        <v>42801.600000000006</v>
      </c>
      <c r="V53" s="77">
        <v>42801.599999999999</v>
      </c>
      <c r="W53" s="70">
        <f t="shared" ref="W53:Z53" si="51">+W41+W51</f>
        <v>40789.100000000006</v>
      </c>
      <c r="X53" s="70">
        <f t="shared" si="51"/>
        <v>41515.9</v>
      </c>
      <c r="Y53" s="70">
        <f t="shared" si="51"/>
        <v>41462.199999999997</v>
      </c>
      <c r="Z53" s="70">
        <f t="shared" si="51"/>
        <v>47233.5</v>
      </c>
      <c r="AA53" s="77">
        <v>47233.5</v>
      </c>
      <c r="AB53" s="70">
        <f t="shared" ref="AB53:BE53" si="52">+AB41+AB51</f>
        <v>46942.499999999993</v>
      </c>
      <c r="AC53" s="70">
        <f t="shared" si="52"/>
        <v>58982.9</v>
      </c>
      <c r="AD53" s="70">
        <f t="shared" si="52"/>
        <v>60529.999999999993</v>
      </c>
      <c r="AE53" s="70">
        <f t="shared" si="52"/>
        <v>3657.526137368548</v>
      </c>
      <c r="AF53" s="77">
        <f t="shared" si="52"/>
        <v>0</v>
      </c>
      <c r="AG53" s="70">
        <f t="shared" si="52"/>
        <v>0</v>
      </c>
      <c r="AH53" s="70">
        <f t="shared" si="52"/>
        <v>0</v>
      </c>
      <c r="AI53" s="70">
        <f t="shared" si="52"/>
        <v>0</v>
      </c>
      <c r="AJ53" s="70">
        <f t="shared" si="52"/>
        <v>0</v>
      </c>
      <c r="AK53" s="77">
        <f t="shared" si="52"/>
        <v>0</v>
      </c>
      <c r="AL53" s="70">
        <f t="shared" si="52"/>
        <v>0</v>
      </c>
      <c r="AM53" s="70">
        <f t="shared" si="52"/>
        <v>0</v>
      </c>
      <c r="AN53" s="70">
        <f t="shared" si="52"/>
        <v>0</v>
      </c>
      <c r="AO53" s="70">
        <f t="shared" si="52"/>
        <v>0</v>
      </c>
      <c r="AP53" s="77">
        <f t="shared" si="52"/>
        <v>0</v>
      </c>
      <c r="AQ53" s="70">
        <f t="shared" si="52"/>
        <v>0</v>
      </c>
      <c r="AR53" s="70">
        <f t="shared" si="52"/>
        <v>0</v>
      </c>
      <c r="AS53" s="70">
        <f t="shared" si="52"/>
        <v>0</v>
      </c>
      <c r="AT53" s="70">
        <f t="shared" si="52"/>
        <v>0</v>
      </c>
      <c r="AU53" s="77">
        <f t="shared" si="52"/>
        <v>0</v>
      </c>
      <c r="AV53" s="70">
        <f t="shared" si="52"/>
        <v>0</v>
      </c>
      <c r="AW53" s="70">
        <f t="shared" si="52"/>
        <v>0</v>
      </c>
      <c r="AX53" s="70">
        <f t="shared" si="52"/>
        <v>0</v>
      </c>
      <c r="AY53" s="70">
        <f t="shared" si="52"/>
        <v>0</v>
      </c>
      <c r="AZ53" s="91">
        <f t="shared" si="52"/>
        <v>0</v>
      </c>
      <c r="BA53" s="70">
        <f t="shared" si="52"/>
        <v>0</v>
      </c>
      <c r="BB53" s="70">
        <f t="shared" si="52"/>
        <v>0</v>
      </c>
      <c r="BC53" s="70">
        <f t="shared" si="52"/>
        <v>0</v>
      </c>
      <c r="BD53" s="70">
        <f t="shared" si="52"/>
        <v>0</v>
      </c>
      <c r="BE53" s="91">
        <f t="shared" si="52"/>
        <v>0</v>
      </c>
      <c r="BF53" s="10"/>
      <c r="BG53" s="10"/>
      <c r="BH53" s="10"/>
      <c r="BI53" s="10"/>
      <c r="BJ53" s="10"/>
    </row>
    <row r="54" spans="1:62" ht="9.75" customHeight="1" x14ac:dyDescent="0.15">
      <c r="A54" s="10"/>
      <c r="B54" s="92" t="s">
        <v>69</v>
      </c>
      <c r="C54" s="10"/>
      <c r="D54" s="93" t="str">
        <f t="shared" ref="D54:BE54" si="53">+IF(D23=D53,"Check","Doesn't Balance")</f>
        <v>Check</v>
      </c>
      <c r="E54" s="93" t="str">
        <f t="shared" si="53"/>
        <v>Check</v>
      </c>
      <c r="F54" s="93" t="str">
        <f t="shared" si="53"/>
        <v>Check</v>
      </c>
      <c r="G54" s="93" t="str">
        <f t="shared" si="53"/>
        <v>Check</v>
      </c>
      <c r="H54" s="93" t="str">
        <f t="shared" si="53"/>
        <v>Check</v>
      </c>
      <c r="I54" s="93" t="str">
        <f t="shared" si="53"/>
        <v>Check</v>
      </c>
      <c r="J54" s="93" t="str">
        <f t="shared" si="53"/>
        <v>Check</v>
      </c>
      <c r="K54" s="93" t="str">
        <f t="shared" si="53"/>
        <v>Check</v>
      </c>
      <c r="L54" s="93" t="str">
        <f t="shared" si="53"/>
        <v>Check</v>
      </c>
      <c r="M54" s="93" t="str">
        <f t="shared" si="53"/>
        <v>Check</v>
      </c>
      <c r="N54" s="93" t="str">
        <f t="shared" si="53"/>
        <v>Check</v>
      </c>
      <c r="O54" s="93" t="str">
        <f t="shared" si="53"/>
        <v>Check</v>
      </c>
      <c r="P54" s="93" t="str">
        <f t="shared" si="53"/>
        <v>Check</v>
      </c>
      <c r="Q54" s="93" t="str">
        <f t="shared" si="53"/>
        <v>Check</v>
      </c>
      <c r="R54" s="93" t="str">
        <f t="shared" si="53"/>
        <v>Check</v>
      </c>
      <c r="S54" s="93" t="str">
        <f t="shared" si="53"/>
        <v>Check</v>
      </c>
      <c r="T54" s="93" t="str">
        <f t="shared" si="53"/>
        <v>Check</v>
      </c>
      <c r="U54" s="93" t="str">
        <f t="shared" si="53"/>
        <v>Check</v>
      </c>
      <c r="V54" s="93" t="str">
        <f t="shared" si="53"/>
        <v>Check</v>
      </c>
      <c r="W54" s="93" t="str">
        <f t="shared" si="53"/>
        <v>Check</v>
      </c>
      <c r="X54" s="93" t="str">
        <f t="shared" si="53"/>
        <v>Check</v>
      </c>
      <c r="Y54" s="93" t="str">
        <f t="shared" si="53"/>
        <v>Check</v>
      </c>
      <c r="Z54" s="94" t="str">
        <f t="shared" si="53"/>
        <v>Check</v>
      </c>
      <c r="AA54" s="93" t="str">
        <f t="shared" si="53"/>
        <v>Check</v>
      </c>
      <c r="AB54" s="93" t="str">
        <f t="shared" si="53"/>
        <v>Check</v>
      </c>
      <c r="AC54" s="93" t="str">
        <f t="shared" si="53"/>
        <v>Check</v>
      </c>
      <c r="AD54" s="93" t="str">
        <f t="shared" si="53"/>
        <v>Check</v>
      </c>
      <c r="AE54" s="93" t="str">
        <f t="shared" si="53"/>
        <v>Doesn't Balance</v>
      </c>
      <c r="AF54" s="93" t="str">
        <f t="shared" si="53"/>
        <v>Check</v>
      </c>
      <c r="AG54" s="93" t="str">
        <f t="shared" si="53"/>
        <v>Check</v>
      </c>
      <c r="AH54" s="93" t="str">
        <f t="shared" si="53"/>
        <v>Check</v>
      </c>
      <c r="AI54" s="93" t="str">
        <f t="shared" si="53"/>
        <v>Check</v>
      </c>
      <c r="AJ54" s="93" t="str">
        <f t="shared" si="53"/>
        <v>Check</v>
      </c>
      <c r="AK54" s="93" t="str">
        <f t="shared" si="53"/>
        <v>Check</v>
      </c>
      <c r="AL54" s="93" t="str">
        <f t="shared" si="53"/>
        <v>Check</v>
      </c>
      <c r="AM54" s="93" t="str">
        <f t="shared" si="53"/>
        <v>Check</v>
      </c>
      <c r="AN54" s="93" t="str">
        <f t="shared" si="53"/>
        <v>Check</v>
      </c>
      <c r="AO54" s="93" t="str">
        <f t="shared" si="53"/>
        <v>Check</v>
      </c>
      <c r="AP54" s="93" t="str">
        <f t="shared" si="53"/>
        <v>Check</v>
      </c>
      <c r="AQ54" s="93" t="str">
        <f t="shared" si="53"/>
        <v>Check</v>
      </c>
      <c r="AR54" s="93" t="str">
        <f t="shared" si="53"/>
        <v>Check</v>
      </c>
      <c r="AS54" s="93" t="str">
        <f t="shared" si="53"/>
        <v>Check</v>
      </c>
      <c r="AT54" s="93" t="str">
        <f t="shared" si="53"/>
        <v>Check</v>
      </c>
      <c r="AU54" s="93" t="str">
        <f t="shared" si="53"/>
        <v>Check</v>
      </c>
      <c r="AV54" s="93" t="str">
        <f t="shared" si="53"/>
        <v>Check</v>
      </c>
      <c r="AW54" s="93" t="str">
        <f t="shared" si="53"/>
        <v>Check</v>
      </c>
      <c r="AX54" s="93" t="str">
        <f t="shared" si="53"/>
        <v>Check</v>
      </c>
      <c r="AY54" s="93" t="str">
        <f t="shared" si="53"/>
        <v>Check</v>
      </c>
      <c r="AZ54" s="95" t="str">
        <f t="shared" si="53"/>
        <v>Check</v>
      </c>
      <c r="BA54" s="93" t="str">
        <f t="shared" si="53"/>
        <v>Check</v>
      </c>
      <c r="BB54" s="93" t="str">
        <f t="shared" si="53"/>
        <v>Check</v>
      </c>
      <c r="BC54" s="93" t="str">
        <f t="shared" si="53"/>
        <v>Check</v>
      </c>
      <c r="BD54" s="93" t="str">
        <f t="shared" si="53"/>
        <v>Check</v>
      </c>
      <c r="BE54" s="95" t="str">
        <f t="shared" si="53"/>
        <v>Check</v>
      </c>
      <c r="BF54" s="10"/>
      <c r="BG54" s="10"/>
      <c r="BH54" s="10"/>
      <c r="BI54" s="10"/>
      <c r="BJ54" s="10"/>
    </row>
    <row r="55" spans="1:62" ht="9.75" customHeight="1" x14ac:dyDescent="0.1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</row>
    <row r="56" spans="1:62" ht="9.75" customHeight="1" x14ac:dyDescent="0.1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</row>
    <row r="57" spans="1:62" ht="9.75" customHeight="1" x14ac:dyDescent="0.1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</row>
    <row r="58" spans="1:62" ht="9.75" customHeight="1" x14ac:dyDescent="0.1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</row>
    <row r="59" spans="1:62" ht="9.75" customHeight="1" x14ac:dyDescent="0.1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</row>
    <row r="60" spans="1:62" ht="9.75" customHeight="1" x14ac:dyDescent="0.15">
      <c r="A60" s="10"/>
      <c r="B60" s="10" t="s">
        <v>70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55">
        <f t="shared" ref="Q60:AA60" si="54">Q13</f>
        <v>459.4</v>
      </c>
      <c r="R60" s="55">
        <f t="shared" si="54"/>
        <v>473</v>
      </c>
      <c r="S60" s="55">
        <f t="shared" si="54"/>
        <v>459.5</v>
      </c>
      <c r="T60" s="55">
        <f t="shared" si="54"/>
        <v>441.7</v>
      </c>
      <c r="U60" s="55">
        <f t="shared" si="54"/>
        <v>462.2</v>
      </c>
      <c r="V60" s="55">
        <f t="shared" si="54"/>
        <v>462.2</v>
      </c>
      <c r="W60" s="55">
        <f t="shared" si="54"/>
        <v>623.9</v>
      </c>
      <c r="X60" s="55">
        <f t="shared" si="54"/>
        <v>585.20000000000005</v>
      </c>
      <c r="Y60" s="55">
        <f t="shared" si="54"/>
        <v>573.6</v>
      </c>
      <c r="Z60" s="55">
        <f t="shared" si="54"/>
        <v>511.6</v>
      </c>
      <c r="AA60" s="55">
        <f t="shared" si="54"/>
        <v>511.6</v>
      </c>
      <c r="AB60" s="10"/>
      <c r="AC60" s="10"/>
      <c r="AD60" s="10"/>
      <c r="AE60" s="10"/>
      <c r="AF60" s="81">
        <f t="shared" ref="AF60:BE60" si="55">(AF62/365)*AF61</f>
        <v>584.08734410958903</v>
      </c>
      <c r="AG60" s="81">
        <f t="shared" si="55"/>
        <v>154.22607780821917</v>
      </c>
      <c r="AH60" s="81">
        <f t="shared" si="55"/>
        <v>164.11318547945206</v>
      </c>
      <c r="AI60" s="81">
        <f t="shared" si="55"/>
        <v>175.42699260273977</v>
      </c>
      <c r="AJ60" s="81">
        <f t="shared" si="55"/>
        <v>166.51796250246579</v>
      </c>
      <c r="AK60" s="81">
        <f t="shared" si="55"/>
        <v>660.28421839287671</v>
      </c>
      <c r="AL60" s="81">
        <f t="shared" si="55"/>
        <v>176.60887588328768</v>
      </c>
      <c r="AM60" s="81">
        <f t="shared" si="55"/>
        <v>188.46477404575344</v>
      </c>
      <c r="AN60" s="81">
        <f t="shared" si="55"/>
        <v>202.61480657178083</v>
      </c>
      <c r="AO60" s="81">
        <f t="shared" si="55"/>
        <v>189.82522826397866</v>
      </c>
      <c r="AP60" s="81">
        <f t="shared" si="55"/>
        <v>757.51368476480059</v>
      </c>
      <c r="AQ60" s="81">
        <f t="shared" si="55"/>
        <v>176.60887588328768</v>
      </c>
      <c r="AR60" s="81">
        <f t="shared" si="55"/>
        <v>188.46477404575344</v>
      </c>
      <c r="AS60" s="81">
        <f t="shared" si="55"/>
        <v>202.61480657178083</v>
      </c>
      <c r="AT60" s="81">
        <f t="shared" si="55"/>
        <v>189.82522826397866</v>
      </c>
      <c r="AU60" s="81">
        <f t="shared" si="55"/>
        <v>815.4864160140562</v>
      </c>
      <c r="AV60" s="81">
        <f t="shared" si="55"/>
        <v>176.60887588328768</v>
      </c>
      <c r="AW60" s="81">
        <f t="shared" si="55"/>
        <v>188.46477404575344</v>
      </c>
      <c r="AX60" s="81">
        <f t="shared" si="55"/>
        <v>202.61480657178083</v>
      </c>
      <c r="AY60" s="81">
        <f t="shared" si="55"/>
        <v>189.82522826397866</v>
      </c>
      <c r="AZ60" s="81">
        <f t="shared" si="55"/>
        <v>859.91304082744819</v>
      </c>
      <c r="BA60" s="81">
        <f t="shared" si="55"/>
        <v>176.60887588328768</v>
      </c>
      <c r="BB60" s="81">
        <f t="shared" si="55"/>
        <v>188.46477404575344</v>
      </c>
      <c r="BC60" s="81">
        <f t="shared" si="55"/>
        <v>202.61480657178083</v>
      </c>
      <c r="BD60" s="81">
        <f t="shared" si="55"/>
        <v>189.82522826397866</v>
      </c>
      <c r="BE60" s="81">
        <f t="shared" si="55"/>
        <v>888.88065427013419</v>
      </c>
      <c r="BF60" s="10"/>
      <c r="BG60" s="10"/>
      <c r="BH60" s="10"/>
      <c r="BI60" s="10"/>
      <c r="BJ60" s="10"/>
    </row>
    <row r="61" spans="1:62" ht="9.75" customHeight="1" x14ac:dyDescent="0.15">
      <c r="A61" s="10"/>
      <c r="B61" s="10" t="s">
        <v>71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55">
        <f>'Income Statement'!Q10</f>
        <v>7440.0999999999995</v>
      </c>
      <c r="R61" s="55">
        <f>'Income Statement'!V10</f>
        <v>7580.2999999999993</v>
      </c>
      <c r="S61" s="55">
        <f>'Income Statement'!AA10</f>
        <v>8041.5</v>
      </c>
      <c r="T61" s="49">
        <f>'Income Statement'!AB10</f>
        <v>2159.5</v>
      </c>
      <c r="U61" s="49">
        <f>'Income Statement'!AC10</f>
        <v>2298.9</v>
      </c>
      <c r="V61" s="55">
        <f>'Income Statement'!V10</f>
        <v>7580.2999999999993</v>
      </c>
      <c r="W61" s="49">
        <f>'Income Statement'!AE10</f>
        <v>2357.8122000000003</v>
      </c>
      <c r="X61" s="49">
        <f>'Income Statement'!AF10</f>
        <v>9269.2121999999999</v>
      </c>
      <c r="Y61" s="10" t="e">
        <f>'Income Statement'!#REF!</f>
        <v>#REF!</v>
      </c>
      <c r="Z61" s="10" t="e">
        <f>'Income Statement'!#REF!</f>
        <v>#REF!</v>
      </c>
      <c r="AA61" s="55">
        <f>'Income Statement'!AA10</f>
        <v>8041.5</v>
      </c>
      <c r="AB61" s="10"/>
      <c r="AC61" s="10"/>
      <c r="AD61" s="10"/>
      <c r="AE61" s="10"/>
      <c r="AF61" s="96">
        <f>'Revenue Build'!AF31</f>
        <v>9269.2121999999999</v>
      </c>
      <c r="AG61" s="96">
        <f>'Revenue Build'!AG31</f>
        <v>2447.5007999999998</v>
      </c>
      <c r="AH61" s="96">
        <f>'Revenue Build'!AH31</f>
        <v>2604.4049</v>
      </c>
      <c r="AI61" s="96">
        <f>'Revenue Build'!AI31</f>
        <v>2783.9501000000005</v>
      </c>
      <c r="AJ61" s="96">
        <f>'Revenue Build'!AJ31</f>
        <v>2642.5676658000002</v>
      </c>
      <c r="AK61" s="96">
        <f>'Revenue Build'!AK31</f>
        <v>10478.423465799999</v>
      </c>
      <c r="AL61" s="96">
        <f>'Revenue Build'!AL31</f>
        <v>2802.7060738</v>
      </c>
      <c r="AM61" s="96">
        <f>'Revenue Build'!AM31</f>
        <v>2990.8540229</v>
      </c>
      <c r="AN61" s="96">
        <f>'Revenue Build'!AN31</f>
        <v>3215.4088868999997</v>
      </c>
      <c r="AO61" s="96">
        <f>'Revenue Build'!AO31</f>
        <v>3012.4438398414004</v>
      </c>
      <c r="AP61" s="96">
        <f>'Revenue Build'!AP31</f>
        <v>12021.4128234414</v>
      </c>
      <c r="AQ61" s="96">
        <f>'Revenue Build'!AQ31</f>
        <v>2802.7060738</v>
      </c>
      <c r="AR61" s="96">
        <f>'Revenue Build'!AR31</f>
        <v>2990.8540229</v>
      </c>
      <c r="AS61" s="96">
        <f>'Revenue Build'!AS31</f>
        <v>3215.4088868999997</v>
      </c>
      <c r="AT61" s="96">
        <f>'Revenue Build'!AT31</f>
        <v>3012.4438398414004</v>
      </c>
      <c r="AU61" s="96">
        <f>'Revenue Build'!AU31</f>
        <v>12941.41486283176</v>
      </c>
      <c r="AV61" s="96">
        <f>'Revenue Build'!AV31</f>
        <v>2802.7060738</v>
      </c>
      <c r="AW61" s="96">
        <f>'Revenue Build'!AW31</f>
        <v>2990.8540229</v>
      </c>
      <c r="AX61" s="96">
        <f>'Revenue Build'!AX31</f>
        <v>3215.4088868999997</v>
      </c>
      <c r="AY61" s="96">
        <f>'Revenue Build'!AY31</f>
        <v>3012.4438398414004</v>
      </c>
      <c r="AZ61" s="96">
        <f>'Revenue Build'!AZ31</f>
        <v>13646.446082696459</v>
      </c>
      <c r="BA61" s="96">
        <f>'Revenue Build'!BA31</f>
        <v>2802.7060738</v>
      </c>
      <c r="BB61" s="96">
        <f>'Revenue Build'!BB31</f>
        <v>2990.8540229</v>
      </c>
      <c r="BC61" s="96">
        <f>'Revenue Build'!BC31</f>
        <v>3215.4088868999997</v>
      </c>
      <c r="BD61" s="96">
        <f>'Revenue Build'!BD31</f>
        <v>3012.4438398414004</v>
      </c>
      <c r="BE61" s="96">
        <f>'Revenue Build'!BE31</f>
        <v>14106.149513417346</v>
      </c>
      <c r="BF61" s="10"/>
      <c r="BG61" s="10"/>
      <c r="BH61" s="10"/>
      <c r="BI61" s="10"/>
      <c r="BJ61" s="10"/>
    </row>
    <row r="62" spans="1:62" ht="9.75" customHeight="1" x14ac:dyDescent="0.15">
      <c r="A62" s="10"/>
      <c r="B62" s="10" t="s">
        <v>72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97">
        <f t="shared" ref="Q62:AA62" si="56">(Q60/Q61)*365</f>
        <v>22.537465894275613</v>
      </c>
      <c r="R62" s="97">
        <f t="shared" si="56"/>
        <v>22.775483819901591</v>
      </c>
      <c r="S62" s="97">
        <f t="shared" si="56"/>
        <v>20.856494435117824</v>
      </c>
      <c r="T62" s="97">
        <f t="shared" si="56"/>
        <v>74.656401944894654</v>
      </c>
      <c r="U62" s="97">
        <f t="shared" si="56"/>
        <v>73.384227239114352</v>
      </c>
      <c r="V62" s="97">
        <f t="shared" si="56"/>
        <v>22.255451631201932</v>
      </c>
      <c r="W62" s="97">
        <f t="shared" si="56"/>
        <v>96.582543766632455</v>
      </c>
      <c r="X62" s="97">
        <f t="shared" si="56"/>
        <v>23.043813798976363</v>
      </c>
      <c r="Y62" s="97" t="e">
        <f t="shared" si="56"/>
        <v>#REF!</v>
      </c>
      <c r="Z62" s="97" t="e">
        <f t="shared" si="56"/>
        <v>#REF!</v>
      </c>
      <c r="AA62" s="97">
        <f t="shared" si="56"/>
        <v>23.221289560405399</v>
      </c>
      <c r="AB62" s="10"/>
      <c r="AC62" s="10"/>
      <c r="AD62" s="10"/>
      <c r="AE62" s="10"/>
      <c r="AF62" s="98">
        <v>23</v>
      </c>
      <c r="AG62" s="98">
        <v>23</v>
      </c>
      <c r="AH62" s="98">
        <v>23</v>
      </c>
      <c r="AI62" s="98">
        <v>23</v>
      </c>
      <c r="AJ62" s="98">
        <v>23</v>
      </c>
      <c r="AK62" s="98">
        <v>23</v>
      </c>
      <c r="AL62" s="98">
        <v>23</v>
      </c>
      <c r="AM62" s="98">
        <v>23</v>
      </c>
      <c r="AN62" s="98">
        <v>23</v>
      </c>
      <c r="AO62" s="98">
        <v>23</v>
      </c>
      <c r="AP62" s="98">
        <v>23</v>
      </c>
      <c r="AQ62" s="98">
        <v>23</v>
      </c>
      <c r="AR62" s="98">
        <v>23</v>
      </c>
      <c r="AS62" s="98">
        <v>23</v>
      </c>
      <c r="AT62" s="98">
        <v>23</v>
      </c>
      <c r="AU62" s="98">
        <v>23</v>
      </c>
      <c r="AV62" s="98">
        <v>23</v>
      </c>
      <c r="AW62" s="98">
        <v>23</v>
      </c>
      <c r="AX62" s="98">
        <v>23</v>
      </c>
      <c r="AY62" s="98">
        <v>23</v>
      </c>
      <c r="AZ62" s="98">
        <v>23</v>
      </c>
      <c r="BA62" s="98">
        <v>23</v>
      </c>
      <c r="BB62" s="98">
        <v>23</v>
      </c>
      <c r="BC62" s="98">
        <v>23</v>
      </c>
      <c r="BD62" s="98">
        <v>23</v>
      </c>
      <c r="BE62" s="98">
        <v>23</v>
      </c>
      <c r="BF62" s="10"/>
      <c r="BG62" s="10"/>
      <c r="BH62" s="10"/>
      <c r="BI62" s="10"/>
      <c r="BJ62" s="10"/>
    </row>
    <row r="63" spans="1:62" ht="9.75" customHeight="1" x14ac:dyDescent="0.1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</row>
    <row r="64" spans="1:62" ht="9.75" customHeight="1" x14ac:dyDescent="0.15">
      <c r="A64" s="10"/>
      <c r="B64" s="10" t="s">
        <v>73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 t="s">
        <v>74</v>
      </c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</row>
    <row r="65" spans="1:62" ht="9.75" customHeight="1" x14ac:dyDescent="0.15">
      <c r="A65" s="10"/>
      <c r="B65" s="10" t="s">
        <v>75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</row>
    <row r="66" spans="1:62" ht="9.75" customHeight="1" x14ac:dyDescent="0.15">
      <c r="A66" s="10"/>
      <c r="B66" s="10" t="s">
        <v>76</v>
      </c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</row>
    <row r="67" spans="1:62" ht="9.75" customHeight="1" x14ac:dyDescent="0.1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</row>
    <row r="68" spans="1:62" ht="9.75" customHeight="1" x14ac:dyDescent="0.15">
      <c r="A68" s="10"/>
      <c r="B68" s="10" t="s">
        <v>77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 t="s">
        <v>74</v>
      </c>
      <c r="R68" s="49">
        <f t="shared" ref="R68:AE68" si="57">R14</f>
        <v>471.2</v>
      </c>
      <c r="S68" s="49">
        <f t="shared" si="57"/>
        <v>486.9</v>
      </c>
      <c r="T68" s="49">
        <f t="shared" si="57"/>
        <v>472</v>
      </c>
      <c r="U68" s="49">
        <f t="shared" si="57"/>
        <v>513.6</v>
      </c>
      <c r="V68" s="49">
        <f t="shared" si="57"/>
        <v>513.6</v>
      </c>
      <c r="W68" s="49">
        <f t="shared" si="57"/>
        <v>480.7</v>
      </c>
      <c r="X68" s="49">
        <f t="shared" si="57"/>
        <v>535.29999999999995</v>
      </c>
      <c r="Y68" s="49">
        <f t="shared" si="57"/>
        <v>548.70000000000005</v>
      </c>
      <c r="Z68" s="49">
        <f t="shared" si="57"/>
        <v>532.6</v>
      </c>
      <c r="AA68" s="49">
        <f t="shared" si="57"/>
        <v>532.6</v>
      </c>
      <c r="AB68" s="49">
        <f t="shared" si="57"/>
        <v>490.6</v>
      </c>
      <c r="AC68" s="49">
        <f t="shared" si="57"/>
        <v>615.6</v>
      </c>
      <c r="AD68" s="49">
        <f t="shared" si="57"/>
        <v>592</v>
      </c>
      <c r="AE68" s="49">
        <f t="shared" si="57"/>
        <v>580.96492608000005</v>
      </c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</row>
    <row r="69" spans="1:62" ht="9.75" customHeight="1" x14ac:dyDescent="0.15">
      <c r="A69" s="10"/>
      <c r="B69" s="93" t="s">
        <v>78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</row>
    <row r="70" spans="1:62" ht="9.75" customHeight="1" x14ac:dyDescent="0.15">
      <c r="A70" s="10"/>
      <c r="B70" s="93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</row>
    <row r="71" spans="1:62" ht="9.75" customHeight="1" x14ac:dyDescent="0.15">
      <c r="A71" s="10"/>
      <c r="B71" s="10" t="s">
        <v>79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 t="s">
        <v>74</v>
      </c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</row>
    <row r="72" spans="1:62" ht="9.75" customHeight="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</row>
    <row r="73" spans="1:62" ht="9.75" customHeight="1" x14ac:dyDescent="0.15">
      <c r="A73" s="10"/>
      <c r="B73" s="10" t="s">
        <v>80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81">
        <f t="shared" ref="Q73:BE73" si="58">Q14</f>
        <v>621.20000000000005</v>
      </c>
      <c r="R73" s="81">
        <f t="shared" si="58"/>
        <v>471.2</v>
      </c>
      <c r="S73" s="81">
        <f t="shared" si="58"/>
        <v>486.9</v>
      </c>
      <c r="T73" s="81">
        <f t="shared" si="58"/>
        <v>472</v>
      </c>
      <c r="U73" s="81">
        <f t="shared" si="58"/>
        <v>513.6</v>
      </c>
      <c r="V73" s="81">
        <f t="shared" si="58"/>
        <v>513.6</v>
      </c>
      <c r="W73" s="81">
        <f t="shared" si="58"/>
        <v>480.7</v>
      </c>
      <c r="X73" s="81">
        <f t="shared" si="58"/>
        <v>535.29999999999995</v>
      </c>
      <c r="Y73" s="81">
        <f t="shared" si="58"/>
        <v>548.70000000000005</v>
      </c>
      <c r="Z73" s="81">
        <f t="shared" si="58"/>
        <v>532.6</v>
      </c>
      <c r="AA73" s="81">
        <f t="shared" si="58"/>
        <v>532.6</v>
      </c>
      <c r="AB73" s="81">
        <f t="shared" si="58"/>
        <v>490.6</v>
      </c>
      <c r="AC73" s="81">
        <f t="shared" si="58"/>
        <v>615.6</v>
      </c>
      <c r="AD73" s="81">
        <f t="shared" si="58"/>
        <v>592</v>
      </c>
      <c r="AE73" s="81">
        <f t="shared" si="58"/>
        <v>580.96492608000005</v>
      </c>
      <c r="AF73" s="81">
        <f t="shared" si="58"/>
        <v>580.96492608000005</v>
      </c>
      <c r="AG73" s="81">
        <f t="shared" si="58"/>
        <v>593.17264445406795</v>
      </c>
      <c r="AH73" s="81">
        <f t="shared" si="58"/>
        <v>671.84315923346628</v>
      </c>
      <c r="AI73" s="81">
        <f t="shared" si="58"/>
        <v>669.54559122454805</v>
      </c>
      <c r="AJ73" s="81">
        <f t="shared" si="58"/>
        <v>665.92705178159997</v>
      </c>
      <c r="AK73" s="81">
        <f t="shared" si="58"/>
        <v>665.92705178159997</v>
      </c>
      <c r="AL73" s="81">
        <f t="shared" si="58"/>
        <v>677.29142423476799</v>
      </c>
      <c r="AM73" s="81">
        <f t="shared" si="58"/>
        <v>768.76604249751426</v>
      </c>
      <c r="AN73" s="81">
        <f t="shared" si="58"/>
        <v>771.13950616499289</v>
      </c>
      <c r="AO73" s="81">
        <f t="shared" si="58"/>
        <v>756.60539481456613</v>
      </c>
      <c r="AP73" s="81">
        <f t="shared" si="58"/>
        <v>756.60539481456613</v>
      </c>
      <c r="AQ73" s="81">
        <f t="shared" si="58"/>
        <v>0</v>
      </c>
      <c r="AR73" s="81">
        <f t="shared" si="58"/>
        <v>0</v>
      </c>
      <c r="AS73" s="81">
        <f t="shared" si="58"/>
        <v>0</v>
      </c>
      <c r="AT73" s="81">
        <f t="shared" si="58"/>
        <v>0</v>
      </c>
      <c r="AU73" s="81">
        <f t="shared" si="58"/>
        <v>880.01621067255985</v>
      </c>
      <c r="AV73" s="81">
        <f t="shared" si="58"/>
        <v>0</v>
      </c>
      <c r="AW73" s="81">
        <f t="shared" si="58"/>
        <v>0</v>
      </c>
      <c r="AX73" s="81">
        <f t="shared" si="58"/>
        <v>0</v>
      </c>
      <c r="AY73" s="81">
        <f t="shared" si="58"/>
        <v>0</v>
      </c>
      <c r="AZ73" s="81">
        <f t="shared" si="58"/>
        <v>859.7261032098769</v>
      </c>
      <c r="BA73" s="81">
        <f t="shared" si="58"/>
        <v>0</v>
      </c>
      <c r="BB73" s="81">
        <f t="shared" si="58"/>
        <v>0</v>
      </c>
      <c r="BC73" s="81">
        <f t="shared" si="58"/>
        <v>0</v>
      </c>
      <c r="BD73" s="81">
        <f t="shared" si="58"/>
        <v>0</v>
      </c>
      <c r="BE73" s="81">
        <f t="shared" si="58"/>
        <v>846.36897080504082</v>
      </c>
      <c r="BF73" s="10"/>
      <c r="BG73" s="10"/>
      <c r="BH73" s="10"/>
      <c r="BI73" s="10"/>
      <c r="BJ73" s="10"/>
    </row>
    <row r="74" spans="1:62" ht="9.75" customHeight="1" x14ac:dyDescent="0.1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</row>
    <row r="75" spans="1:62" ht="9.75" customHeight="1" x14ac:dyDescent="0.1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</row>
    <row r="76" spans="1:62" ht="9.75" customHeight="1" x14ac:dyDescent="0.15">
      <c r="A76" s="10"/>
      <c r="B76" s="58" t="s">
        <v>81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55">
        <f t="shared" ref="Q76:BE76" si="59">Q15</f>
        <v>2384.8000000000002</v>
      </c>
      <c r="R76" s="55">
        <f t="shared" si="59"/>
        <v>2062.3000000000002</v>
      </c>
      <c r="S76" s="55">
        <f t="shared" si="59"/>
        <v>2232.4</v>
      </c>
      <c r="T76" s="55">
        <f t="shared" si="59"/>
        <v>2362</v>
      </c>
      <c r="U76" s="55">
        <f t="shared" si="59"/>
        <v>2553.8000000000002</v>
      </c>
      <c r="V76" s="55">
        <f t="shared" si="59"/>
        <v>2553.8000000000002</v>
      </c>
      <c r="W76" s="55">
        <f t="shared" si="59"/>
        <v>2504.8999999999996</v>
      </c>
      <c r="X76" s="55">
        <f t="shared" si="59"/>
        <v>3226.6000000000004</v>
      </c>
      <c r="Y76" s="55">
        <f t="shared" si="59"/>
        <v>2852.5</v>
      </c>
      <c r="Z76" s="55">
        <f t="shared" si="59"/>
        <v>2905.6</v>
      </c>
      <c r="AA76" s="55">
        <f t="shared" si="59"/>
        <v>2905.6</v>
      </c>
      <c r="AB76" s="55">
        <f t="shared" si="59"/>
        <v>3021.6</v>
      </c>
      <c r="AC76" s="55">
        <f t="shared" si="59"/>
        <v>3356</v>
      </c>
      <c r="AD76" s="55">
        <f t="shared" si="59"/>
        <v>5041.8999999999996</v>
      </c>
      <c r="AE76" s="55">
        <f t="shared" si="59"/>
        <v>1201.1018334772602</v>
      </c>
      <c r="AF76" s="55">
        <f t="shared" si="59"/>
        <v>2895.0916516590787</v>
      </c>
      <c r="AG76" s="55">
        <f t="shared" si="59"/>
        <v>1263.7208088376296</v>
      </c>
      <c r="AH76" s="55">
        <f t="shared" si="59"/>
        <v>1385.378748274562</v>
      </c>
      <c r="AI76" s="55">
        <f t="shared" si="59"/>
        <v>1432.2716460190686</v>
      </c>
      <c r="AJ76" s="55">
        <f t="shared" si="59"/>
        <v>1389.9181930966683</v>
      </c>
      <c r="AK76" s="55">
        <f t="shared" si="59"/>
        <v>3218.4346767330321</v>
      </c>
      <c r="AL76" s="55">
        <f t="shared" si="59"/>
        <v>1475.8706890983296</v>
      </c>
      <c r="AM76" s="55">
        <f t="shared" si="59"/>
        <v>1620.9545860087474</v>
      </c>
      <c r="AN76" s="55">
        <f t="shared" si="59"/>
        <v>1687.3108054460886</v>
      </c>
      <c r="AO76" s="55">
        <f t="shared" si="59"/>
        <v>1614.9455573995131</v>
      </c>
      <c r="AP76" s="55">
        <f t="shared" si="59"/>
        <v>3588.6813633267866</v>
      </c>
      <c r="AQ76" s="55">
        <f t="shared" si="59"/>
        <v>0</v>
      </c>
      <c r="AR76" s="55">
        <f t="shared" si="59"/>
        <v>0</v>
      </c>
      <c r="AS76" s="55">
        <f t="shared" si="59"/>
        <v>0</v>
      </c>
      <c r="AT76" s="55">
        <f t="shared" si="59"/>
        <v>0</v>
      </c>
      <c r="AU76" s="55">
        <f t="shared" si="59"/>
        <v>3932.3687543332085</v>
      </c>
      <c r="AV76" s="55">
        <f t="shared" si="59"/>
        <v>0</v>
      </c>
      <c r="AW76" s="55">
        <f t="shared" si="59"/>
        <v>0</v>
      </c>
      <c r="AX76" s="55">
        <f t="shared" si="59"/>
        <v>0</v>
      </c>
      <c r="AY76" s="55">
        <f t="shared" si="59"/>
        <v>0</v>
      </c>
      <c r="AZ76" s="55">
        <f t="shared" si="59"/>
        <v>3981.9739418384602</v>
      </c>
      <c r="BA76" s="55">
        <f t="shared" si="59"/>
        <v>0</v>
      </c>
      <c r="BB76" s="55">
        <f t="shared" si="59"/>
        <v>0</v>
      </c>
      <c r="BC76" s="55">
        <f t="shared" si="59"/>
        <v>0</v>
      </c>
      <c r="BD76" s="55">
        <f t="shared" si="59"/>
        <v>0</v>
      </c>
      <c r="BE76" s="55">
        <f t="shared" si="59"/>
        <v>4101.7077859351321</v>
      </c>
      <c r="BF76" s="10"/>
      <c r="BG76" s="10"/>
      <c r="BH76" s="10"/>
      <c r="BI76" s="10"/>
      <c r="BJ76" s="10"/>
    </row>
    <row r="77" spans="1:62" ht="9.75" customHeight="1" x14ac:dyDescent="0.1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</row>
    <row r="78" spans="1:62" ht="9.75" customHeight="1" x14ac:dyDescent="0.1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</row>
    <row r="79" spans="1:62" ht="9.75" customHeight="1" x14ac:dyDescent="0.15">
      <c r="A79" s="10"/>
      <c r="B79" s="10" t="s">
        <v>82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55">
        <f t="shared" ref="Q79:AA79" si="60">Q33</f>
        <v>2755</v>
      </c>
      <c r="R79" s="55">
        <f t="shared" si="60"/>
        <v>2097.1999999999998</v>
      </c>
      <c r="S79" s="55">
        <f t="shared" si="60"/>
        <v>2442.1999999999998</v>
      </c>
      <c r="T79" s="55">
        <f t="shared" si="60"/>
        <v>2443.6</v>
      </c>
      <c r="U79" s="55">
        <f t="shared" si="60"/>
        <v>2928.2</v>
      </c>
      <c r="V79" s="55">
        <f t="shared" si="60"/>
        <v>2928.2</v>
      </c>
      <c r="W79" s="55">
        <f t="shared" si="60"/>
        <v>2640</v>
      </c>
      <c r="X79" s="55">
        <f t="shared" si="60"/>
        <v>3366</v>
      </c>
      <c r="Y79" s="55">
        <f t="shared" si="60"/>
        <v>771.3</v>
      </c>
      <c r="Z79" s="55">
        <f t="shared" si="60"/>
        <v>789.8</v>
      </c>
      <c r="AA79" s="55">
        <f t="shared" si="60"/>
        <v>789.8</v>
      </c>
      <c r="AB79" s="10"/>
      <c r="AC79" s="10"/>
      <c r="AD79" s="10"/>
      <c r="AE79" s="10"/>
      <c r="AF79" s="81">
        <f>AF80/365*'Income Statement'!AF14</f>
        <v>1707.5555972602738</v>
      </c>
      <c r="AG79" s="81" t="e">
        <f>AG80/365*'Income Statement'!#REF!</f>
        <v>#REF!</v>
      </c>
      <c r="AH79" s="81" t="e">
        <f>AH80/365*'Income Statement'!#REF!</f>
        <v>#REF!</v>
      </c>
      <c r="AI79" s="81" t="e">
        <f>AI80/365*'Income Statement'!#REF!</f>
        <v>#REF!</v>
      </c>
      <c r="AJ79" s="81" t="e">
        <f>AJ80/365*'Income Statement'!#REF!</f>
        <v>#REF!</v>
      </c>
      <c r="AK79" s="81">
        <f>AK80/365*'Income Statement'!AK14</f>
        <v>1894.359883313492</v>
      </c>
      <c r="AL79" s="81" t="e">
        <f>AL80/365*'Income Statement'!#REF!</f>
        <v>#REF!</v>
      </c>
      <c r="AM79" s="81" t="e">
        <f>AM80/365*'Income Statement'!#REF!</f>
        <v>#REF!</v>
      </c>
      <c r="AN79" s="81" t="e">
        <f>AN80/365*'Income Statement'!#REF!</f>
        <v>#REF!</v>
      </c>
      <c r="AO79" s="81" t="e">
        <f>AO80/365*'Income Statement'!#REF!</f>
        <v>#REF!</v>
      </c>
      <c r="AP79" s="81">
        <f>AP80/365*'Income Statement'!AP14</f>
        <v>2140.7277657438772</v>
      </c>
      <c r="AQ79" s="81" t="e">
        <f>AQ80/365*'Income Statement'!#REF!</f>
        <v>#REF!</v>
      </c>
      <c r="AR79" s="81" t="e">
        <f>AR80/365*'Income Statement'!#REF!</f>
        <v>#REF!</v>
      </c>
      <c r="AS79" s="81" t="e">
        <f>AS80/365*'Income Statement'!#REF!</f>
        <v>#REF!</v>
      </c>
      <c r="AT79" s="81" t="e">
        <f>AT80/365*'Income Statement'!#REF!</f>
        <v>#REF!</v>
      </c>
      <c r="AU79" s="81">
        <f>AU80/365*'Income Statement'!AQ14</f>
        <v>2304.6355235179849</v>
      </c>
      <c r="AV79" s="81" t="e">
        <f>AV80/365*'Income Statement'!#REF!</f>
        <v>#REF!</v>
      </c>
      <c r="AW79" s="81" t="e">
        <f>AW80/365*'Income Statement'!#REF!</f>
        <v>#REF!</v>
      </c>
      <c r="AX79" s="81" t="e">
        <f>AX80/365*'Income Statement'!#REF!</f>
        <v>#REF!</v>
      </c>
      <c r="AY79" s="81" t="e">
        <f>AY80/365*'Income Statement'!#REF!</f>
        <v>#REF!</v>
      </c>
      <c r="AZ79" s="81">
        <f>AZ80/365*'Income Statement'!AR14</f>
        <v>2476.9234328181929</v>
      </c>
      <c r="BA79" s="81" t="e">
        <f>BA80/365*'Income Statement'!#REF!</f>
        <v>#REF!</v>
      </c>
      <c r="BB79" s="81" t="e">
        <f>BB80/365*'Income Statement'!#REF!</f>
        <v>#REF!</v>
      </c>
      <c r="BC79" s="81" t="e">
        <f>BC80/365*'Income Statement'!#REF!</f>
        <v>#REF!</v>
      </c>
      <c r="BD79" s="81" t="e">
        <f>BD80/365*'Income Statement'!#REF!</f>
        <v>#REF!</v>
      </c>
      <c r="BE79" s="81">
        <f>BE80/365*'Income Statement'!AS14</f>
        <v>2608.6714853580024</v>
      </c>
      <c r="BF79" s="10"/>
      <c r="BG79" s="10"/>
      <c r="BH79" s="10"/>
      <c r="BI79" s="10"/>
      <c r="BJ79" s="10"/>
    </row>
    <row r="80" spans="1:62" ht="9.75" customHeight="1" x14ac:dyDescent="0.15">
      <c r="A80" s="10"/>
      <c r="B80" s="10" t="s">
        <v>83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97">
        <f>Q79/'Income Statement'!Q14*365</f>
        <v>472.38925165594026</v>
      </c>
      <c r="R80" s="97">
        <f>R79/'Income Statement'!V14*365</f>
        <v>352.15439113033074</v>
      </c>
      <c r="S80" s="97">
        <f>S79/'Income Statement'!AA14*365</f>
        <v>407.10769090244787</v>
      </c>
      <c r="T80" s="97">
        <f>T79/'Income Statement'!AB14*365</f>
        <v>1583.3729806497427</v>
      </c>
      <c r="U80" s="97">
        <f>U79/'Income Statement'!AC14*365</f>
        <v>1714.7328734156908</v>
      </c>
      <c r="V80" s="97">
        <f>V79/'Income Statement'!V14*365</f>
        <v>491.69296591065927</v>
      </c>
      <c r="W80" s="97">
        <f>W79/'Income Statement'!AE14*365</f>
        <v>1571.8613408454864</v>
      </c>
      <c r="X80" s="97">
        <f>X79/'Income Statement'!AF14*365</f>
        <v>492.80972247706819</v>
      </c>
      <c r="Y80" s="97" t="e">
        <f>Y79/'Income Statement'!#REF!*365</f>
        <v>#REF!</v>
      </c>
      <c r="Z80" s="97" t="e">
        <f>Z79/'Income Statement'!#REF!*365</f>
        <v>#REF!</v>
      </c>
      <c r="AA80" s="97">
        <f>AA79/'Income Statement'!AA14*365</f>
        <v>131.65738034344173</v>
      </c>
      <c r="AB80" s="10"/>
      <c r="AC80" s="10"/>
      <c r="AD80" s="10"/>
      <c r="AE80" s="10"/>
      <c r="AF80" s="98">
        <v>250</v>
      </c>
      <c r="AG80" s="98">
        <v>250</v>
      </c>
      <c r="AH80" s="98">
        <v>250</v>
      </c>
      <c r="AI80" s="98">
        <v>250</v>
      </c>
      <c r="AJ80" s="98">
        <v>250</v>
      </c>
      <c r="AK80" s="98">
        <v>250</v>
      </c>
      <c r="AL80" s="98">
        <v>250</v>
      </c>
      <c r="AM80" s="98">
        <v>250</v>
      </c>
      <c r="AN80" s="98">
        <v>250</v>
      </c>
      <c r="AO80" s="98">
        <v>250</v>
      </c>
      <c r="AP80" s="98">
        <v>250</v>
      </c>
      <c r="AQ80" s="98">
        <v>250</v>
      </c>
      <c r="AR80" s="98">
        <v>250</v>
      </c>
      <c r="AS80" s="98">
        <v>250</v>
      </c>
      <c r="AT80" s="98">
        <v>250</v>
      </c>
      <c r="AU80" s="98">
        <v>250</v>
      </c>
      <c r="AV80" s="98">
        <v>250</v>
      </c>
      <c r="AW80" s="98">
        <v>250</v>
      </c>
      <c r="AX80" s="98">
        <v>250</v>
      </c>
      <c r="AY80" s="98">
        <v>250</v>
      </c>
      <c r="AZ80" s="98">
        <v>250</v>
      </c>
      <c r="BA80" s="98">
        <v>250</v>
      </c>
      <c r="BB80" s="98">
        <v>250</v>
      </c>
      <c r="BC80" s="98">
        <v>250</v>
      </c>
      <c r="BD80" s="98">
        <v>250</v>
      </c>
      <c r="BE80" s="98">
        <v>250</v>
      </c>
      <c r="BF80" s="10"/>
      <c r="BG80" s="10"/>
      <c r="BH80" s="10"/>
      <c r="BI80" s="10"/>
      <c r="BJ80" s="10"/>
    </row>
    <row r="81" spans="1:62" ht="9.75" customHeight="1" x14ac:dyDescent="0.1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</row>
    <row r="82" spans="1:62" ht="9.75" customHeight="1" x14ac:dyDescent="0.15">
      <c r="A82" s="10"/>
      <c r="B82" s="10" t="s">
        <v>84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55">
        <f t="shared" ref="Q82:AA82" si="61">Q28</f>
        <v>130.80000000000001</v>
      </c>
      <c r="R82" s="55">
        <f t="shared" si="61"/>
        <v>130</v>
      </c>
      <c r="S82" s="55">
        <f t="shared" si="61"/>
        <v>144.9</v>
      </c>
      <c r="T82" s="55">
        <f t="shared" si="61"/>
        <v>136.19999999999999</v>
      </c>
      <c r="U82" s="55">
        <f t="shared" si="61"/>
        <v>148.1</v>
      </c>
      <c r="V82" s="55">
        <f t="shared" si="61"/>
        <v>148.1</v>
      </c>
      <c r="W82" s="55">
        <f t="shared" si="61"/>
        <v>120.6</v>
      </c>
      <c r="X82" s="55">
        <f t="shared" si="61"/>
        <v>108.2</v>
      </c>
      <c r="Y82" s="55">
        <f t="shared" si="61"/>
        <v>117</v>
      </c>
      <c r="Z82" s="55">
        <f t="shared" si="61"/>
        <v>139.1</v>
      </c>
      <c r="AA82" s="55">
        <f t="shared" si="61"/>
        <v>139.1</v>
      </c>
      <c r="AB82" s="10"/>
      <c r="AC82" s="10"/>
      <c r="AD82" s="10"/>
      <c r="AE82" s="10"/>
      <c r="AF82" s="81">
        <f>AF83/365*'Income Statement'!AF14</f>
        <v>157.09511494794521</v>
      </c>
      <c r="AG82" s="81" t="e">
        <f>AG83/365*'Income Statement'!#REF!</f>
        <v>#REF!</v>
      </c>
      <c r="AH82" s="81" t="e">
        <f>AH83/365*'Income Statement'!#REF!</f>
        <v>#REF!</v>
      </c>
      <c r="AI82" s="81" t="e">
        <f>AI83/365*'Income Statement'!#REF!</f>
        <v>#REF!</v>
      </c>
      <c r="AJ82" s="81" t="e">
        <f>AJ83/365*'Income Statement'!#REF!</f>
        <v>#REF!</v>
      </c>
      <c r="AK82" s="81">
        <f>AK83/365*'Income Statement'!AK14</f>
        <v>174.28110926484129</v>
      </c>
      <c r="AL82" s="81" t="e">
        <f>AL83/365*'Income Statement'!#REF!</f>
        <v>#REF!</v>
      </c>
      <c r="AM82" s="81" t="e">
        <f>AM83/365*'Income Statement'!#REF!</f>
        <v>#REF!</v>
      </c>
      <c r="AN82" s="81" t="e">
        <f>AN83/365*'Income Statement'!#REF!</f>
        <v>#REF!</v>
      </c>
      <c r="AO82" s="81" t="e">
        <f>AO83/365*'Income Statement'!#REF!</f>
        <v>#REF!</v>
      </c>
      <c r="AP82" s="81">
        <f>AP83/365*'Income Statement'!AP14</f>
        <v>196.94695444843671</v>
      </c>
      <c r="AQ82" s="81" t="e">
        <f>AQ83/365*'Income Statement'!#REF!</f>
        <v>#REF!</v>
      </c>
      <c r="AR82" s="81" t="e">
        <f>AR83/365*'Income Statement'!#REF!</f>
        <v>#REF!</v>
      </c>
      <c r="AS82" s="81" t="e">
        <f>AS83/365*'Income Statement'!#REF!</f>
        <v>#REF!</v>
      </c>
      <c r="AT82" s="81" t="e">
        <f>AT83/365*'Income Statement'!#REF!</f>
        <v>#REF!</v>
      </c>
      <c r="AU82" s="81">
        <f>AU83/365*'Income Statement'!AQ14</f>
        <v>212.02646816365461</v>
      </c>
      <c r="AV82" s="81" t="e">
        <f>AV83/365*'Income Statement'!#REF!</f>
        <v>#REF!</v>
      </c>
      <c r="AW82" s="81" t="e">
        <f>AW83/365*'Income Statement'!#REF!</f>
        <v>#REF!</v>
      </c>
      <c r="AX82" s="81" t="e">
        <f>AX83/365*'Income Statement'!#REF!</f>
        <v>#REF!</v>
      </c>
      <c r="AY82" s="81" t="e">
        <f>AY83/365*'Income Statement'!#REF!</f>
        <v>#REF!</v>
      </c>
      <c r="AZ82" s="81">
        <f>AZ83/365*'Income Statement'!AR14</f>
        <v>227.87695581927375</v>
      </c>
      <c r="BA82" s="81" t="e">
        <f>BA83/365*'Income Statement'!#REF!</f>
        <v>#REF!</v>
      </c>
      <c r="BB82" s="81" t="e">
        <f>BB83/365*'Income Statement'!#REF!</f>
        <v>#REF!</v>
      </c>
      <c r="BC82" s="81" t="e">
        <f>BC83/365*'Income Statement'!#REF!</f>
        <v>#REF!</v>
      </c>
      <c r="BD82" s="81" t="e">
        <f>BD83/365*'Income Statement'!#REF!</f>
        <v>#REF!</v>
      </c>
      <c r="BE82" s="81">
        <f>BE83/365*'Income Statement'!AS14</f>
        <v>239.99777665293624</v>
      </c>
      <c r="BF82" s="10"/>
      <c r="BG82" s="10"/>
      <c r="BH82" s="10"/>
      <c r="BI82" s="10"/>
      <c r="BJ82" s="10"/>
    </row>
    <row r="83" spans="1:62" ht="9.75" customHeight="1" x14ac:dyDescent="0.15">
      <c r="A83" s="10"/>
      <c r="B83" s="10" t="s">
        <v>83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97">
        <f>Q82/'Income Statement'!Q14*365</f>
        <v>22.427772819091469</v>
      </c>
      <c r="R83" s="97">
        <f>R82/'Income Statement'!V14*365</f>
        <v>21.829139255647053</v>
      </c>
      <c r="S83" s="97">
        <f>S82/'Income Statement'!AA14*365</f>
        <v>24.154411764705884</v>
      </c>
      <c r="T83" s="97">
        <f>T82/'Income Statement'!AB14*365</f>
        <v>88.253151074028054</v>
      </c>
      <c r="U83" s="97">
        <f>U82/'Income Statement'!AC14*365</f>
        <v>86.726295523824803</v>
      </c>
      <c r="V83" s="97">
        <f>V82/'Income Statement'!V14*365</f>
        <v>24.868427105856377</v>
      </c>
      <c r="W83" s="97">
        <f>W82/'Income Statement'!AE14*365</f>
        <v>71.80548397953244</v>
      </c>
      <c r="X83" s="97">
        <f>X82/'Income Statement'!AF14*365</f>
        <v>15.841358280457152</v>
      </c>
      <c r="Y83" s="97" t="e">
        <f>Y82/'Income Statement'!#REF!*365</f>
        <v>#REF!</v>
      </c>
      <c r="Z83" s="97" t="e">
        <f>Z82/'Income Statement'!#REF!*365</f>
        <v>#REF!</v>
      </c>
      <c r="AA83" s="97">
        <f>AA82/'Income Statement'!AA14*365</f>
        <v>23.187568505663137</v>
      </c>
      <c r="AB83" s="10"/>
      <c r="AC83" s="10"/>
      <c r="AD83" s="10"/>
      <c r="AE83" s="10"/>
      <c r="AF83" s="98">
        <v>23</v>
      </c>
      <c r="AG83" s="98">
        <v>23</v>
      </c>
      <c r="AH83" s="98">
        <v>23</v>
      </c>
      <c r="AI83" s="98">
        <v>23</v>
      </c>
      <c r="AJ83" s="98">
        <v>23</v>
      </c>
      <c r="AK83" s="98">
        <v>23</v>
      </c>
      <c r="AL83" s="98">
        <v>23</v>
      </c>
      <c r="AM83" s="98">
        <v>23</v>
      </c>
      <c r="AN83" s="98">
        <v>23</v>
      </c>
      <c r="AO83" s="98">
        <v>23</v>
      </c>
      <c r="AP83" s="98">
        <v>23</v>
      </c>
      <c r="AQ83" s="98">
        <v>23</v>
      </c>
      <c r="AR83" s="98">
        <v>23</v>
      </c>
      <c r="AS83" s="98">
        <v>23</v>
      </c>
      <c r="AT83" s="98">
        <v>23</v>
      </c>
      <c r="AU83" s="98">
        <v>23</v>
      </c>
      <c r="AV83" s="98">
        <v>23</v>
      </c>
      <c r="AW83" s="98">
        <v>23</v>
      </c>
      <c r="AX83" s="98">
        <v>23</v>
      </c>
      <c r="AY83" s="98">
        <v>23</v>
      </c>
      <c r="AZ83" s="98">
        <v>23</v>
      </c>
      <c r="BA83" s="98">
        <v>23</v>
      </c>
      <c r="BB83" s="98">
        <v>23</v>
      </c>
      <c r="BC83" s="98">
        <v>23</v>
      </c>
      <c r="BD83" s="98">
        <v>23</v>
      </c>
      <c r="BE83" s="98">
        <v>23</v>
      </c>
      <c r="BF83" s="10"/>
      <c r="BG83" s="10"/>
      <c r="BH83" s="10"/>
      <c r="BI83" s="10"/>
      <c r="BJ83" s="10"/>
    </row>
    <row r="84" spans="1:62" ht="9.75" customHeight="1" x14ac:dyDescent="0.1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</row>
    <row r="85" spans="1:62" ht="9.75" customHeight="1" x14ac:dyDescent="0.15">
      <c r="A85" s="10"/>
      <c r="B85" s="10" t="s">
        <v>85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55">
        <f t="shared" ref="Q85:AA85" si="62">Q29</f>
        <v>948.3</v>
      </c>
      <c r="R85" s="55">
        <f t="shared" si="62"/>
        <v>863.7</v>
      </c>
      <c r="S85" s="55">
        <f t="shared" si="62"/>
        <v>835.6</v>
      </c>
      <c r="T85" s="55">
        <f t="shared" si="62"/>
        <v>856.7</v>
      </c>
      <c r="U85" s="55">
        <f t="shared" si="62"/>
        <v>958.2</v>
      </c>
      <c r="V85" s="55">
        <f t="shared" si="62"/>
        <v>958.2</v>
      </c>
      <c r="W85" s="55">
        <f t="shared" si="62"/>
        <v>876.4</v>
      </c>
      <c r="X85" s="55">
        <f t="shared" si="62"/>
        <v>879.2</v>
      </c>
      <c r="Y85" s="55">
        <f t="shared" si="62"/>
        <v>914.1</v>
      </c>
      <c r="Z85" s="55">
        <f t="shared" si="62"/>
        <v>1043.7</v>
      </c>
      <c r="AA85" s="55">
        <f t="shared" si="62"/>
        <v>1043.7</v>
      </c>
      <c r="AB85" s="10"/>
      <c r="AC85" s="10"/>
      <c r="AD85" s="10"/>
      <c r="AE85" s="10"/>
      <c r="AF85" s="81">
        <f>AF86/365*'Income Statement'!AF14</f>
        <v>1126.9866941917808</v>
      </c>
      <c r="AG85" s="81" t="e">
        <f>AG86/365*'Income Statement'!#REF!</f>
        <v>#REF!</v>
      </c>
      <c r="AH85" s="81" t="e">
        <f>AH86/365*'Income Statement'!#REF!</f>
        <v>#REF!</v>
      </c>
      <c r="AI85" s="81" t="e">
        <f>AI86/365*'Income Statement'!#REF!</f>
        <v>#REF!</v>
      </c>
      <c r="AJ85" s="81" t="e">
        <f>AJ86/365*'Income Statement'!#REF!</f>
        <v>#REF!</v>
      </c>
      <c r="AK85" s="81">
        <f>AK86/365*'Income Statement'!AK14</f>
        <v>1250.2775229869048</v>
      </c>
      <c r="AL85" s="81" t="e">
        <f>AL86/365*'Income Statement'!#REF!</f>
        <v>#REF!</v>
      </c>
      <c r="AM85" s="81" t="e">
        <f>AM86/365*'Income Statement'!#REF!</f>
        <v>#REF!</v>
      </c>
      <c r="AN85" s="81" t="e">
        <f>AN86/365*'Income Statement'!#REF!</f>
        <v>#REF!</v>
      </c>
      <c r="AO85" s="81" t="e">
        <f>AO86/365*'Income Statement'!#REF!</f>
        <v>#REF!</v>
      </c>
      <c r="AP85" s="81">
        <f>AP86/365*'Income Statement'!AP14</f>
        <v>1412.8803253909589</v>
      </c>
      <c r="AQ85" s="81" t="e">
        <f>AQ86/365*'Income Statement'!#REF!</f>
        <v>#REF!</v>
      </c>
      <c r="AR85" s="81" t="e">
        <f>AR86/365*'Income Statement'!#REF!</f>
        <v>#REF!</v>
      </c>
      <c r="AS85" s="81" t="e">
        <f>AS86/365*'Income Statement'!#REF!</f>
        <v>#REF!</v>
      </c>
      <c r="AT85" s="81" t="e">
        <f>AT86/365*'Income Statement'!#REF!</f>
        <v>#REF!</v>
      </c>
      <c r="AU85" s="81">
        <f>AU86/365*'Income Statement'!AQ14</f>
        <v>1521.05944552187</v>
      </c>
      <c r="AV85" s="81" t="e">
        <f>AV86/365*'Income Statement'!#REF!</f>
        <v>#REF!</v>
      </c>
      <c r="AW85" s="81" t="e">
        <f>AW86/365*'Income Statement'!#REF!</f>
        <v>#REF!</v>
      </c>
      <c r="AX85" s="81" t="e">
        <f>AX86/365*'Income Statement'!#REF!</f>
        <v>#REF!</v>
      </c>
      <c r="AY85" s="81" t="e">
        <f>AY86/365*'Income Statement'!#REF!</f>
        <v>#REF!</v>
      </c>
      <c r="AZ85" s="81">
        <f>AZ86/365*'Income Statement'!AR14</f>
        <v>1634.7694656600072</v>
      </c>
      <c r="BA85" s="81" t="e">
        <f>BA86/365*'Income Statement'!#REF!</f>
        <v>#REF!</v>
      </c>
      <c r="BB85" s="81" t="e">
        <f>BB86/365*'Income Statement'!#REF!</f>
        <v>#REF!</v>
      </c>
      <c r="BC85" s="81" t="e">
        <f>BC86/365*'Income Statement'!#REF!</f>
        <v>#REF!</v>
      </c>
      <c r="BD85" s="81" t="e">
        <f>BD86/365*'Income Statement'!#REF!</f>
        <v>#REF!</v>
      </c>
      <c r="BE85" s="81">
        <f>BE86/365*'Income Statement'!AS14</f>
        <v>1721.7231803362815</v>
      </c>
      <c r="BF85" s="10"/>
      <c r="BG85" s="10"/>
      <c r="BH85" s="10"/>
      <c r="BI85" s="10"/>
      <c r="BJ85" s="10"/>
    </row>
    <row r="86" spans="1:62" ht="9.75" customHeight="1" x14ac:dyDescent="0.15">
      <c r="A86" s="10"/>
      <c r="B86" s="10" t="s">
        <v>86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97">
        <f>Q85/'Income Statement'!Q14*365</f>
        <v>162.60135293841313</v>
      </c>
      <c r="R86" s="97">
        <f>R85/'Income Statement'!V14*365</f>
        <v>145.0294428854028</v>
      </c>
      <c r="S86" s="97">
        <f>S85/'Income Statement'!AA14*365</f>
        <v>139.29210814760688</v>
      </c>
      <c r="T86" s="97">
        <f>T85/'Income Statement'!AB14*365</f>
        <v>555.1136161903072</v>
      </c>
      <c r="U86" s="97">
        <f>U85/'Income Statement'!AC14*365</f>
        <v>561.11503288945937</v>
      </c>
      <c r="V86" s="97">
        <f>V85/'Income Statement'!V14*365</f>
        <v>160.89754795970006</v>
      </c>
      <c r="W86" s="97">
        <f>W85/'Income Statement'!AE14*365</f>
        <v>521.81033299885769</v>
      </c>
      <c r="X86" s="97">
        <f>X85/'Income Statement'!AF14*365</f>
        <v>128.72201663750397</v>
      </c>
      <c r="Y86" s="97" t="e">
        <f>Y85/'Income Statement'!#REF!*365</f>
        <v>#REF!</v>
      </c>
      <c r="Z86" s="97" t="e">
        <f>Z85/'Income Statement'!#REF!*365</f>
        <v>#REF!</v>
      </c>
      <c r="AA86" s="97">
        <f>AA85/'Income Statement'!AA14*365</f>
        <v>173.98177749360616</v>
      </c>
      <c r="AB86" s="10"/>
      <c r="AC86" s="10"/>
      <c r="AD86" s="10"/>
      <c r="AE86" s="10"/>
      <c r="AF86" s="98">
        <v>165</v>
      </c>
      <c r="AG86" s="98">
        <v>165</v>
      </c>
      <c r="AH86" s="98">
        <v>165</v>
      </c>
      <c r="AI86" s="98">
        <v>165</v>
      </c>
      <c r="AJ86" s="98">
        <v>165</v>
      </c>
      <c r="AK86" s="98">
        <v>165</v>
      </c>
      <c r="AL86" s="98">
        <v>165</v>
      </c>
      <c r="AM86" s="98">
        <v>165</v>
      </c>
      <c r="AN86" s="98">
        <v>165</v>
      </c>
      <c r="AO86" s="98">
        <v>165</v>
      </c>
      <c r="AP86" s="98">
        <v>165</v>
      </c>
      <c r="AQ86" s="98">
        <v>165</v>
      </c>
      <c r="AR86" s="98">
        <v>165</v>
      </c>
      <c r="AS86" s="98">
        <v>165</v>
      </c>
      <c r="AT86" s="98">
        <v>165</v>
      </c>
      <c r="AU86" s="98">
        <v>165</v>
      </c>
      <c r="AV86" s="98">
        <v>165</v>
      </c>
      <c r="AW86" s="98">
        <v>165</v>
      </c>
      <c r="AX86" s="98">
        <v>165</v>
      </c>
      <c r="AY86" s="98">
        <v>165</v>
      </c>
      <c r="AZ86" s="98">
        <v>165</v>
      </c>
      <c r="BA86" s="98">
        <v>165</v>
      </c>
      <c r="BB86" s="98">
        <v>165</v>
      </c>
      <c r="BC86" s="98">
        <v>165</v>
      </c>
      <c r="BD86" s="98">
        <v>165</v>
      </c>
      <c r="BE86" s="98">
        <v>165</v>
      </c>
      <c r="BF86" s="10"/>
      <c r="BG86" s="10"/>
      <c r="BH86" s="10"/>
      <c r="BI86" s="10"/>
      <c r="BJ86" s="10"/>
    </row>
    <row r="87" spans="1:62" ht="9.75" customHeight="1" x14ac:dyDescent="0.1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</row>
    <row r="88" spans="1:62" ht="9.75" customHeight="1" x14ac:dyDescent="0.15">
      <c r="A88" s="10"/>
      <c r="B88" s="58" t="s">
        <v>87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</row>
    <row r="89" spans="1:62" ht="9.75" customHeight="1" x14ac:dyDescent="0.1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</row>
    <row r="90" spans="1:62" ht="9.75" customHeight="1" x14ac:dyDescent="0.1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</row>
    <row r="91" spans="1:62" ht="9.75" customHeight="1" x14ac:dyDescent="0.1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</row>
    <row r="92" spans="1:62" ht="9.75" customHeight="1" x14ac:dyDescent="0.1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</row>
    <row r="93" spans="1:62" ht="9.7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</row>
    <row r="94" spans="1:62" ht="9.75" customHeight="1" x14ac:dyDescent="0.1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</row>
    <row r="95" spans="1:62" ht="9.75" customHeight="1" x14ac:dyDescent="0.1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</row>
    <row r="96" spans="1:62" ht="9.75" customHeight="1" x14ac:dyDescent="0.1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</row>
    <row r="97" spans="1:62" ht="9.75" customHeight="1" x14ac:dyDescent="0.1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</row>
    <row r="98" spans="1:62" ht="9.75" customHeight="1" x14ac:dyDescent="0.1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</row>
    <row r="99" spans="1:62" ht="9.75" customHeight="1" x14ac:dyDescent="0.1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</row>
    <row r="100" spans="1:62" ht="9.75" customHeight="1" x14ac:dyDescent="0.1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</row>
    <row r="101" spans="1:62" ht="9.75" customHeight="1" x14ac:dyDescent="0.1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</row>
    <row r="102" spans="1:62" ht="9.75" customHeight="1" x14ac:dyDescent="0.1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</row>
    <row r="103" spans="1:62" ht="9.75" customHeight="1" x14ac:dyDescent="0.1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</row>
    <row r="104" spans="1:62" ht="9.75" customHeight="1" x14ac:dyDescent="0.1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</row>
    <row r="105" spans="1:62" ht="9.75" customHeight="1" x14ac:dyDescent="0.1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</row>
    <row r="106" spans="1:62" ht="9.75" customHeight="1" x14ac:dyDescent="0.1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</row>
    <row r="107" spans="1:62" ht="9.75" customHeight="1" x14ac:dyDescent="0.1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</row>
    <row r="108" spans="1:62" ht="9.75" customHeight="1" x14ac:dyDescent="0.1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</row>
    <row r="109" spans="1:62" ht="9.75" customHeight="1" x14ac:dyDescent="0.1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</row>
    <row r="110" spans="1:62" ht="9.75" customHeight="1" x14ac:dyDescent="0.1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</row>
    <row r="111" spans="1:62" ht="9.75" customHeight="1" x14ac:dyDescent="0.1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</row>
    <row r="112" spans="1:62" ht="9.75" customHeight="1" x14ac:dyDescent="0.1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</row>
    <row r="113" spans="1:62" ht="9.75" customHeight="1" x14ac:dyDescent="0.1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</row>
    <row r="114" spans="1:62" ht="9.75" customHeight="1" x14ac:dyDescent="0.1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</row>
    <row r="115" spans="1:62" ht="9.75" customHeight="1" x14ac:dyDescent="0.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</row>
    <row r="116" spans="1:62" ht="9.75" customHeight="1" x14ac:dyDescent="0.1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</row>
    <row r="117" spans="1:62" ht="9.75" customHeight="1" x14ac:dyDescent="0.1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</row>
    <row r="118" spans="1:62" ht="9.75" customHeight="1" x14ac:dyDescent="0.1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</row>
    <row r="119" spans="1:62" ht="9.75" customHeight="1" x14ac:dyDescent="0.1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</row>
    <row r="120" spans="1:62" ht="9.75" customHeight="1" x14ac:dyDescent="0.1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</row>
    <row r="121" spans="1:62" ht="9.75" customHeight="1" x14ac:dyDescent="0.1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</row>
    <row r="122" spans="1:62" ht="9.75" customHeight="1" x14ac:dyDescent="0.1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</row>
    <row r="123" spans="1:62" ht="9.75" customHeight="1" x14ac:dyDescent="0.1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</row>
    <row r="124" spans="1:62" ht="9.75" customHeight="1" x14ac:dyDescent="0.1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</row>
    <row r="125" spans="1:62" ht="9.75" customHeight="1" x14ac:dyDescent="0.1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</row>
    <row r="126" spans="1:62" ht="9.75" customHeight="1" x14ac:dyDescent="0.1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</row>
    <row r="127" spans="1:62" ht="9.75" customHeight="1" x14ac:dyDescent="0.1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</row>
    <row r="128" spans="1:62" ht="9.75" customHeight="1" x14ac:dyDescent="0.1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</row>
    <row r="129" spans="1:62" ht="9.75" customHeight="1" x14ac:dyDescent="0.1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</row>
    <row r="130" spans="1:62" ht="9.75" customHeight="1" x14ac:dyDescent="0.1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</row>
    <row r="131" spans="1:62" ht="9.75" customHeight="1" x14ac:dyDescent="0.1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</row>
    <row r="132" spans="1:62" ht="9.75" customHeight="1" x14ac:dyDescent="0.1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</row>
    <row r="133" spans="1:62" ht="9.75" customHeight="1" x14ac:dyDescent="0.1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</row>
    <row r="134" spans="1:62" ht="9.75" customHeight="1" x14ac:dyDescent="0.1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</row>
    <row r="135" spans="1:62" ht="9.75" customHeight="1" x14ac:dyDescent="0.1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</row>
    <row r="136" spans="1:62" ht="9.75" customHeight="1" x14ac:dyDescent="0.1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</row>
    <row r="137" spans="1:62" ht="9.75" customHeight="1" x14ac:dyDescent="0.1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</row>
    <row r="138" spans="1:62" ht="9.75" customHeight="1" x14ac:dyDescent="0.1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</row>
    <row r="139" spans="1:62" ht="9.75" customHeight="1" x14ac:dyDescent="0.1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</row>
    <row r="140" spans="1:62" ht="9.75" customHeight="1" x14ac:dyDescent="0.1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</row>
    <row r="141" spans="1:62" ht="9.75" customHeight="1" x14ac:dyDescent="0.1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</row>
    <row r="142" spans="1:62" ht="9.75" customHeight="1" x14ac:dyDescent="0.1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</row>
    <row r="143" spans="1:62" ht="9.75" customHeight="1" x14ac:dyDescent="0.1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</row>
    <row r="144" spans="1:62" ht="9.75" customHeight="1" x14ac:dyDescent="0.1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</row>
    <row r="145" spans="1:62" ht="9.75" customHeight="1" x14ac:dyDescent="0.1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</row>
    <row r="146" spans="1:62" ht="9.75" customHeight="1" x14ac:dyDescent="0.1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</row>
    <row r="147" spans="1:62" ht="9.75" customHeight="1" x14ac:dyDescent="0.1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</row>
    <row r="148" spans="1:62" ht="9.75" customHeight="1" x14ac:dyDescent="0.1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</row>
    <row r="149" spans="1:62" ht="9.75" customHeight="1" x14ac:dyDescent="0.1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</row>
    <row r="150" spans="1:62" ht="9.75" customHeight="1" x14ac:dyDescent="0.1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</row>
    <row r="151" spans="1:62" ht="9.75" customHeight="1" x14ac:dyDescent="0.1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</row>
    <row r="152" spans="1:62" ht="9.75" customHeight="1" x14ac:dyDescent="0.1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</row>
    <row r="153" spans="1:62" ht="9.75" customHeight="1" x14ac:dyDescent="0.1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</row>
    <row r="154" spans="1:62" ht="9.75" customHeight="1" x14ac:dyDescent="0.1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</row>
    <row r="155" spans="1:62" ht="9.75" customHeight="1" x14ac:dyDescent="0.1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</row>
    <row r="156" spans="1:62" ht="9.75" customHeight="1" x14ac:dyDescent="0.1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</row>
    <row r="157" spans="1:62" ht="9.75" customHeight="1" x14ac:dyDescent="0.1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</row>
    <row r="158" spans="1:62" ht="9.75" customHeight="1" x14ac:dyDescent="0.1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</row>
    <row r="159" spans="1:62" ht="9.75" customHeight="1" x14ac:dyDescent="0.1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</row>
    <row r="160" spans="1:62" ht="9.75" customHeight="1" x14ac:dyDescent="0.1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</row>
    <row r="161" spans="1:62" ht="9.75" customHeight="1" x14ac:dyDescent="0.1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</row>
    <row r="162" spans="1:62" ht="9.75" customHeight="1" x14ac:dyDescent="0.1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</row>
    <row r="163" spans="1:62" ht="9.75" customHeight="1" x14ac:dyDescent="0.1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</row>
    <row r="164" spans="1:62" ht="9.75" customHeight="1" x14ac:dyDescent="0.1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</row>
    <row r="165" spans="1:62" ht="9.75" customHeight="1" x14ac:dyDescent="0.1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</row>
    <row r="166" spans="1:62" ht="9.75" customHeight="1" x14ac:dyDescent="0.1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</row>
    <row r="167" spans="1:62" ht="9.75" customHeight="1" x14ac:dyDescent="0.1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</row>
    <row r="168" spans="1:62" ht="9.75" customHeight="1" x14ac:dyDescent="0.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</row>
    <row r="169" spans="1:62" ht="9.75" customHeight="1" x14ac:dyDescent="0.1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</row>
    <row r="170" spans="1:62" ht="9.75" customHeight="1" x14ac:dyDescent="0.1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</row>
    <row r="171" spans="1:62" ht="9.75" customHeight="1" x14ac:dyDescent="0.1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</row>
    <row r="172" spans="1:62" ht="9.75" customHeight="1" x14ac:dyDescent="0.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</row>
    <row r="173" spans="1:62" ht="9.75" customHeight="1" x14ac:dyDescent="0.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</row>
    <row r="174" spans="1:62" ht="9.75" customHeight="1" x14ac:dyDescent="0.1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</row>
    <row r="175" spans="1:62" ht="9.75" customHeight="1" x14ac:dyDescent="0.1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</row>
    <row r="176" spans="1:62" ht="9.75" customHeight="1" x14ac:dyDescent="0.1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</row>
    <row r="177" spans="1:62" ht="9.75" customHeight="1" x14ac:dyDescent="0.1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</row>
    <row r="178" spans="1:62" ht="9.75" customHeight="1" x14ac:dyDescent="0.1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</row>
    <row r="179" spans="1:62" ht="9.75" customHeight="1" x14ac:dyDescent="0.1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</row>
    <row r="180" spans="1:62" ht="9.75" customHeight="1" x14ac:dyDescent="0.1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</row>
    <row r="181" spans="1:62" ht="9.75" customHeight="1" x14ac:dyDescent="0.1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</row>
    <row r="182" spans="1:62" ht="9.75" customHeight="1" x14ac:dyDescent="0.1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</row>
    <row r="183" spans="1:62" ht="9.75" customHeight="1" x14ac:dyDescent="0.1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</row>
    <row r="184" spans="1:62" ht="9.75" customHeight="1" x14ac:dyDescent="0.1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</row>
    <row r="185" spans="1:62" ht="9.75" customHeight="1" x14ac:dyDescent="0.1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</row>
    <row r="186" spans="1:62" ht="9.75" customHeight="1" x14ac:dyDescent="0.1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</row>
    <row r="187" spans="1:62" ht="9.75" customHeight="1" x14ac:dyDescent="0.1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</row>
    <row r="188" spans="1:62" ht="9.75" customHeight="1" x14ac:dyDescent="0.1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</row>
    <row r="189" spans="1:62" ht="9.75" customHeight="1" x14ac:dyDescent="0.1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</row>
    <row r="190" spans="1:62" ht="9.75" customHeight="1" x14ac:dyDescent="0.1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</row>
    <row r="191" spans="1:62" ht="9.75" customHeight="1" x14ac:dyDescent="0.1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</row>
    <row r="192" spans="1:62" ht="9.75" customHeight="1" x14ac:dyDescent="0.1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</row>
    <row r="193" spans="1:62" ht="9.75" customHeight="1" x14ac:dyDescent="0.1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</row>
    <row r="194" spans="1:62" ht="9.75" customHeight="1" x14ac:dyDescent="0.1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</row>
    <row r="195" spans="1:62" ht="9.75" customHeight="1" x14ac:dyDescent="0.1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</row>
    <row r="196" spans="1:62" ht="9.75" customHeight="1" x14ac:dyDescent="0.1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</row>
    <row r="197" spans="1:62" ht="9.75" customHeight="1" x14ac:dyDescent="0.1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</row>
    <row r="198" spans="1:62" ht="9.75" customHeight="1" x14ac:dyDescent="0.1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</row>
    <row r="199" spans="1:62" ht="9.75" customHeight="1" x14ac:dyDescent="0.1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</row>
    <row r="200" spans="1:62" ht="9.75" customHeight="1" x14ac:dyDescent="0.1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</row>
    <row r="201" spans="1:62" ht="9.75" customHeight="1" x14ac:dyDescent="0.1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</row>
    <row r="202" spans="1:62" ht="9.75" customHeight="1" x14ac:dyDescent="0.1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</row>
    <row r="203" spans="1:62" ht="9.75" customHeight="1" x14ac:dyDescent="0.1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</row>
    <row r="204" spans="1:62" ht="9.75" customHeight="1" x14ac:dyDescent="0.1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</row>
    <row r="205" spans="1:62" ht="9.75" customHeight="1" x14ac:dyDescent="0.1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</row>
    <row r="206" spans="1:62" ht="9.75" customHeight="1" x14ac:dyDescent="0.1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</row>
    <row r="207" spans="1:62" ht="9.75" customHeight="1" x14ac:dyDescent="0.1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</row>
    <row r="208" spans="1:62" ht="9.75" customHeight="1" x14ac:dyDescent="0.1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</row>
    <row r="209" spans="1:62" ht="9.75" customHeight="1" x14ac:dyDescent="0.1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</row>
    <row r="210" spans="1:62" ht="9.75" customHeight="1" x14ac:dyDescent="0.1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</row>
    <row r="211" spans="1:62" ht="9.75" customHeight="1" x14ac:dyDescent="0.1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</row>
    <row r="212" spans="1:62" ht="9.75" customHeight="1" x14ac:dyDescent="0.1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</row>
    <row r="213" spans="1:62" ht="9.75" customHeight="1" x14ac:dyDescent="0.1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</row>
    <row r="214" spans="1:62" ht="9.75" customHeight="1" x14ac:dyDescent="0.1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</row>
    <row r="215" spans="1:62" ht="9.75" customHeight="1" x14ac:dyDescent="0.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</row>
    <row r="216" spans="1:62" ht="9.75" customHeight="1" x14ac:dyDescent="0.1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</row>
    <row r="217" spans="1:62" ht="9.75" customHeight="1" x14ac:dyDescent="0.1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</row>
    <row r="218" spans="1:62" ht="9.75" customHeight="1" x14ac:dyDescent="0.1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</row>
    <row r="219" spans="1:62" ht="9.75" customHeight="1" x14ac:dyDescent="0.1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</row>
    <row r="220" spans="1:62" ht="9.75" customHeight="1" x14ac:dyDescent="0.1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</row>
    <row r="221" spans="1:62" ht="9.75" customHeight="1" x14ac:dyDescent="0.1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</row>
    <row r="222" spans="1:62" ht="9.75" customHeight="1" x14ac:dyDescent="0.1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</row>
    <row r="223" spans="1:62" ht="9.75" customHeight="1" x14ac:dyDescent="0.1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</row>
    <row r="224" spans="1:62" ht="9.75" customHeight="1" x14ac:dyDescent="0.1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</row>
    <row r="225" spans="1:62" ht="9.75" customHeight="1" x14ac:dyDescent="0.1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</row>
    <row r="226" spans="1:62" ht="9.75" customHeight="1" x14ac:dyDescent="0.1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</row>
    <row r="227" spans="1:62" ht="9.75" customHeight="1" x14ac:dyDescent="0.1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</row>
    <row r="228" spans="1:62" ht="9.75" customHeight="1" x14ac:dyDescent="0.1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</row>
    <row r="229" spans="1:62" ht="9.75" customHeight="1" x14ac:dyDescent="0.1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</row>
    <row r="230" spans="1:62" ht="9.75" customHeight="1" x14ac:dyDescent="0.1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</row>
    <row r="231" spans="1:62" ht="9.75" customHeight="1" x14ac:dyDescent="0.1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</row>
    <row r="232" spans="1:62" ht="9.75" customHeight="1" x14ac:dyDescent="0.1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</row>
    <row r="233" spans="1:62" ht="9.75" customHeight="1" x14ac:dyDescent="0.1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</row>
    <row r="234" spans="1:62" ht="9.75" customHeight="1" x14ac:dyDescent="0.1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</row>
    <row r="235" spans="1:62" ht="9.75" customHeight="1" x14ac:dyDescent="0.1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</row>
    <row r="236" spans="1:62" ht="9.75" customHeight="1" x14ac:dyDescent="0.1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</row>
    <row r="237" spans="1:62" ht="9.75" customHeight="1" x14ac:dyDescent="0.1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</row>
    <row r="238" spans="1:62" ht="9.75" customHeight="1" x14ac:dyDescent="0.1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</row>
    <row r="239" spans="1:62" ht="9.75" customHeight="1" x14ac:dyDescent="0.1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</row>
    <row r="240" spans="1:62" ht="9.75" customHeight="1" x14ac:dyDescent="0.1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</row>
    <row r="241" spans="1:62" ht="9.75" customHeight="1" x14ac:dyDescent="0.1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</row>
    <row r="242" spans="1:62" ht="9.75" customHeight="1" x14ac:dyDescent="0.1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</row>
    <row r="243" spans="1:62" ht="9.75" customHeight="1" x14ac:dyDescent="0.1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</row>
    <row r="244" spans="1:62" ht="9.75" customHeight="1" x14ac:dyDescent="0.1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</row>
    <row r="245" spans="1:62" ht="9.75" customHeight="1" x14ac:dyDescent="0.1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</row>
    <row r="246" spans="1:62" ht="9.75" customHeight="1" x14ac:dyDescent="0.1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</row>
    <row r="247" spans="1:62" ht="9.75" customHeight="1" x14ac:dyDescent="0.1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</row>
    <row r="248" spans="1:62" ht="9.75" customHeight="1" x14ac:dyDescent="0.1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</row>
    <row r="249" spans="1:62" ht="9.75" customHeight="1" x14ac:dyDescent="0.1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</row>
    <row r="250" spans="1:62" ht="9.75" customHeight="1" x14ac:dyDescent="0.1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</row>
    <row r="251" spans="1:62" ht="9.75" customHeight="1" x14ac:dyDescent="0.1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</row>
    <row r="252" spans="1:62" ht="9.75" customHeight="1" x14ac:dyDescent="0.1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</row>
    <row r="253" spans="1:62" ht="9.75" customHeight="1" x14ac:dyDescent="0.1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</row>
    <row r="254" spans="1:62" ht="9.75" customHeight="1" x14ac:dyDescent="0.1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</row>
    <row r="255" spans="1:62" ht="9.75" customHeight="1" x14ac:dyDescent="0.1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</row>
    <row r="256" spans="1:62" ht="9.75" customHeight="1" x14ac:dyDescent="0.1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</row>
    <row r="257" spans="1:62" ht="9.75" customHeight="1" x14ac:dyDescent="0.1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</row>
    <row r="258" spans="1:62" ht="9.75" customHeight="1" x14ac:dyDescent="0.1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</row>
    <row r="259" spans="1:62" ht="9.75" customHeight="1" x14ac:dyDescent="0.1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</row>
    <row r="260" spans="1:62" ht="9.75" customHeight="1" x14ac:dyDescent="0.1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</row>
    <row r="261" spans="1:62" ht="9.75" customHeight="1" x14ac:dyDescent="0.1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</row>
    <row r="262" spans="1:62" ht="9.75" customHeight="1" x14ac:dyDescent="0.1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</row>
    <row r="263" spans="1:62" ht="9.75" customHeight="1" x14ac:dyDescent="0.1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</row>
    <row r="264" spans="1:62" ht="9.75" customHeight="1" x14ac:dyDescent="0.1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</row>
    <row r="265" spans="1:62" ht="9.75" customHeight="1" x14ac:dyDescent="0.1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</row>
    <row r="266" spans="1:62" ht="9.75" customHeight="1" x14ac:dyDescent="0.1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</row>
    <row r="267" spans="1:62" ht="9.75" customHeight="1" x14ac:dyDescent="0.1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</row>
    <row r="268" spans="1:62" ht="9.75" customHeight="1" x14ac:dyDescent="0.1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</row>
    <row r="269" spans="1:62" ht="9.75" customHeight="1" x14ac:dyDescent="0.1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</row>
    <row r="270" spans="1:62" ht="9.75" customHeight="1" x14ac:dyDescent="0.1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</row>
    <row r="271" spans="1:62" ht="9.75" customHeight="1" x14ac:dyDescent="0.1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</row>
    <row r="272" spans="1:62" ht="9.75" customHeight="1" x14ac:dyDescent="0.1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</row>
    <row r="273" spans="1:62" ht="9.75" customHeight="1" x14ac:dyDescent="0.1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</row>
    <row r="274" spans="1:62" ht="9.75" customHeight="1" x14ac:dyDescent="0.1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</row>
    <row r="275" spans="1:62" ht="9.75" customHeight="1" x14ac:dyDescent="0.1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</row>
    <row r="276" spans="1:62" ht="9.75" customHeight="1" x14ac:dyDescent="0.1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</row>
    <row r="277" spans="1:62" ht="9.75" customHeight="1" x14ac:dyDescent="0.1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</row>
    <row r="278" spans="1:62" ht="9.75" customHeight="1" x14ac:dyDescent="0.1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</row>
    <row r="279" spans="1:62" ht="9.75" customHeight="1" x14ac:dyDescent="0.1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</row>
    <row r="280" spans="1:62" ht="9.75" customHeight="1" x14ac:dyDescent="0.1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</row>
    <row r="281" spans="1:62" ht="9.75" customHeight="1" x14ac:dyDescent="0.1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</row>
    <row r="282" spans="1:62" ht="9.75" customHeight="1" x14ac:dyDescent="0.1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</row>
    <row r="283" spans="1:62" ht="9.75" customHeight="1" x14ac:dyDescent="0.1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</row>
    <row r="284" spans="1:62" ht="9.75" customHeight="1" x14ac:dyDescent="0.1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</row>
    <row r="285" spans="1:62" ht="9.75" customHeight="1" x14ac:dyDescent="0.1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</row>
    <row r="286" spans="1:62" ht="9.75" customHeight="1" x14ac:dyDescent="0.1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</row>
    <row r="287" spans="1:62" ht="9.75" customHeight="1" x14ac:dyDescent="0.1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</row>
    <row r="288" spans="1:62" ht="9.75" customHeight="1" x14ac:dyDescent="0.1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</row>
    <row r="289" spans="1:62" ht="9.75" customHeight="1" x14ac:dyDescent="0.1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</row>
    <row r="290" spans="1:62" ht="15.75" customHeight="1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ht="15.75" customHeight="1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ht="15.75" customHeight="1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</row>
    <row r="293" spans="1:62" ht="15.75" customHeight="1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ht="15.75" customHeight="1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ht="15.75" customHeight="1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ht="15.75" customHeight="1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ht="15.75" customHeight="1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ht="15.75" customHeight="1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ht="15.75" customHeight="1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ht="15.75" customHeight="1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ht="15.75" customHeight="1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ht="15.75" customHeight="1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ht="15.75" customHeight="1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ht="15.75" customHeight="1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22:28" ht="15.75" customHeight="1" x14ac:dyDescent="0.15">
      <c r="V305" s="2"/>
      <c r="W305" s="2"/>
      <c r="X305" s="2"/>
      <c r="Y305" s="2"/>
      <c r="Z305" s="2"/>
      <c r="AA305" s="2"/>
      <c r="AB305" s="2"/>
    </row>
    <row r="306" spans="22:28" ht="15.75" customHeight="1" x14ac:dyDescent="0.15">
      <c r="V306" s="2"/>
      <c r="W306" s="2"/>
      <c r="X306" s="2"/>
      <c r="Y306" s="2"/>
      <c r="Z306" s="2"/>
      <c r="AA306" s="2"/>
      <c r="AB306" s="2"/>
    </row>
    <row r="307" spans="22:28" ht="15.75" customHeight="1" x14ac:dyDescent="0.15">
      <c r="V307" s="2"/>
      <c r="W307" s="2"/>
      <c r="X307" s="2"/>
      <c r="Y307" s="2"/>
      <c r="Z307" s="2"/>
      <c r="AA307" s="2"/>
      <c r="AB307" s="2"/>
    </row>
    <row r="308" spans="22:28" ht="15.75" customHeight="1" x14ac:dyDescent="0.15">
      <c r="V308" s="2"/>
      <c r="W308" s="2"/>
      <c r="X308" s="2"/>
      <c r="Y308" s="2"/>
      <c r="Z308" s="2"/>
      <c r="AA308" s="2"/>
      <c r="AB308" s="2"/>
    </row>
    <row r="309" spans="22:28" ht="15.75" customHeight="1" x14ac:dyDescent="0.15">
      <c r="V309" s="2"/>
      <c r="W309" s="2"/>
      <c r="X309" s="2"/>
      <c r="Y309" s="2"/>
      <c r="Z309" s="2"/>
      <c r="AA309" s="2"/>
      <c r="AB309" s="2"/>
    </row>
    <row r="310" spans="22:28" ht="15.75" customHeight="1" x14ac:dyDescent="0.15">
      <c r="V310" s="2"/>
      <c r="W310" s="2"/>
      <c r="X310" s="2"/>
      <c r="Y310" s="2"/>
      <c r="Z310" s="2"/>
      <c r="AA310" s="2"/>
      <c r="AB310" s="2"/>
    </row>
    <row r="311" spans="22:28" ht="15.75" customHeight="1" x14ac:dyDescent="0.15">
      <c r="V311" s="2"/>
      <c r="W311" s="2"/>
      <c r="X311" s="2"/>
      <c r="Y311" s="2"/>
      <c r="Z311" s="2"/>
      <c r="AA311" s="2"/>
      <c r="AB311" s="2"/>
    </row>
    <row r="312" spans="22:28" ht="15.75" customHeight="1" x14ac:dyDescent="0.15">
      <c r="V312" s="2"/>
      <c r="W312" s="2"/>
      <c r="X312" s="2"/>
      <c r="Y312" s="2"/>
      <c r="Z312" s="2"/>
      <c r="AA312" s="2"/>
      <c r="AB312" s="2"/>
    </row>
    <row r="313" spans="22:28" ht="15.75" customHeight="1" x14ac:dyDescent="0.15">
      <c r="V313" s="2"/>
      <c r="W313" s="2"/>
      <c r="X313" s="2"/>
      <c r="Y313" s="2"/>
      <c r="Z313" s="2"/>
      <c r="AA313" s="2"/>
      <c r="AB313" s="2"/>
    </row>
    <row r="314" spans="22:28" ht="15.75" customHeight="1" x14ac:dyDescent="0.15">
      <c r="V314" s="2"/>
      <c r="W314" s="2"/>
      <c r="X314" s="2"/>
      <c r="Y314" s="2"/>
      <c r="Z314" s="2"/>
      <c r="AA314" s="2"/>
      <c r="AB314" s="2"/>
    </row>
    <row r="315" spans="22:28" ht="15.75" customHeight="1" x14ac:dyDescent="0.15">
      <c r="V315" s="2"/>
      <c r="W315" s="2"/>
      <c r="X315" s="2"/>
      <c r="Y315" s="2"/>
      <c r="Z315" s="2"/>
      <c r="AA315" s="2"/>
      <c r="AB315" s="2"/>
    </row>
    <row r="316" spans="22:28" ht="15.75" customHeight="1" x14ac:dyDescent="0.15">
      <c r="V316" s="2"/>
      <c r="W316" s="2"/>
      <c r="X316" s="2"/>
      <c r="Y316" s="2"/>
      <c r="Z316" s="2"/>
      <c r="AA316" s="2"/>
      <c r="AB316" s="2"/>
    </row>
    <row r="317" spans="22:28" ht="15.75" customHeight="1" x14ac:dyDescent="0.15">
      <c r="V317" s="2"/>
      <c r="W317" s="2"/>
      <c r="X317" s="2"/>
      <c r="Y317" s="2"/>
      <c r="Z317" s="2"/>
      <c r="AA317" s="2"/>
      <c r="AB317" s="2"/>
    </row>
    <row r="318" spans="22:28" ht="15.75" customHeight="1" x14ac:dyDescent="0.15">
      <c r="V318" s="2"/>
      <c r="W318" s="2"/>
      <c r="X318" s="2"/>
      <c r="Y318" s="2"/>
      <c r="Z318" s="2"/>
      <c r="AA318" s="2"/>
      <c r="AB318" s="2"/>
    </row>
    <row r="319" spans="22:28" ht="15.75" customHeight="1" x14ac:dyDescent="0.15">
      <c r="V319" s="2"/>
      <c r="W319" s="2"/>
      <c r="X319" s="2"/>
      <c r="Y319" s="2"/>
      <c r="Z319" s="2"/>
      <c r="AA319" s="2"/>
      <c r="AB319" s="2"/>
    </row>
    <row r="320" spans="22:28" ht="15.75" customHeight="1" x14ac:dyDescent="0.15">
      <c r="V320" s="2"/>
      <c r="W320" s="2"/>
      <c r="X320" s="2"/>
      <c r="Y320" s="2"/>
      <c r="Z320" s="2"/>
      <c r="AA320" s="2"/>
      <c r="AB320" s="2"/>
    </row>
    <row r="321" spans="22:28" ht="15.75" customHeight="1" x14ac:dyDescent="0.15">
      <c r="V321" s="2"/>
      <c r="W321" s="2"/>
      <c r="X321" s="2"/>
      <c r="Y321" s="2"/>
      <c r="Z321" s="2"/>
      <c r="AA321" s="2"/>
      <c r="AB321" s="2"/>
    </row>
    <row r="322" spans="22:28" ht="15.75" customHeight="1" x14ac:dyDescent="0.15">
      <c r="V322" s="2"/>
      <c r="W322" s="2"/>
      <c r="X322" s="2"/>
      <c r="Y322" s="2"/>
      <c r="Z322" s="2"/>
      <c r="AA322" s="2"/>
      <c r="AB322" s="2"/>
    </row>
    <row r="323" spans="22:28" ht="15.75" customHeight="1" x14ac:dyDescent="0.15">
      <c r="V323" s="2"/>
      <c r="W323" s="2"/>
      <c r="X323" s="2"/>
      <c r="Y323" s="2"/>
      <c r="Z323" s="2"/>
      <c r="AA323" s="2"/>
      <c r="AB323" s="2"/>
    </row>
    <row r="324" spans="22:28" ht="15.75" customHeight="1" x14ac:dyDescent="0.15">
      <c r="V324" s="2"/>
      <c r="W324" s="2"/>
      <c r="X324" s="2"/>
      <c r="Y324" s="2"/>
      <c r="Z324" s="2"/>
      <c r="AA324" s="2"/>
      <c r="AB324" s="2"/>
    </row>
    <row r="325" spans="22:28" ht="15.75" customHeight="1" x14ac:dyDescent="0.15">
      <c r="V325" s="2"/>
      <c r="W325" s="2"/>
      <c r="X325" s="2"/>
      <c r="Y325" s="2"/>
      <c r="Z325" s="2"/>
      <c r="AA325" s="2"/>
      <c r="AB325" s="2"/>
    </row>
    <row r="326" spans="22:28" ht="15.75" customHeight="1" x14ac:dyDescent="0.15">
      <c r="V326" s="2"/>
      <c r="W326" s="2"/>
      <c r="X326" s="2"/>
      <c r="Y326" s="2"/>
      <c r="Z326" s="2"/>
      <c r="AA326" s="2"/>
      <c r="AB326" s="2"/>
    </row>
    <row r="327" spans="22:28" ht="15.75" customHeight="1" x14ac:dyDescent="0.15">
      <c r="V327" s="2"/>
      <c r="W327" s="2"/>
      <c r="X327" s="2"/>
      <c r="Y327" s="2"/>
      <c r="Z327" s="2"/>
      <c r="AA327" s="2"/>
      <c r="AB327" s="2"/>
    </row>
    <row r="328" spans="22:28" ht="15.75" customHeight="1" x14ac:dyDescent="0.15">
      <c r="V328" s="2"/>
      <c r="W328" s="2"/>
      <c r="X328" s="2"/>
      <c r="Y328" s="2"/>
      <c r="Z328" s="2"/>
      <c r="AA328" s="2"/>
      <c r="AB328" s="2"/>
    </row>
    <row r="329" spans="22:28" ht="15.75" customHeight="1" x14ac:dyDescent="0.15">
      <c r="V329" s="2"/>
      <c r="W329" s="2"/>
      <c r="X329" s="2"/>
      <c r="Y329" s="2"/>
      <c r="Z329" s="2"/>
      <c r="AA329" s="2"/>
      <c r="AB329" s="2"/>
    </row>
    <row r="330" spans="22:28" ht="15.75" customHeight="1" x14ac:dyDescent="0.15">
      <c r="V330" s="2"/>
      <c r="W330" s="2"/>
      <c r="X330" s="2"/>
      <c r="Y330" s="2"/>
      <c r="Z330" s="2"/>
      <c r="AA330" s="2"/>
      <c r="AB330" s="2"/>
    </row>
    <row r="331" spans="22:28" ht="15.75" customHeight="1" x14ac:dyDescent="0.15">
      <c r="V331" s="2"/>
      <c r="W331" s="2"/>
      <c r="X331" s="2"/>
      <c r="Y331" s="2"/>
      <c r="Z331" s="2"/>
      <c r="AA331" s="2"/>
      <c r="AB331" s="2"/>
    </row>
    <row r="332" spans="22:28" ht="15.75" customHeight="1" x14ac:dyDescent="0.15">
      <c r="V332" s="2"/>
      <c r="W332" s="2"/>
      <c r="X332" s="2"/>
      <c r="Y332" s="2"/>
      <c r="Z332" s="2"/>
      <c r="AA332" s="2"/>
      <c r="AB332" s="2"/>
    </row>
    <row r="333" spans="22:28" ht="15.75" customHeight="1" x14ac:dyDescent="0.15">
      <c r="V333" s="2"/>
      <c r="W333" s="2"/>
      <c r="X333" s="2"/>
      <c r="Y333" s="2"/>
      <c r="Z333" s="2"/>
      <c r="AA333" s="2"/>
      <c r="AB333" s="2"/>
    </row>
    <row r="334" spans="22:28" ht="15.75" customHeight="1" x14ac:dyDescent="0.15">
      <c r="V334" s="2"/>
      <c r="W334" s="2"/>
      <c r="X334" s="2"/>
      <c r="Y334" s="2"/>
      <c r="Z334" s="2"/>
      <c r="AA334" s="2"/>
      <c r="AB334" s="2"/>
    </row>
    <row r="335" spans="22:28" ht="15.75" customHeight="1" x14ac:dyDescent="0.15">
      <c r="V335" s="2"/>
      <c r="W335" s="2"/>
      <c r="X335" s="2"/>
      <c r="Y335" s="2"/>
      <c r="Z335" s="2"/>
      <c r="AA335" s="2"/>
      <c r="AB335" s="2"/>
    </row>
    <row r="336" spans="22:28" ht="15.75" customHeight="1" x14ac:dyDescent="0.15">
      <c r="V336" s="2"/>
      <c r="W336" s="2"/>
      <c r="X336" s="2"/>
      <c r="Y336" s="2"/>
      <c r="Z336" s="2"/>
      <c r="AA336" s="2"/>
      <c r="AB336" s="2"/>
    </row>
    <row r="337" spans="22:28" ht="15.75" customHeight="1" x14ac:dyDescent="0.15">
      <c r="V337" s="2"/>
      <c r="W337" s="2"/>
      <c r="X337" s="2"/>
      <c r="Y337" s="2"/>
      <c r="Z337" s="2"/>
      <c r="AA337" s="2"/>
      <c r="AB337" s="2"/>
    </row>
    <row r="338" spans="22:28" ht="15.75" customHeight="1" x14ac:dyDescent="0.15">
      <c r="V338" s="2"/>
      <c r="W338" s="2"/>
      <c r="X338" s="2"/>
      <c r="Y338" s="2"/>
      <c r="Z338" s="2"/>
      <c r="AA338" s="2"/>
      <c r="AB338" s="2"/>
    </row>
    <row r="339" spans="22:28" ht="15.75" customHeight="1" x14ac:dyDescent="0.15">
      <c r="V339" s="2"/>
      <c r="W339" s="2"/>
      <c r="X339" s="2"/>
      <c r="Y339" s="2"/>
      <c r="Z339" s="2"/>
      <c r="AA339" s="2"/>
      <c r="AB339" s="2"/>
    </row>
    <row r="340" spans="22:28" ht="15.75" customHeight="1" x14ac:dyDescent="0.15">
      <c r="V340" s="2"/>
      <c r="W340" s="2"/>
      <c r="X340" s="2"/>
      <c r="Y340" s="2"/>
      <c r="Z340" s="2"/>
      <c r="AA340" s="2"/>
      <c r="AB340" s="2"/>
    </row>
    <row r="341" spans="22:28" ht="15.75" customHeight="1" x14ac:dyDescent="0.15">
      <c r="V341" s="2"/>
      <c r="W341" s="2"/>
      <c r="X341" s="2"/>
      <c r="Y341" s="2"/>
      <c r="Z341" s="2"/>
      <c r="AA341" s="2"/>
      <c r="AB341" s="2"/>
    </row>
    <row r="342" spans="22:28" ht="15.75" customHeight="1" x14ac:dyDescent="0.15">
      <c r="V342" s="2"/>
      <c r="W342" s="2"/>
      <c r="X342" s="2"/>
      <c r="Y342" s="2"/>
      <c r="Z342" s="2"/>
      <c r="AA342" s="2"/>
      <c r="AB342" s="2"/>
    </row>
    <row r="343" spans="22:28" ht="15.75" customHeight="1" x14ac:dyDescent="0.15">
      <c r="V343" s="2"/>
      <c r="W343" s="2"/>
      <c r="X343" s="2"/>
      <c r="Y343" s="2"/>
      <c r="Z343" s="2"/>
      <c r="AA343" s="2"/>
      <c r="AB343" s="2"/>
    </row>
    <row r="344" spans="22:28" ht="15.75" customHeight="1" x14ac:dyDescent="0.15">
      <c r="V344" s="2"/>
      <c r="W344" s="2"/>
      <c r="X344" s="2"/>
      <c r="Y344" s="2"/>
      <c r="Z344" s="2"/>
      <c r="AA344" s="2"/>
      <c r="AB344" s="2"/>
    </row>
    <row r="345" spans="22:28" ht="15.75" customHeight="1" x14ac:dyDescent="0.15">
      <c r="V345" s="2"/>
      <c r="W345" s="2"/>
      <c r="X345" s="2"/>
      <c r="Y345" s="2"/>
      <c r="Z345" s="2"/>
      <c r="AA345" s="2"/>
      <c r="AB345" s="2"/>
    </row>
    <row r="346" spans="22:28" ht="15.75" customHeight="1" x14ac:dyDescent="0.15">
      <c r="V346" s="2"/>
      <c r="W346" s="2"/>
      <c r="X346" s="2"/>
      <c r="Y346" s="2"/>
      <c r="Z346" s="2"/>
      <c r="AA346" s="2"/>
      <c r="AB346" s="2"/>
    </row>
    <row r="347" spans="22:28" ht="15.75" customHeight="1" x14ac:dyDescent="0.15">
      <c r="V347" s="2"/>
      <c r="W347" s="2"/>
      <c r="X347" s="2"/>
      <c r="Y347" s="2"/>
      <c r="Z347" s="2"/>
      <c r="AA347" s="2"/>
      <c r="AB347" s="2"/>
    </row>
    <row r="348" spans="22:28" ht="15.75" customHeight="1" x14ac:dyDescent="0.15">
      <c r="V348" s="2"/>
      <c r="W348" s="2"/>
      <c r="X348" s="2"/>
      <c r="Y348" s="2"/>
      <c r="Z348" s="2"/>
      <c r="AA348" s="2"/>
      <c r="AB348" s="2"/>
    </row>
    <row r="349" spans="22:28" ht="15.75" customHeight="1" x14ac:dyDescent="0.15">
      <c r="V349" s="2"/>
      <c r="W349" s="2"/>
      <c r="X349" s="2"/>
      <c r="Y349" s="2"/>
      <c r="Z349" s="2"/>
      <c r="AA349" s="2"/>
      <c r="AB349" s="2"/>
    </row>
    <row r="350" spans="22:28" ht="15.75" customHeight="1" x14ac:dyDescent="0.15">
      <c r="V350" s="2"/>
      <c r="W350" s="2"/>
      <c r="X350" s="2"/>
      <c r="Y350" s="2"/>
      <c r="Z350" s="2"/>
      <c r="AA350" s="2"/>
      <c r="AB350" s="2"/>
    </row>
    <row r="351" spans="22:28" ht="15.75" customHeight="1" x14ac:dyDescent="0.15">
      <c r="V351" s="2"/>
      <c r="W351" s="2"/>
      <c r="X351" s="2"/>
      <c r="Y351" s="2"/>
      <c r="Z351" s="2"/>
      <c r="AA351" s="2"/>
      <c r="AB351" s="2"/>
    </row>
    <row r="352" spans="22:28" ht="15.75" customHeight="1" x14ac:dyDescent="0.15">
      <c r="V352" s="2"/>
      <c r="W352" s="2"/>
      <c r="X352" s="2"/>
      <c r="Y352" s="2"/>
      <c r="Z352" s="2"/>
      <c r="AA352" s="2"/>
      <c r="AB352" s="2"/>
    </row>
    <row r="353" spans="22:28" ht="15.75" customHeight="1" x14ac:dyDescent="0.15">
      <c r="V353" s="2"/>
      <c r="W353" s="2"/>
      <c r="X353" s="2"/>
      <c r="Y353" s="2"/>
      <c r="Z353" s="2"/>
      <c r="AA353" s="2"/>
      <c r="AB353" s="2"/>
    </row>
    <row r="354" spans="22:28" ht="15.75" customHeight="1" x14ac:dyDescent="0.15">
      <c r="V354" s="2"/>
      <c r="W354" s="2"/>
      <c r="X354" s="2"/>
      <c r="Y354" s="2"/>
      <c r="Z354" s="2"/>
      <c r="AA354" s="2"/>
      <c r="AB354" s="2"/>
    </row>
    <row r="355" spans="22:28" ht="15.75" customHeight="1" x14ac:dyDescent="0.15">
      <c r="V355" s="2"/>
      <c r="W355" s="2"/>
      <c r="X355" s="2"/>
      <c r="Y355" s="2"/>
      <c r="Z355" s="2"/>
      <c r="AA355" s="2"/>
      <c r="AB355" s="2"/>
    </row>
    <row r="356" spans="22:28" ht="15.75" customHeight="1" x14ac:dyDescent="0.15">
      <c r="V356" s="2"/>
      <c r="W356" s="2"/>
      <c r="X356" s="2"/>
      <c r="Y356" s="2"/>
      <c r="Z356" s="2"/>
      <c r="AA356" s="2"/>
      <c r="AB356" s="2"/>
    </row>
    <row r="357" spans="22:28" ht="15.75" customHeight="1" x14ac:dyDescent="0.15">
      <c r="V357" s="2"/>
      <c r="W357" s="2"/>
      <c r="X357" s="2"/>
      <c r="Y357" s="2"/>
      <c r="Z357" s="2"/>
      <c r="AA357" s="2"/>
      <c r="AB357" s="2"/>
    </row>
    <row r="358" spans="22:28" ht="15.75" customHeight="1" x14ac:dyDescent="0.15">
      <c r="V358" s="2"/>
      <c r="W358" s="2"/>
      <c r="X358" s="2"/>
      <c r="Y358" s="2"/>
      <c r="Z358" s="2"/>
      <c r="AA358" s="2"/>
      <c r="AB358" s="2"/>
    </row>
    <row r="359" spans="22:28" ht="15.75" customHeight="1" x14ac:dyDescent="0.15">
      <c r="V359" s="2"/>
      <c r="W359" s="2"/>
      <c r="X359" s="2"/>
      <c r="Y359" s="2"/>
      <c r="Z359" s="2"/>
      <c r="AA359" s="2"/>
      <c r="AB359" s="2"/>
    </row>
    <row r="360" spans="22:28" ht="15.75" customHeight="1" x14ac:dyDescent="0.15">
      <c r="V360" s="2"/>
      <c r="W360" s="2"/>
      <c r="X360" s="2"/>
      <c r="Y360" s="2"/>
      <c r="Z360" s="2"/>
      <c r="AA360" s="2"/>
      <c r="AB360" s="2"/>
    </row>
    <row r="361" spans="22:28" ht="15.75" customHeight="1" x14ac:dyDescent="0.15">
      <c r="V361" s="2"/>
      <c r="W361" s="2"/>
      <c r="X361" s="2"/>
      <c r="Y361" s="2"/>
      <c r="Z361" s="2"/>
      <c r="AA361" s="2"/>
      <c r="AB361" s="2"/>
    </row>
    <row r="362" spans="22:28" ht="15.75" customHeight="1" x14ac:dyDescent="0.15">
      <c r="V362" s="2"/>
      <c r="W362" s="2"/>
      <c r="X362" s="2"/>
      <c r="Y362" s="2"/>
      <c r="Z362" s="2"/>
      <c r="AA362" s="2"/>
      <c r="AB362" s="2"/>
    </row>
    <row r="363" spans="22:28" ht="15.75" customHeight="1" x14ac:dyDescent="0.15">
      <c r="V363" s="2"/>
      <c r="W363" s="2"/>
      <c r="X363" s="2"/>
      <c r="Y363" s="2"/>
      <c r="Z363" s="2"/>
      <c r="AA363" s="2"/>
      <c r="AB363" s="2"/>
    </row>
    <row r="364" spans="22:28" ht="15.75" customHeight="1" x14ac:dyDescent="0.15">
      <c r="V364" s="2"/>
      <c r="W364" s="2"/>
      <c r="X364" s="2"/>
      <c r="Y364" s="2"/>
      <c r="Z364" s="2"/>
      <c r="AA364" s="2"/>
      <c r="AB364" s="2"/>
    </row>
    <row r="365" spans="22:28" ht="15.75" customHeight="1" x14ac:dyDescent="0.15">
      <c r="V365" s="2"/>
      <c r="W365" s="2"/>
      <c r="X365" s="2"/>
      <c r="Y365" s="2"/>
      <c r="Z365" s="2"/>
      <c r="AA365" s="2"/>
      <c r="AB365" s="2"/>
    </row>
    <row r="366" spans="22:28" ht="15.75" customHeight="1" x14ac:dyDescent="0.15">
      <c r="V366" s="2"/>
      <c r="W366" s="2"/>
      <c r="X366" s="2"/>
      <c r="Y366" s="2"/>
      <c r="Z366" s="2"/>
      <c r="AA366" s="2"/>
      <c r="AB366" s="2"/>
    </row>
    <row r="367" spans="22:28" ht="15.75" customHeight="1" x14ac:dyDescent="0.15">
      <c r="V367" s="2"/>
      <c r="W367" s="2"/>
      <c r="X367" s="2"/>
      <c r="Y367" s="2"/>
      <c r="Z367" s="2"/>
      <c r="AA367" s="2"/>
      <c r="AB367" s="2"/>
    </row>
    <row r="368" spans="22:28" ht="15.75" customHeight="1" x14ac:dyDescent="0.15">
      <c r="V368" s="2"/>
      <c r="W368" s="2"/>
      <c r="X368" s="2"/>
      <c r="Y368" s="2"/>
      <c r="Z368" s="2"/>
      <c r="AA368" s="2"/>
      <c r="AB368" s="2"/>
    </row>
    <row r="369" spans="22:28" ht="15.75" customHeight="1" x14ac:dyDescent="0.15">
      <c r="V369" s="2"/>
      <c r="W369" s="2"/>
      <c r="X369" s="2"/>
      <c r="Y369" s="2"/>
      <c r="Z369" s="2"/>
      <c r="AA369" s="2"/>
      <c r="AB369" s="2"/>
    </row>
    <row r="370" spans="22:28" ht="15.75" customHeight="1" x14ac:dyDescent="0.15">
      <c r="V370" s="2"/>
      <c r="W370" s="2"/>
      <c r="X370" s="2"/>
      <c r="Y370" s="2"/>
      <c r="Z370" s="2"/>
      <c r="AA370" s="2"/>
      <c r="AB370" s="2"/>
    </row>
    <row r="371" spans="22:28" ht="15.75" customHeight="1" x14ac:dyDescent="0.15">
      <c r="V371" s="2"/>
      <c r="W371" s="2"/>
      <c r="X371" s="2"/>
      <c r="Y371" s="2"/>
      <c r="Z371" s="2"/>
      <c r="AA371" s="2"/>
      <c r="AB371" s="2"/>
    </row>
    <row r="372" spans="22:28" ht="15.75" customHeight="1" x14ac:dyDescent="0.15">
      <c r="V372" s="2"/>
      <c r="W372" s="2"/>
      <c r="X372" s="2"/>
      <c r="Y372" s="2"/>
      <c r="Z372" s="2"/>
      <c r="AA372" s="2"/>
      <c r="AB372" s="2"/>
    </row>
    <row r="373" spans="22:28" ht="15.75" customHeight="1" x14ac:dyDescent="0.15">
      <c r="V373" s="2"/>
      <c r="W373" s="2"/>
      <c r="X373" s="2"/>
      <c r="Y373" s="2"/>
      <c r="Z373" s="2"/>
      <c r="AA373" s="2"/>
      <c r="AB373" s="2"/>
    </row>
    <row r="374" spans="22:28" ht="15.75" customHeight="1" x14ac:dyDescent="0.15">
      <c r="V374" s="2"/>
      <c r="W374" s="2"/>
      <c r="X374" s="2"/>
      <c r="Y374" s="2"/>
      <c r="Z374" s="2"/>
      <c r="AA374" s="2"/>
      <c r="AB374" s="2"/>
    </row>
    <row r="375" spans="22:28" ht="15.75" customHeight="1" x14ac:dyDescent="0.15">
      <c r="V375" s="2"/>
      <c r="W375" s="2"/>
      <c r="X375" s="2"/>
      <c r="Y375" s="2"/>
      <c r="Z375" s="2"/>
      <c r="AA375" s="2"/>
      <c r="AB375" s="2"/>
    </row>
    <row r="376" spans="22:28" ht="15.75" customHeight="1" x14ac:dyDescent="0.15">
      <c r="V376" s="2"/>
      <c r="W376" s="2"/>
      <c r="X376" s="2"/>
      <c r="Y376" s="2"/>
      <c r="Z376" s="2"/>
      <c r="AA376" s="2"/>
      <c r="AB376" s="2"/>
    </row>
    <row r="377" spans="22:28" ht="15.75" customHeight="1" x14ac:dyDescent="0.15">
      <c r="V377" s="2"/>
      <c r="W377" s="2"/>
      <c r="X377" s="2"/>
      <c r="Y377" s="2"/>
      <c r="Z377" s="2"/>
      <c r="AA377" s="2"/>
      <c r="AB377" s="2"/>
    </row>
    <row r="378" spans="22:28" ht="15.75" customHeight="1" x14ac:dyDescent="0.15">
      <c r="V378" s="2"/>
      <c r="W378" s="2"/>
      <c r="X378" s="2"/>
      <c r="Y378" s="2"/>
      <c r="Z378" s="2"/>
      <c r="AA378" s="2"/>
      <c r="AB378" s="2"/>
    </row>
    <row r="379" spans="22:28" ht="15.75" customHeight="1" x14ac:dyDescent="0.15">
      <c r="V379" s="2"/>
      <c r="W379" s="2"/>
      <c r="X379" s="2"/>
      <c r="Y379" s="2"/>
      <c r="Z379" s="2"/>
      <c r="AA379" s="2"/>
      <c r="AB379" s="2"/>
    </row>
    <row r="380" spans="22:28" ht="15.75" customHeight="1" x14ac:dyDescent="0.15">
      <c r="V380" s="2"/>
      <c r="W380" s="2"/>
      <c r="X380" s="2"/>
      <c r="Y380" s="2"/>
      <c r="Z380" s="2"/>
      <c r="AA380" s="2"/>
      <c r="AB380" s="2"/>
    </row>
    <row r="381" spans="22:28" ht="15.75" customHeight="1" x14ac:dyDescent="0.15">
      <c r="V381" s="2"/>
      <c r="W381" s="2"/>
      <c r="X381" s="2"/>
      <c r="Y381" s="2"/>
      <c r="Z381" s="2"/>
      <c r="AA381" s="2"/>
      <c r="AB381" s="2"/>
    </row>
    <row r="382" spans="22:28" ht="15.75" customHeight="1" x14ac:dyDescent="0.15">
      <c r="V382" s="2"/>
      <c r="W382" s="2"/>
      <c r="X382" s="2"/>
      <c r="Y382" s="2"/>
      <c r="Z382" s="2"/>
      <c r="AA382" s="2"/>
      <c r="AB382" s="2"/>
    </row>
    <row r="383" spans="22:28" ht="15.75" customHeight="1" x14ac:dyDescent="0.15">
      <c r="V383" s="2"/>
      <c r="W383" s="2"/>
      <c r="X383" s="2"/>
      <c r="Y383" s="2"/>
      <c r="Z383" s="2"/>
      <c r="AA383" s="2"/>
      <c r="AB383" s="2"/>
    </row>
    <row r="384" spans="22:28" ht="15.75" customHeight="1" x14ac:dyDescent="0.15">
      <c r="V384" s="2"/>
      <c r="W384" s="2"/>
      <c r="X384" s="2"/>
      <c r="Y384" s="2"/>
      <c r="Z384" s="2"/>
      <c r="AA384" s="2"/>
      <c r="AB384" s="2"/>
    </row>
    <row r="385" spans="22:28" ht="15.75" customHeight="1" x14ac:dyDescent="0.15">
      <c r="V385" s="2"/>
      <c r="W385" s="2"/>
      <c r="X385" s="2"/>
      <c r="Y385" s="2"/>
      <c r="Z385" s="2"/>
      <c r="AA385" s="2"/>
      <c r="AB385" s="2"/>
    </row>
    <row r="386" spans="22:28" ht="15.75" customHeight="1" x14ac:dyDescent="0.15">
      <c r="V386" s="2"/>
      <c r="W386" s="2"/>
      <c r="X386" s="2"/>
      <c r="Y386" s="2"/>
      <c r="Z386" s="2"/>
      <c r="AA386" s="2"/>
      <c r="AB386" s="2"/>
    </row>
    <row r="387" spans="22:28" ht="15.75" customHeight="1" x14ac:dyDescent="0.15">
      <c r="V387" s="2"/>
      <c r="W387" s="2"/>
      <c r="X387" s="2"/>
      <c r="Y387" s="2"/>
      <c r="Z387" s="2"/>
      <c r="AA387" s="2"/>
      <c r="AB387" s="2"/>
    </row>
    <row r="388" spans="22:28" ht="15.75" customHeight="1" x14ac:dyDescent="0.15">
      <c r="V388" s="2"/>
      <c r="W388" s="2"/>
      <c r="X388" s="2"/>
      <c r="Y388" s="2"/>
      <c r="Z388" s="2"/>
      <c r="AA388" s="2"/>
      <c r="AB388" s="2"/>
    </row>
    <row r="389" spans="22:28" ht="15.75" customHeight="1" x14ac:dyDescent="0.15">
      <c r="V389" s="2"/>
      <c r="W389" s="2"/>
      <c r="X389" s="2"/>
      <c r="Y389" s="2"/>
      <c r="Z389" s="2"/>
      <c r="AA389" s="2"/>
      <c r="AB389" s="2"/>
    </row>
    <row r="390" spans="22:28" ht="15.75" customHeight="1" x14ac:dyDescent="0.15">
      <c r="V390" s="2"/>
      <c r="W390" s="2"/>
      <c r="X390" s="2"/>
      <c r="Y390" s="2"/>
      <c r="Z390" s="2"/>
      <c r="AA390" s="2"/>
      <c r="AB390" s="2"/>
    </row>
    <row r="391" spans="22:28" ht="15.75" customHeight="1" x14ac:dyDescent="0.15">
      <c r="V391" s="2"/>
      <c r="W391" s="2"/>
      <c r="X391" s="2"/>
      <c r="Y391" s="2"/>
      <c r="Z391" s="2"/>
      <c r="AA391" s="2"/>
      <c r="AB391" s="2"/>
    </row>
    <row r="392" spans="22:28" ht="15.75" customHeight="1" x14ac:dyDescent="0.15">
      <c r="V392" s="2"/>
      <c r="W392" s="2"/>
      <c r="X392" s="2"/>
      <c r="Y392" s="2"/>
      <c r="Z392" s="2"/>
      <c r="AA392" s="2"/>
      <c r="AB392" s="2"/>
    </row>
    <row r="393" spans="22:28" ht="15.75" customHeight="1" x14ac:dyDescent="0.15">
      <c r="V393" s="2"/>
      <c r="W393" s="2"/>
      <c r="X393" s="2"/>
      <c r="Y393" s="2"/>
      <c r="Z393" s="2"/>
      <c r="AA393" s="2"/>
      <c r="AB393" s="2"/>
    </row>
    <row r="394" spans="22:28" ht="15.75" customHeight="1" x14ac:dyDescent="0.15">
      <c r="V394" s="2"/>
      <c r="W394" s="2"/>
      <c r="X394" s="2"/>
      <c r="Y394" s="2"/>
      <c r="Z394" s="2"/>
      <c r="AA394" s="2"/>
      <c r="AB394" s="2"/>
    </row>
    <row r="395" spans="22:28" ht="15.75" customHeight="1" x14ac:dyDescent="0.15">
      <c r="V395" s="2"/>
      <c r="W395" s="2"/>
      <c r="X395" s="2"/>
      <c r="Y395" s="2"/>
      <c r="Z395" s="2"/>
      <c r="AA395" s="2"/>
      <c r="AB395" s="2"/>
    </row>
    <row r="396" spans="22:28" ht="15.75" customHeight="1" x14ac:dyDescent="0.15">
      <c r="V396" s="2"/>
      <c r="W396" s="2"/>
      <c r="X396" s="2"/>
      <c r="Y396" s="2"/>
      <c r="Z396" s="2"/>
      <c r="AA396" s="2"/>
      <c r="AB396" s="2"/>
    </row>
    <row r="397" spans="22:28" ht="15.75" customHeight="1" x14ac:dyDescent="0.15">
      <c r="V397" s="2"/>
      <c r="W397" s="2"/>
      <c r="X397" s="2"/>
      <c r="Y397" s="2"/>
      <c r="Z397" s="2"/>
      <c r="AA397" s="2"/>
      <c r="AB397" s="2"/>
    </row>
    <row r="398" spans="22:28" ht="15.75" customHeight="1" x14ac:dyDescent="0.15">
      <c r="V398" s="2"/>
      <c r="W398" s="2"/>
      <c r="X398" s="2"/>
      <c r="Y398" s="2"/>
      <c r="Z398" s="2"/>
      <c r="AA398" s="2"/>
      <c r="AB398" s="2"/>
    </row>
    <row r="399" spans="22:28" ht="15.75" customHeight="1" x14ac:dyDescent="0.15">
      <c r="V399" s="2"/>
      <c r="W399" s="2"/>
      <c r="X399" s="2"/>
      <c r="Y399" s="2"/>
      <c r="Z399" s="2"/>
      <c r="AA399" s="2"/>
      <c r="AB399" s="2"/>
    </row>
    <row r="400" spans="22:28" ht="15.75" customHeight="1" x14ac:dyDescent="0.15">
      <c r="V400" s="2"/>
      <c r="W400" s="2"/>
      <c r="X400" s="2"/>
      <c r="Y400" s="2"/>
      <c r="Z400" s="2"/>
      <c r="AA400" s="2"/>
      <c r="AB400" s="2"/>
    </row>
    <row r="401" spans="22:28" ht="15.75" customHeight="1" x14ac:dyDescent="0.15">
      <c r="V401" s="2"/>
      <c r="W401" s="2"/>
      <c r="X401" s="2"/>
      <c r="Y401" s="2"/>
      <c r="Z401" s="2"/>
      <c r="AA401" s="2"/>
      <c r="AB401" s="2"/>
    </row>
    <row r="402" spans="22:28" ht="15.75" customHeight="1" x14ac:dyDescent="0.15">
      <c r="V402" s="2"/>
      <c r="W402" s="2"/>
      <c r="X402" s="2"/>
      <c r="Y402" s="2"/>
      <c r="Z402" s="2"/>
      <c r="AA402" s="2"/>
      <c r="AB402" s="2"/>
    </row>
    <row r="403" spans="22:28" ht="15.75" customHeight="1" x14ac:dyDescent="0.15">
      <c r="V403" s="2"/>
      <c r="W403" s="2"/>
      <c r="X403" s="2"/>
      <c r="Y403" s="2"/>
      <c r="Z403" s="2"/>
      <c r="AA403" s="2"/>
      <c r="AB403" s="2"/>
    </row>
    <row r="404" spans="22:28" ht="15.75" customHeight="1" x14ac:dyDescent="0.15">
      <c r="V404" s="2"/>
      <c r="W404" s="2"/>
      <c r="X404" s="2"/>
      <c r="Y404" s="2"/>
      <c r="Z404" s="2"/>
      <c r="AA404" s="2"/>
      <c r="AB404" s="2"/>
    </row>
    <row r="405" spans="22:28" ht="15.75" customHeight="1" x14ac:dyDescent="0.15">
      <c r="V405" s="2"/>
      <c r="W405" s="2"/>
      <c r="X405" s="2"/>
      <c r="Y405" s="2"/>
      <c r="Z405" s="2"/>
      <c r="AA405" s="2"/>
      <c r="AB405" s="2"/>
    </row>
    <row r="406" spans="22:28" ht="15.75" customHeight="1" x14ac:dyDescent="0.15">
      <c r="V406" s="2"/>
      <c r="W406" s="2"/>
      <c r="X406" s="2"/>
      <c r="Y406" s="2"/>
      <c r="Z406" s="2"/>
      <c r="AA406" s="2"/>
      <c r="AB406" s="2"/>
    </row>
    <row r="407" spans="22:28" ht="15.75" customHeight="1" x14ac:dyDescent="0.15">
      <c r="V407" s="2"/>
      <c r="W407" s="2"/>
      <c r="X407" s="2"/>
      <c r="Y407" s="2"/>
      <c r="Z407" s="2"/>
      <c r="AA407" s="2"/>
      <c r="AB407" s="2"/>
    </row>
    <row r="408" spans="22:28" ht="15.75" customHeight="1" x14ac:dyDescent="0.15">
      <c r="V408" s="2"/>
      <c r="W408" s="2"/>
      <c r="X408" s="2"/>
      <c r="Y408" s="2"/>
      <c r="Z408" s="2"/>
      <c r="AA408" s="2"/>
      <c r="AB408" s="2"/>
    </row>
    <row r="409" spans="22:28" ht="15.75" customHeight="1" x14ac:dyDescent="0.15">
      <c r="V409" s="2"/>
      <c r="W409" s="2"/>
      <c r="X409" s="2"/>
      <c r="Y409" s="2"/>
      <c r="Z409" s="2"/>
      <c r="AA409" s="2"/>
      <c r="AB409" s="2"/>
    </row>
    <row r="410" spans="22:28" ht="15.75" customHeight="1" x14ac:dyDescent="0.15">
      <c r="V410" s="2"/>
      <c r="W410" s="2"/>
      <c r="X410" s="2"/>
      <c r="Y410" s="2"/>
      <c r="Z410" s="2"/>
      <c r="AA410" s="2"/>
      <c r="AB410" s="2"/>
    </row>
    <row r="411" spans="22:28" ht="15.75" customHeight="1" x14ac:dyDescent="0.15">
      <c r="V411" s="2"/>
      <c r="W411" s="2"/>
      <c r="X411" s="2"/>
      <c r="Y411" s="2"/>
      <c r="Z411" s="2"/>
      <c r="AA411" s="2"/>
      <c r="AB411" s="2"/>
    </row>
    <row r="412" spans="22:28" ht="15.75" customHeight="1" x14ac:dyDescent="0.15">
      <c r="V412" s="2"/>
      <c r="W412" s="2"/>
      <c r="X412" s="2"/>
      <c r="Y412" s="2"/>
      <c r="Z412" s="2"/>
      <c r="AA412" s="2"/>
      <c r="AB412" s="2"/>
    </row>
    <row r="413" spans="22:28" ht="15.75" customHeight="1" x14ac:dyDescent="0.15">
      <c r="V413" s="2"/>
      <c r="W413" s="2"/>
      <c r="X413" s="2"/>
      <c r="Y413" s="2"/>
      <c r="Z413" s="2"/>
      <c r="AA413" s="2"/>
      <c r="AB413" s="2"/>
    </row>
    <row r="414" spans="22:28" ht="15.75" customHeight="1" x14ac:dyDescent="0.15">
      <c r="V414" s="2"/>
      <c r="W414" s="2"/>
      <c r="X414" s="2"/>
      <c r="Y414" s="2"/>
      <c r="Z414" s="2"/>
      <c r="AA414" s="2"/>
      <c r="AB414" s="2"/>
    </row>
    <row r="415" spans="22:28" ht="15.75" customHeight="1" x14ac:dyDescent="0.15">
      <c r="V415" s="2"/>
      <c r="W415" s="2"/>
      <c r="X415" s="2"/>
      <c r="Y415" s="2"/>
      <c r="Z415" s="2"/>
      <c r="AA415" s="2"/>
      <c r="AB415" s="2"/>
    </row>
    <row r="416" spans="22:28" ht="15.75" customHeight="1" x14ac:dyDescent="0.15">
      <c r="V416" s="2"/>
      <c r="W416" s="2"/>
      <c r="X416" s="2"/>
      <c r="Y416" s="2"/>
      <c r="Z416" s="2"/>
      <c r="AA416" s="2"/>
      <c r="AB416" s="2"/>
    </row>
    <row r="417" spans="22:28" ht="15.75" customHeight="1" x14ac:dyDescent="0.15">
      <c r="V417" s="2"/>
      <c r="W417" s="2"/>
      <c r="X417" s="2"/>
      <c r="Y417" s="2"/>
      <c r="Z417" s="2"/>
      <c r="AA417" s="2"/>
      <c r="AB417" s="2"/>
    </row>
    <row r="418" spans="22:28" ht="15.75" customHeight="1" x14ac:dyDescent="0.15">
      <c r="V418" s="2"/>
      <c r="W418" s="2"/>
      <c r="X418" s="2"/>
      <c r="Y418" s="2"/>
      <c r="Z418" s="2"/>
      <c r="AA418" s="2"/>
      <c r="AB418" s="2"/>
    </row>
    <row r="419" spans="22:28" ht="15.75" customHeight="1" x14ac:dyDescent="0.15">
      <c r="V419" s="2"/>
      <c r="W419" s="2"/>
      <c r="X419" s="2"/>
      <c r="Y419" s="2"/>
      <c r="Z419" s="2"/>
      <c r="AA419" s="2"/>
      <c r="AB419" s="2"/>
    </row>
    <row r="420" spans="22:28" ht="15.75" customHeight="1" x14ac:dyDescent="0.15">
      <c r="V420" s="2"/>
      <c r="W420" s="2"/>
      <c r="X420" s="2"/>
      <c r="Y420" s="2"/>
      <c r="Z420" s="2"/>
      <c r="AA420" s="2"/>
      <c r="AB420" s="2"/>
    </row>
    <row r="421" spans="22:28" ht="15.75" customHeight="1" x14ac:dyDescent="0.15">
      <c r="V421" s="2"/>
      <c r="W421" s="2"/>
      <c r="X421" s="2"/>
      <c r="Y421" s="2"/>
      <c r="Z421" s="2"/>
      <c r="AA421" s="2"/>
      <c r="AB421" s="2"/>
    </row>
    <row r="422" spans="22:28" ht="15.75" customHeight="1" x14ac:dyDescent="0.15">
      <c r="V422" s="2"/>
      <c r="W422" s="2"/>
      <c r="X422" s="2"/>
      <c r="Y422" s="2"/>
      <c r="Z422" s="2"/>
      <c r="AA422" s="2"/>
      <c r="AB422" s="2"/>
    </row>
    <row r="423" spans="22:28" ht="15.75" customHeight="1" x14ac:dyDescent="0.15">
      <c r="V423" s="2"/>
      <c r="W423" s="2"/>
      <c r="X423" s="2"/>
      <c r="Y423" s="2"/>
      <c r="Z423" s="2"/>
      <c r="AA423" s="2"/>
      <c r="AB423" s="2"/>
    </row>
    <row r="424" spans="22:28" ht="15.75" customHeight="1" x14ac:dyDescent="0.15">
      <c r="V424" s="2"/>
      <c r="W424" s="2"/>
      <c r="X424" s="2"/>
      <c r="Y424" s="2"/>
      <c r="Z424" s="2"/>
      <c r="AA424" s="2"/>
      <c r="AB424" s="2"/>
    </row>
    <row r="425" spans="22:28" ht="15.75" customHeight="1" x14ac:dyDescent="0.15">
      <c r="V425" s="2"/>
      <c r="W425" s="2"/>
      <c r="X425" s="2"/>
      <c r="Y425" s="2"/>
      <c r="Z425" s="2"/>
      <c r="AA425" s="2"/>
      <c r="AB425" s="2"/>
    </row>
    <row r="426" spans="22:28" ht="15.75" customHeight="1" x14ac:dyDescent="0.15">
      <c r="V426" s="2"/>
      <c r="W426" s="2"/>
      <c r="X426" s="2"/>
      <c r="Y426" s="2"/>
      <c r="Z426" s="2"/>
      <c r="AA426" s="2"/>
      <c r="AB426" s="2"/>
    </row>
    <row r="427" spans="22:28" ht="15.75" customHeight="1" x14ac:dyDescent="0.15">
      <c r="V427" s="2"/>
      <c r="W427" s="2"/>
      <c r="X427" s="2"/>
      <c r="Y427" s="2"/>
      <c r="Z427" s="2"/>
      <c r="AA427" s="2"/>
      <c r="AB427" s="2"/>
    </row>
    <row r="428" spans="22:28" ht="15.75" customHeight="1" x14ac:dyDescent="0.15">
      <c r="V428" s="2"/>
      <c r="W428" s="2"/>
      <c r="X428" s="2"/>
      <c r="Y428" s="2"/>
      <c r="Z428" s="2"/>
      <c r="AA428" s="2"/>
      <c r="AB428" s="2"/>
    </row>
    <row r="429" spans="22:28" ht="15.75" customHeight="1" x14ac:dyDescent="0.15">
      <c r="V429" s="2"/>
      <c r="W429" s="2"/>
      <c r="X429" s="2"/>
      <c r="Y429" s="2"/>
      <c r="Z429" s="2"/>
      <c r="AA429" s="2"/>
      <c r="AB429" s="2"/>
    </row>
    <row r="430" spans="22:28" ht="15.75" customHeight="1" x14ac:dyDescent="0.15">
      <c r="V430" s="2"/>
      <c r="W430" s="2"/>
      <c r="X430" s="2"/>
      <c r="Y430" s="2"/>
      <c r="Z430" s="2"/>
      <c r="AA430" s="2"/>
      <c r="AB430" s="2"/>
    </row>
    <row r="431" spans="22:28" ht="15.75" customHeight="1" x14ac:dyDescent="0.15">
      <c r="V431" s="2"/>
      <c r="W431" s="2"/>
      <c r="X431" s="2"/>
      <c r="Y431" s="2"/>
      <c r="Z431" s="2"/>
      <c r="AA431" s="2"/>
      <c r="AB431" s="2"/>
    </row>
    <row r="432" spans="22:28" ht="15.75" customHeight="1" x14ac:dyDescent="0.15">
      <c r="V432" s="2"/>
      <c r="W432" s="2"/>
      <c r="X432" s="2"/>
      <c r="Y432" s="2"/>
      <c r="Z432" s="2"/>
      <c r="AA432" s="2"/>
      <c r="AB432" s="2"/>
    </row>
    <row r="433" spans="22:28" ht="15.75" customHeight="1" x14ac:dyDescent="0.15">
      <c r="V433" s="2"/>
      <c r="W433" s="2"/>
      <c r="X433" s="2"/>
      <c r="Y433" s="2"/>
      <c r="Z433" s="2"/>
      <c r="AA433" s="2"/>
      <c r="AB433" s="2"/>
    </row>
    <row r="434" spans="22:28" ht="15.75" customHeight="1" x14ac:dyDescent="0.15">
      <c r="V434" s="2"/>
      <c r="W434" s="2"/>
      <c r="X434" s="2"/>
      <c r="Y434" s="2"/>
      <c r="Z434" s="2"/>
      <c r="AA434" s="2"/>
      <c r="AB434" s="2"/>
    </row>
    <row r="435" spans="22:28" ht="15.75" customHeight="1" x14ac:dyDescent="0.15">
      <c r="V435" s="2"/>
      <c r="W435" s="2"/>
      <c r="X435" s="2"/>
      <c r="Y435" s="2"/>
      <c r="Z435" s="2"/>
      <c r="AA435" s="2"/>
      <c r="AB435" s="2"/>
    </row>
    <row r="436" spans="22:28" ht="15.75" customHeight="1" x14ac:dyDescent="0.15">
      <c r="V436" s="2"/>
      <c r="W436" s="2"/>
      <c r="X436" s="2"/>
      <c r="Y436" s="2"/>
      <c r="Z436" s="2"/>
      <c r="AA436" s="2"/>
      <c r="AB436" s="2"/>
    </row>
    <row r="437" spans="22:28" ht="15.75" customHeight="1" x14ac:dyDescent="0.15">
      <c r="V437" s="2"/>
      <c r="W437" s="2"/>
      <c r="X437" s="2"/>
      <c r="Y437" s="2"/>
      <c r="Z437" s="2"/>
      <c r="AA437" s="2"/>
      <c r="AB437" s="2"/>
    </row>
    <row r="438" spans="22:28" ht="15.75" customHeight="1" x14ac:dyDescent="0.15">
      <c r="V438" s="2"/>
      <c r="W438" s="2"/>
      <c r="X438" s="2"/>
      <c r="Y438" s="2"/>
      <c r="Z438" s="2"/>
      <c r="AA438" s="2"/>
      <c r="AB438" s="2"/>
    </row>
    <row r="439" spans="22:28" ht="15.75" customHeight="1" x14ac:dyDescent="0.15">
      <c r="V439" s="2"/>
      <c r="W439" s="2"/>
      <c r="X439" s="2"/>
      <c r="Y439" s="2"/>
      <c r="Z439" s="2"/>
      <c r="AA439" s="2"/>
      <c r="AB439" s="2"/>
    </row>
    <row r="440" spans="22:28" ht="15.75" customHeight="1" x14ac:dyDescent="0.15">
      <c r="V440" s="2"/>
      <c r="W440" s="2"/>
      <c r="X440" s="2"/>
      <c r="Y440" s="2"/>
      <c r="Z440" s="2"/>
      <c r="AA440" s="2"/>
      <c r="AB440" s="2"/>
    </row>
    <row r="441" spans="22:28" ht="15.75" customHeight="1" x14ac:dyDescent="0.15">
      <c r="V441" s="2"/>
      <c r="W441" s="2"/>
      <c r="X441" s="2"/>
      <c r="Y441" s="2"/>
      <c r="Z441" s="2"/>
      <c r="AA441" s="2"/>
      <c r="AB441" s="2"/>
    </row>
    <row r="442" spans="22:28" ht="15.75" customHeight="1" x14ac:dyDescent="0.15">
      <c r="V442" s="2"/>
      <c r="W442" s="2"/>
      <c r="X442" s="2"/>
      <c r="Y442" s="2"/>
      <c r="Z442" s="2"/>
      <c r="AA442" s="2"/>
      <c r="AB442" s="2"/>
    </row>
    <row r="443" spans="22:28" ht="15.75" customHeight="1" x14ac:dyDescent="0.15">
      <c r="V443" s="2"/>
      <c r="W443" s="2"/>
      <c r="X443" s="2"/>
      <c r="Y443" s="2"/>
      <c r="Z443" s="2"/>
      <c r="AA443" s="2"/>
      <c r="AB443" s="2"/>
    </row>
    <row r="444" spans="22:28" ht="15.75" customHeight="1" x14ac:dyDescent="0.15">
      <c r="V444" s="2"/>
      <c r="W444" s="2"/>
      <c r="X444" s="2"/>
      <c r="Y444" s="2"/>
      <c r="Z444" s="2"/>
      <c r="AA444" s="2"/>
      <c r="AB444" s="2"/>
    </row>
    <row r="445" spans="22:28" ht="15.75" customHeight="1" x14ac:dyDescent="0.15">
      <c r="V445" s="2"/>
      <c r="W445" s="2"/>
      <c r="X445" s="2"/>
      <c r="Y445" s="2"/>
      <c r="Z445" s="2"/>
      <c r="AA445" s="2"/>
      <c r="AB445" s="2"/>
    </row>
    <row r="446" spans="22:28" ht="15.75" customHeight="1" x14ac:dyDescent="0.15">
      <c r="V446" s="2"/>
      <c r="W446" s="2"/>
      <c r="X446" s="2"/>
      <c r="Y446" s="2"/>
      <c r="Z446" s="2"/>
      <c r="AA446" s="2"/>
      <c r="AB446" s="2"/>
    </row>
    <row r="447" spans="22:28" ht="15.75" customHeight="1" x14ac:dyDescent="0.15">
      <c r="V447" s="2"/>
      <c r="W447" s="2"/>
      <c r="X447" s="2"/>
      <c r="Y447" s="2"/>
      <c r="Z447" s="2"/>
      <c r="AA447" s="2"/>
      <c r="AB447" s="2"/>
    </row>
    <row r="448" spans="22:28" ht="15.75" customHeight="1" x14ac:dyDescent="0.15">
      <c r="V448" s="2"/>
      <c r="W448" s="2"/>
      <c r="X448" s="2"/>
      <c r="Y448" s="2"/>
      <c r="Z448" s="2"/>
      <c r="AA448" s="2"/>
      <c r="AB448" s="2"/>
    </row>
    <row r="449" spans="22:28" ht="15.75" customHeight="1" x14ac:dyDescent="0.15">
      <c r="V449" s="2"/>
      <c r="W449" s="2"/>
      <c r="X449" s="2"/>
      <c r="Y449" s="2"/>
      <c r="Z449" s="2"/>
      <c r="AA449" s="2"/>
      <c r="AB449" s="2"/>
    </row>
    <row r="450" spans="22:28" ht="15.75" customHeight="1" x14ac:dyDescent="0.15">
      <c r="V450" s="2"/>
      <c r="W450" s="2"/>
      <c r="X450" s="2"/>
      <c r="Y450" s="2"/>
      <c r="Z450" s="2"/>
      <c r="AA450" s="2"/>
      <c r="AB450" s="2"/>
    </row>
    <row r="451" spans="22:28" ht="15.75" customHeight="1" x14ac:dyDescent="0.15">
      <c r="V451" s="2"/>
      <c r="W451" s="2"/>
      <c r="X451" s="2"/>
      <c r="Y451" s="2"/>
      <c r="Z451" s="2"/>
      <c r="AA451" s="2"/>
      <c r="AB451" s="2"/>
    </row>
    <row r="452" spans="22:28" ht="15.75" customHeight="1" x14ac:dyDescent="0.15">
      <c r="V452" s="2"/>
      <c r="W452" s="2"/>
      <c r="X452" s="2"/>
      <c r="Y452" s="2"/>
      <c r="Z452" s="2"/>
      <c r="AA452" s="2"/>
      <c r="AB452" s="2"/>
    </row>
    <row r="453" spans="22:28" ht="15.75" customHeight="1" x14ac:dyDescent="0.15">
      <c r="V453" s="2"/>
      <c r="W453" s="2"/>
      <c r="X453" s="2"/>
      <c r="Y453" s="2"/>
      <c r="Z453" s="2"/>
      <c r="AA453" s="2"/>
      <c r="AB453" s="2"/>
    </row>
    <row r="454" spans="22:28" ht="15.75" customHeight="1" x14ac:dyDescent="0.15">
      <c r="V454" s="2"/>
      <c r="W454" s="2"/>
      <c r="X454" s="2"/>
      <c r="Y454" s="2"/>
      <c r="Z454" s="2"/>
      <c r="AA454" s="2"/>
      <c r="AB454" s="2"/>
    </row>
    <row r="455" spans="22:28" ht="15.75" customHeight="1" x14ac:dyDescent="0.15">
      <c r="V455" s="2"/>
      <c r="W455" s="2"/>
      <c r="X455" s="2"/>
      <c r="Y455" s="2"/>
      <c r="Z455" s="2"/>
      <c r="AA455" s="2"/>
      <c r="AB455" s="2"/>
    </row>
    <row r="456" spans="22:28" ht="15.75" customHeight="1" x14ac:dyDescent="0.15">
      <c r="V456" s="2"/>
      <c r="W456" s="2"/>
      <c r="X456" s="2"/>
      <c r="Y456" s="2"/>
      <c r="Z456" s="2"/>
      <c r="AA456" s="2"/>
      <c r="AB456" s="2"/>
    </row>
    <row r="457" spans="22:28" ht="15.75" customHeight="1" x14ac:dyDescent="0.15">
      <c r="V457" s="2"/>
      <c r="W457" s="2"/>
      <c r="X457" s="2"/>
      <c r="Y457" s="2"/>
      <c r="Z457" s="2"/>
      <c r="AA457" s="2"/>
      <c r="AB457" s="2"/>
    </row>
    <row r="458" spans="22:28" ht="15.75" customHeight="1" x14ac:dyDescent="0.15">
      <c r="V458" s="2"/>
      <c r="W458" s="2"/>
      <c r="X458" s="2"/>
      <c r="Y458" s="2"/>
      <c r="Z458" s="2"/>
      <c r="AA458" s="2"/>
      <c r="AB458" s="2"/>
    </row>
    <row r="459" spans="22:28" ht="15.75" customHeight="1" x14ac:dyDescent="0.15">
      <c r="V459" s="2"/>
      <c r="W459" s="2"/>
      <c r="X459" s="2"/>
      <c r="Y459" s="2"/>
      <c r="Z459" s="2"/>
      <c r="AA459" s="2"/>
      <c r="AB459" s="2"/>
    </row>
    <row r="460" spans="22:28" ht="15.75" customHeight="1" x14ac:dyDescent="0.15">
      <c r="V460" s="2"/>
      <c r="W460" s="2"/>
      <c r="X460" s="2"/>
      <c r="Y460" s="2"/>
      <c r="Z460" s="2"/>
      <c r="AA460" s="2"/>
      <c r="AB460" s="2"/>
    </row>
    <row r="461" spans="22:28" ht="15.75" customHeight="1" x14ac:dyDescent="0.15">
      <c r="V461" s="2"/>
      <c r="W461" s="2"/>
      <c r="X461" s="2"/>
      <c r="Y461" s="2"/>
      <c r="Z461" s="2"/>
      <c r="AA461" s="2"/>
      <c r="AB461" s="2"/>
    </row>
    <row r="462" spans="22:28" ht="15.75" customHeight="1" x14ac:dyDescent="0.15">
      <c r="V462" s="2"/>
      <c r="W462" s="2"/>
      <c r="X462" s="2"/>
      <c r="Y462" s="2"/>
      <c r="Z462" s="2"/>
      <c r="AA462" s="2"/>
      <c r="AB462" s="2"/>
    </row>
    <row r="463" spans="22:28" ht="15.75" customHeight="1" x14ac:dyDescent="0.15">
      <c r="V463" s="2"/>
      <c r="W463" s="2"/>
      <c r="X463" s="2"/>
      <c r="Y463" s="2"/>
      <c r="Z463" s="2"/>
      <c r="AA463" s="2"/>
      <c r="AB463" s="2"/>
    </row>
    <row r="464" spans="22:28" ht="15.75" customHeight="1" x14ac:dyDescent="0.15">
      <c r="V464" s="2"/>
      <c r="W464" s="2"/>
      <c r="X464" s="2"/>
      <c r="Y464" s="2"/>
      <c r="Z464" s="2"/>
      <c r="AA464" s="2"/>
      <c r="AB464" s="2"/>
    </row>
    <row r="465" spans="22:28" ht="15.75" customHeight="1" x14ac:dyDescent="0.15">
      <c r="V465" s="2"/>
      <c r="W465" s="2"/>
      <c r="X465" s="2"/>
      <c r="Y465" s="2"/>
      <c r="Z465" s="2"/>
      <c r="AA465" s="2"/>
      <c r="AB465" s="2"/>
    </row>
    <row r="466" spans="22:28" ht="15.75" customHeight="1" x14ac:dyDescent="0.15">
      <c r="V466" s="2"/>
      <c r="W466" s="2"/>
      <c r="X466" s="2"/>
      <c r="Y466" s="2"/>
      <c r="Z466" s="2"/>
      <c r="AA466" s="2"/>
      <c r="AB466" s="2"/>
    </row>
    <row r="467" spans="22:28" ht="15.75" customHeight="1" x14ac:dyDescent="0.15">
      <c r="V467" s="2"/>
      <c r="W467" s="2"/>
      <c r="X467" s="2"/>
      <c r="Y467" s="2"/>
      <c r="Z467" s="2"/>
      <c r="AA467" s="2"/>
      <c r="AB467" s="2"/>
    </row>
    <row r="468" spans="22:28" ht="15.75" customHeight="1" x14ac:dyDescent="0.15">
      <c r="V468" s="2"/>
      <c r="W468" s="2"/>
      <c r="X468" s="2"/>
      <c r="Y468" s="2"/>
      <c r="Z468" s="2"/>
      <c r="AA468" s="2"/>
      <c r="AB468" s="2"/>
    </row>
    <row r="469" spans="22:28" ht="15.75" customHeight="1" x14ac:dyDescent="0.15">
      <c r="V469" s="2"/>
      <c r="W469" s="2"/>
      <c r="X469" s="2"/>
      <c r="Y469" s="2"/>
      <c r="Z469" s="2"/>
      <c r="AA469" s="2"/>
      <c r="AB469" s="2"/>
    </row>
    <row r="470" spans="22:28" ht="15.75" customHeight="1" x14ac:dyDescent="0.15">
      <c r="V470" s="2"/>
      <c r="W470" s="2"/>
      <c r="X470" s="2"/>
      <c r="Y470" s="2"/>
      <c r="Z470" s="2"/>
      <c r="AA470" s="2"/>
      <c r="AB470" s="2"/>
    </row>
    <row r="471" spans="22:28" ht="15.75" customHeight="1" x14ac:dyDescent="0.15">
      <c r="V471" s="2"/>
      <c r="W471" s="2"/>
      <c r="X471" s="2"/>
      <c r="Y471" s="2"/>
      <c r="Z471" s="2"/>
      <c r="AA471" s="2"/>
      <c r="AB471" s="2"/>
    </row>
    <row r="472" spans="22:28" ht="15.75" customHeight="1" x14ac:dyDescent="0.15">
      <c r="V472" s="2"/>
      <c r="W472" s="2"/>
      <c r="X472" s="2"/>
      <c r="Y472" s="2"/>
      <c r="Z472" s="2"/>
      <c r="AA472" s="2"/>
      <c r="AB472" s="2"/>
    </row>
    <row r="473" spans="22:28" ht="15.75" customHeight="1" x14ac:dyDescent="0.15">
      <c r="V473" s="2"/>
      <c r="W473" s="2"/>
      <c r="X473" s="2"/>
      <c r="Y473" s="2"/>
      <c r="Z473" s="2"/>
      <c r="AA473" s="2"/>
      <c r="AB473" s="2"/>
    </row>
    <row r="474" spans="22:28" ht="15.75" customHeight="1" x14ac:dyDescent="0.15">
      <c r="V474" s="2"/>
      <c r="W474" s="2"/>
      <c r="X474" s="2"/>
      <c r="Y474" s="2"/>
      <c r="Z474" s="2"/>
      <c r="AA474" s="2"/>
      <c r="AB474" s="2"/>
    </row>
    <row r="475" spans="22:28" ht="15.75" customHeight="1" x14ac:dyDescent="0.15">
      <c r="V475" s="2"/>
      <c r="W475" s="2"/>
      <c r="X475" s="2"/>
      <c r="Y475" s="2"/>
      <c r="Z475" s="2"/>
      <c r="AA475" s="2"/>
      <c r="AB475" s="2"/>
    </row>
    <row r="476" spans="22:28" ht="15.75" customHeight="1" x14ac:dyDescent="0.15">
      <c r="V476" s="2"/>
      <c r="W476" s="2"/>
      <c r="X476" s="2"/>
      <c r="Y476" s="2"/>
      <c r="Z476" s="2"/>
      <c r="AA476" s="2"/>
      <c r="AB476" s="2"/>
    </row>
    <row r="477" spans="22:28" ht="15.75" customHeight="1" x14ac:dyDescent="0.15">
      <c r="V477" s="2"/>
      <c r="W477" s="2"/>
      <c r="X477" s="2"/>
      <c r="Y477" s="2"/>
      <c r="Z477" s="2"/>
      <c r="AA477" s="2"/>
      <c r="AB477" s="2"/>
    </row>
    <row r="478" spans="22:28" ht="15.75" customHeight="1" x14ac:dyDescent="0.15">
      <c r="V478" s="2"/>
      <c r="W478" s="2"/>
      <c r="X478" s="2"/>
      <c r="Y478" s="2"/>
      <c r="Z478" s="2"/>
      <c r="AA478" s="2"/>
      <c r="AB478" s="2"/>
    </row>
    <row r="479" spans="22:28" ht="15.75" customHeight="1" x14ac:dyDescent="0.15">
      <c r="V479" s="2"/>
      <c r="W479" s="2"/>
      <c r="X479" s="2"/>
      <c r="Y479" s="2"/>
      <c r="Z479" s="2"/>
      <c r="AA479" s="2"/>
      <c r="AB479" s="2"/>
    </row>
    <row r="480" spans="22:28" ht="15.75" customHeight="1" x14ac:dyDescent="0.15">
      <c r="V480" s="2"/>
      <c r="W480" s="2"/>
      <c r="X480" s="2"/>
      <c r="Y480" s="2"/>
      <c r="Z480" s="2"/>
      <c r="AA480" s="2"/>
      <c r="AB480" s="2"/>
    </row>
    <row r="481" spans="22:28" ht="15.75" customHeight="1" x14ac:dyDescent="0.15">
      <c r="V481" s="2"/>
      <c r="W481" s="2"/>
      <c r="X481" s="2"/>
      <c r="Y481" s="2"/>
      <c r="Z481" s="2"/>
      <c r="AA481" s="2"/>
      <c r="AB481" s="2"/>
    </row>
    <row r="482" spans="22:28" ht="15.75" customHeight="1" x14ac:dyDescent="0.15">
      <c r="V482" s="2"/>
      <c r="W482" s="2"/>
      <c r="X482" s="2"/>
      <c r="Y482" s="2"/>
      <c r="Z482" s="2"/>
      <c r="AA482" s="2"/>
      <c r="AB482" s="2"/>
    </row>
    <row r="483" spans="22:28" ht="15.75" customHeight="1" x14ac:dyDescent="0.15">
      <c r="V483" s="2"/>
      <c r="W483" s="2"/>
      <c r="X483" s="2"/>
      <c r="Y483" s="2"/>
      <c r="Z483" s="2"/>
      <c r="AA483" s="2"/>
      <c r="AB483" s="2"/>
    </row>
    <row r="484" spans="22:28" ht="15.75" customHeight="1" x14ac:dyDescent="0.15">
      <c r="V484" s="2"/>
      <c r="W484" s="2"/>
      <c r="X484" s="2"/>
      <c r="Y484" s="2"/>
      <c r="Z484" s="2"/>
      <c r="AA484" s="2"/>
      <c r="AB484" s="2"/>
    </row>
    <row r="485" spans="22:28" ht="15.75" customHeight="1" x14ac:dyDescent="0.15">
      <c r="V485" s="2"/>
      <c r="W485" s="2"/>
      <c r="X485" s="2"/>
      <c r="Y485" s="2"/>
      <c r="Z485" s="2"/>
      <c r="AA485" s="2"/>
      <c r="AB485" s="2"/>
    </row>
    <row r="486" spans="22:28" ht="15.75" customHeight="1" x14ac:dyDescent="0.15">
      <c r="V486" s="2"/>
      <c r="W486" s="2"/>
      <c r="X486" s="2"/>
      <c r="Y486" s="2"/>
      <c r="Z486" s="2"/>
      <c r="AA486" s="2"/>
      <c r="AB486" s="2"/>
    </row>
    <row r="487" spans="22:28" ht="15.75" customHeight="1" x14ac:dyDescent="0.15">
      <c r="V487" s="2"/>
      <c r="W487" s="2"/>
      <c r="X487" s="2"/>
      <c r="Y487" s="2"/>
      <c r="Z487" s="2"/>
      <c r="AA487" s="2"/>
      <c r="AB487" s="2"/>
    </row>
    <row r="488" spans="22:28" ht="15.75" customHeight="1" x14ac:dyDescent="0.15">
      <c r="V488" s="2"/>
      <c r="W488" s="2"/>
      <c r="X488" s="2"/>
      <c r="Y488" s="2"/>
      <c r="Z488" s="2"/>
      <c r="AA488" s="2"/>
      <c r="AB488" s="2"/>
    </row>
    <row r="489" spans="22:28" ht="15.75" customHeight="1" x14ac:dyDescent="0.15">
      <c r="V489" s="2"/>
      <c r="W489" s="2"/>
      <c r="X489" s="2"/>
      <c r="Y489" s="2"/>
      <c r="Z489" s="2"/>
      <c r="AA489" s="2"/>
      <c r="AB489" s="2"/>
    </row>
    <row r="490" spans="22:28" ht="15.75" customHeight="1" x14ac:dyDescent="0.15">
      <c r="V490" s="2"/>
      <c r="W490" s="2"/>
      <c r="X490" s="2"/>
      <c r="Y490" s="2"/>
      <c r="Z490" s="2"/>
      <c r="AA490" s="2"/>
      <c r="AB490" s="2"/>
    </row>
    <row r="491" spans="22:28" ht="15.75" customHeight="1" x14ac:dyDescent="0.15">
      <c r="V491" s="2"/>
      <c r="W491" s="2"/>
      <c r="X491" s="2"/>
      <c r="Y491" s="2"/>
      <c r="Z491" s="2"/>
      <c r="AA491" s="2"/>
      <c r="AB491" s="2"/>
    </row>
    <row r="492" spans="22:28" ht="15.75" customHeight="1" x14ac:dyDescent="0.15">
      <c r="V492" s="2"/>
      <c r="W492" s="2"/>
      <c r="X492" s="2"/>
      <c r="Y492" s="2"/>
      <c r="Z492" s="2"/>
      <c r="AA492" s="2"/>
      <c r="AB492" s="2"/>
    </row>
    <row r="493" spans="22:28" ht="15.75" customHeight="1" x14ac:dyDescent="0.15">
      <c r="V493" s="2"/>
      <c r="W493" s="2"/>
      <c r="X493" s="2"/>
      <c r="Y493" s="2"/>
      <c r="Z493" s="2"/>
      <c r="AA493" s="2"/>
      <c r="AB493" s="2"/>
    </row>
    <row r="494" spans="22:28" ht="15.75" customHeight="1" x14ac:dyDescent="0.15">
      <c r="V494" s="2"/>
      <c r="W494" s="2"/>
      <c r="X494" s="2"/>
      <c r="Y494" s="2"/>
      <c r="Z494" s="2"/>
      <c r="AA494" s="2"/>
      <c r="AB494" s="2"/>
    </row>
    <row r="495" spans="22:28" ht="15.75" customHeight="1" x14ac:dyDescent="0.15">
      <c r="V495" s="2"/>
      <c r="W495" s="2"/>
      <c r="X495" s="2"/>
      <c r="Y495" s="2"/>
      <c r="Z495" s="2"/>
      <c r="AA495" s="2"/>
      <c r="AB495" s="2"/>
    </row>
    <row r="496" spans="22:28" ht="15.75" customHeight="1" x14ac:dyDescent="0.15">
      <c r="V496" s="2"/>
      <c r="W496" s="2"/>
      <c r="X496" s="2"/>
      <c r="Y496" s="2"/>
      <c r="Z496" s="2"/>
      <c r="AA496" s="2"/>
      <c r="AB496" s="2"/>
    </row>
    <row r="497" spans="22:28" ht="15.75" customHeight="1" x14ac:dyDescent="0.15">
      <c r="V497" s="2"/>
      <c r="W497" s="2"/>
      <c r="X497" s="2"/>
      <c r="Y497" s="2"/>
      <c r="Z497" s="2"/>
      <c r="AA497" s="2"/>
      <c r="AB497" s="2"/>
    </row>
    <row r="498" spans="22:28" ht="15.75" customHeight="1" x14ac:dyDescent="0.15">
      <c r="V498" s="2"/>
      <c r="W498" s="2"/>
      <c r="X498" s="2"/>
      <c r="Y498" s="2"/>
      <c r="Z498" s="2"/>
      <c r="AA498" s="2"/>
      <c r="AB498" s="2"/>
    </row>
    <row r="499" spans="22:28" ht="15.75" customHeight="1" x14ac:dyDescent="0.15">
      <c r="V499" s="2"/>
      <c r="W499" s="2"/>
      <c r="X499" s="2"/>
      <c r="Y499" s="2"/>
      <c r="Z499" s="2"/>
      <c r="AA499" s="2"/>
      <c r="AB499" s="2"/>
    </row>
    <row r="500" spans="22:28" ht="15.75" customHeight="1" x14ac:dyDescent="0.15">
      <c r="V500" s="2"/>
      <c r="W500" s="2"/>
      <c r="X500" s="2"/>
      <c r="Y500" s="2"/>
      <c r="Z500" s="2"/>
      <c r="AA500" s="2"/>
      <c r="AB500" s="2"/>
    </row>
    <row r="501" spans="22:28" ht="15.75" customHeight="1" x14ac:dyDescent="0.15">
      <c r="V501" s="2"/>
      <c r="W501" s="2"/>
      <c r="X501" s="2"/>
      <c r="Y501" s="2"/>
      <c r="Z501" s="2"/>
      <c r="AA501" s="2"/>
      <c r="AB501" s="2"/>
    </row>
    <row r="502" spans="22:28" ht="15.75" customHeight="1" x14ac:dyDescent="0.15">
      <c r="V502" s="2"/>
      <c r="W502" s="2"/>
      <c r="X502" s="2"/>
      <c r="Y502" s="2"/>
      <c r="Z502" s="2"/>
      <c r="AA502" s="2"/>
      <c r="AB502" s="2"/>
    </row>
    <row r="503" spans="22:28" ht="15.75" customHeight="1" x14ac:dyDescent="0.15">
      <c r="V503" s="2"/>
      <c r="W503" s="2"/>
      <c r="X503" s="2"/>
      <c r="Y503" s="2"/>
      <c r="Z503" s="2"/>
      <c r="AA503" s="2"/>
      <c r="AB503" s="2"/>
    </row>
    <row r="504" spans="22:28" ht="15.75" customHeight="1" x14ac:dyDescent="0.15">
      <c r="V504" s="2"/>
      <c r="W504" s="2"/>
      <c r="X504" s="2"/>
      <c r="Y504" s="2"/>
      <c r="Z504" s="2"/>
      <c r="AA504" s="2"/>
      <c r="AB504" s="2"/>
    </row>
    <row r="505" spans="22:28" ht="15.75" customHeight="1" x14ac:dyDescent="0.15">
      <c r="V505" s="2"/>
      <c r="W505" s="2"/>
      <c r="X505" s="2"/>
      <c r="Y505" s="2"/>
      <c r="Z505" s="2"/>
      <c r="AA505" s="2"/>
      <c r="AB505" s="2"/>
    </row>
    <row r="506" spans="22:28" ht="15.75" customHeight="1" x14ac:dyDescent="0.15">
      <c r="V506" s="2"/>
      <c r="W506" s="2"/>
      <c r="X506" s="2"/>
      <c r="Y506" s="2"/>
      <c r="Z506" s="2"/>
      <c r="AA506" s="2"/>
      <c r="AB506" s="2"/>
    </row>
    <row r="507" spans="22:28" ht="15.75" customHeight="1" x14ac:dyDescent="0.15">
      <c r="V507" s="2"/>
      <c r="W507" s="2"/>
      <c r="X507" s="2"/>
      <c r="Y507" s="2"/>
      <c r="Z507" s="2"/>
      <c r="AA507" s="2"/>
      <c r="AB507" s="2"/>
    </row>
    <row r="508" spans="22:28" ht="15.75" customHeight="1" x14ac:dyDescent="0.15">
      <c r="V508" s="2"/>
      <c r="W508" s="2"/>
      <c r="X508" s="2"/>
      <c r="Y508" s="2"/>
      <c r="Z508" s="2"/>
      <c r="AA508" s="2"/>
      <c r="AB508" s="2"/>
    </row>
    <row r="509" spans="22:28" ht="15.75" customHeight="1" x14ac:dyDescent="0.15">
      <c r="V509" s="2"/>
      <c r="W509" s="2"/>
      <c r="X509" s="2"/>
      <c r="Y509" s="2"/>
      <c r="Z509" s="2"/>
      <c r="AA509" s="2"/>
      <c r="AB509" s="2"/>
    </row>
    <row r="510" spans="22:28" ht="15.75" customHeight="1" x14ac:dyDescent="0.15">
      <c r="V510" s="2"/>
      <c r="W510" s="2"/>
      <c r="X510" s="2"/>
      <c r="Y510" s="2"/>
      <c r="Z510" s="2"/>
      <c r="AA510" s="2"/>
      <c r="AB510" s="2"/>
    </row>
    <row r="511" spans="22:28" ht="15.75" customHeight="1" x14ac:dyDescent="0.15">
      <c r="V511" s="2"/>
      <c r="W511" s="2"/>
      <c r="X511" s="2"/>
      <c r="Y511" s="2"/>
      <c r="Z511" s="2"/>
      <c r="AA511" s="2"/>
      <c r="AB511" s="2"/>
    </row>
    <row r="512" spans="22:28" ht="15.75" customHeight="1" x14ac:dyDescent="0.15">
      <c r="V512" s="2"/>
      <c r="W512" s="2"/>
      <c r="X512" s="2"/>
      <c r="Y512" s="2"/>
      <c r="Z512" s="2"/>
      <c r="AA512" s="2"/>
      <c r="AB512" s="2"/>
    </row>
    <row r="513" spans="22:28" ht="15.75" customHeight="1" x14ac:dyDescent="0.15">
      <c r="V513" s="2"/>
      <c r="W513" s="2"/>
      <c r="X513" s="2"/>
      <c r="Y513" s="2"/>
      <c r="Z513" s="2"/>
      <c r="AA513" s="2"/>
      <c r="AB513" s="2"/>
    </row>
    <row r="514" spans="22:28" ht="15.75" customHeight="1" x14ac:dyDescent="0.15">
      <c r="V514" s="2"/>
      <c r="W514" s="2"/>
      <c r="X514" s="2"/>
      <c r="Y514" s="2"/>
      <c r="Z514" s="2"/>
      <c r="AA514" s="2"/>
      <c r="AB514" s="2"/>
    </row>
    <row r="515" spans="22:28" ht="15.75" customHeight="1" x14ac:dyDescent="0.15">
      <c r="V515" s="2"/>
      <c r="W515" s="2"/>
      <c r="X515" s="2"/>
      <c r="Y515" s="2"/>
      <c r="Z515" s="2"/>
      <c r="AA515" s="2"/>
      <c r="AB515" s="2"/>
    </row>
    <row r="516" spans="22:28" ht="15.75" customHeight="1" x14ac:dyDescent="0.15">
      <c r="V516" s="2"/>
      <c r="W516" s="2"/>
      <c r="X516" s="2"/>
      <c r="Y516" s="2"/>
      <c r="Z516" s="2"/>
      <c r="AA516" s="2"/>
      <c r="AB516" s="2"/>
    </row>
    <row r="517" spans="22:28" ht="15.75" customHeight="1" x14ac:dyDescent="0.15">
      <c r="V517" s="2"/>
      <c r="W517" s="2"/>
      <c r="X517" s="2"/>
      <c r="Y517" s="2"/>
      <c r="Z517" s="2"/>
      <c r="AA517" s="2"/>
      <c r="AB517" s="2"/>
    </row>
    <row r="518" spans="22:28" ht="15.75" customHeight="1" x14ac:dyDescent="0.15">
      <c r="V518" s="2"/>
      <c r="W518" s="2"/>
      <c r="X518" s="2"/>
      <c r="Y518" s="2"/>
      <c r="Z518" s="2"/>
      <c r="AA518" s="2"/>
      <c r="AB518" s="2"/>
    </row>
    <row r="519" spans="22:28" ht="15.75" customHeight="1" x14ac:dyDescent="0.15">
      <c r="V519" s="2"/>
      <c r="W519" s="2"/>
      <c r="X519" s="2"/>
      <c r="Y519" s="2"/>
      <c r="Z519" s="2"/>
      <c r="AA519" s="2"/>
      <c r="AB519" s="2"/>
    </row>
    <row r="520" spans="22:28" ht="15.75" customHeight="1" x14ac:dyDescent="0.15">
      <c r="V520" s="2"/>
      <c r="W520" s="2"/>
      <c r="X520" s="2"/>
      <c r="Y520" s="2"/>
      <c r="Z520" s="2"/>
      <c r="AA520" s="2"/>
      <c r="AB520" s="2"/>
    </row>
    <row r="521" spans="22:28" ht="15.75" customHeight="1" x14ac:dyDescent="0.15">
      <c r="V521" s="2"/>
      <c r="W521" s="2"/>
      <c r="X521" s="2"/>
      <c r="Y521" s="2"/>
      <c r="Z521" s="2"/>
      <c r="AA521" s="2"/>
      <c r="AB521" s="2"/>
    </row>
    <row r="522" spans="22:28" ht="15.75" customHeight="1" x14ac:dyDescent="0.15">
      <c r="V522" s="2"/>
      <c r="W522" s="2"/>
      <c r="X522" s="2"/>
      <c r="Y522" s="2"/>
      <c r="Z522" s="2"/>
      <c r="AA522" s="2"/>
      <c r="AB522" s="2"/>
    </row>
    <row r="523" spans="22:28" ht="15.75" customHeight="1" x14ac:dyDescent="0.15">
      <c r="V523" s="2"/>
      <c r="W523" s="2"/>
      <c r="X523" s="2"/>
      <c r="Y523" s="2"/>
      <c r="Z523" s="2"/>
      <c r="AA523" s="2"/>
      <c r="AB523" s="2"/>
    </row>
    <row r="524" spans="22:28" ht="15.75" customHeight="1" x14ac:dyDescent="0.15">
      <c r="V524" s="2"/>
      <c r="W524" s="2"/>
      <c r="X524" s="2"/>
      <c r="Y524" s="2"/>
      <c r="Z524" s="2"/>
      <c r="AA524" s="2"/>
      <c r="AB524" s="2"/>
    </row>
    <row r="525" spans="22:28" ht="15.75" customHeight="1" x14ac:dyDescent="0.15">
      <c r="V525" s="2"/>
      <c r="W525" s="2"/>
      <c r="X525" s="2"/>
      <c r="Y525" s="2"/>
      <c r="Z525" s="2"/>
      <c r="AA525" s="2"/>
      <c r="AB525" s="2"/>
    </row>
    <row r="526" spans="22:28" ht="15.75" customHeight="1" x14ac:dyDescent="0.15">
      <c r="V526" s="2"/>
      <c r="W526" s="2"/>
      <c r="X526" s="2"/>
      <c r="Y526" s="2"/>
      <c r="Z526" s="2"/>
      <c r="AA526" s="2"/>
      <c r="AB526" s="2"/>
    </row>
    <row r="527" spans="22:28" ht="15.75" customHeight="1" x14ac:dyDescent="0.15">
      <c r="V527" s="2"/>
      <c r="W527" s="2"/>
      <c r="X527" s="2"/>
      <c r="Y527" s="2"/>
      <c r="Z527" s="2"/>
      <c r="AA527" s="2"/>
      <c r="AB527" s="2"/>
    </row>
    <row r="528" spans="22:28" ht="15.75" customHeight="1" x14ac:dyDescent="0.15">
      <c r="V528" s="2"/>
      <c r="W528" s="2"/>
      <c r="X528" s="2"/>
      <c r="Y528" s="2"/>
      <c r="Z528" s="2"/>
      <c r="AA528" s="2"/>
      <c r="AB528" s="2"/>
    </row>
    <row r="529" spans="22:28" ht="15.75" customHeight="1" x14ac:dyDescent="0.15">
      <c r="V529" s="2"/>
      <c r="W529" s="2"/>
      <c r="X529" s="2"/>
      <c r="Y529" s="2"/>
      <c r="Z529" s="2"/>
      <c r="AA529" s="2"/>
      <c r="AB529" s="2"/>
    </row>
    <row r="530" spans="22:28" ht="15.75" customHeight="1" x14ac:dyDescent="0.15">
      <c r="V530" s="2"/>
      <c r="W530" s="2"/>
      <c r="X530" s="2"/>
      <c r="Y530" s="2"/>
      <c r="Z530" s="2"/>
      <c r="AA530" s="2"/>
      <c r="AB530" s="2"/>
    </row>
    <row r="531" spans="22:28" ht="15.75" customHeight="1" x14ac:dyDescent="0.15">
      <c r="V531" s="2"/>
      <c r="W531" s="2"/>
      <c r="X531" s="2"/>
      <c r="Y531" s="2"/>
      <c r="Z531" s="2"/>
      <c r="AA531" s="2"/>
      <c r="AB531" s="2"/>
    </row>
    <row r="532" spans="22:28" ht="15.75" customHeight="1" x14ac:dyDescent="0.15">
      <c r="V532" s="2"/>
      <c r="W532" s="2"/>
      <c r="X532" s="2"/>
      <c r="Y532" s="2"/>
      <c r="Z532" s="2"/>
      <c r="AA532" s="2"/>
      <c r="AB532" s="2"/>
    </row>
    <row r="533" spans="22:28" ht="15.75" customHeight="1" x14ac:dyDescent="0.15">
      <c r="V533" s="2"/>
      <c r="W533" s="2"/>
      <c r="X533" s="2"/>
      <c r="Y533" s="2"/>
      <c r="Z533" s="2"/>
      <c r="AA533" s="2"/>
      <c r="AB533" s="2"/>
    </row>
    <row r="534" spans="22:28" ht="15.75" customHeight="1" x14ac:dyDescent="0.15">
      <c r="V534" s="2"/>
      <c r="W534" s="2"/>
      <c r="X534" s="2"/>
      <c r="Y534" s="2"/>
      <c r="Z534" s="2"/>
      <c r="AA534" s="2"/>
      <c r="AB534" s="2"/>
    </row>
    <row r="535" spans="22:28" ht="15.75" customHeight="1" x14ac:dyDescent="0.15">
      <c r="V535" s="2"/>
      <c r="W535" s="2"/>
      <c r="X535" s="2"/>
      <c r="Y535" s="2"/>
      <c r="Z535" s="2"/>
      <c r="AA535" s="2"/>
      <c r="AB535" s="2"/>
    </row>
    <row r="536" spans="22:28" ht="15.75" customHeight="1" x14ac:dyDescent="0.15">
      <c r="V536" s="2"/>
      <c r="W536" s="2"/>
      <c r="X536" s="2"/>
      <c r="Y536" s="2"/>
      <c r="Z536" s="2"/>
      <c r="AA536" s="2"/>
      <c r="AB536" s="2"/>
    </row>
    <row r="537" spans="22:28" ht="15.75" customHeight="1" x14ac:dyDescent="0.15">
      <c r="V537" s="2"/>
      <c r="W537" s="2"/>
      <c r="X537" s="2"/>
      <c r="Y537" s="2"/>
      <c r="Z537" s="2"/>
      <c r="AA537" s="2"/>
      <c r="AB537" s="2"/>
    </row>
    <row r="538" spans="22:28" ht="15.75" customHeight="1" x14ac:dyDescent="0.15">
      <c r="V538" s="2"/>
      <c r="W538" s="2"/>
      <c r="X538" s="2"/>
      <c r="Y538" s="2"/>
      <c r="Z538" s="2"/>
      <c r="AA538" s="2"/>
      <c r="AB538" s="2"/>
    </row>
    <row r="539" spans="22:28" ht="15.75" customHeight="1" x14ac:dyDescent="0.15">
      <c r="V539" s="2"/>
      <c r="W539" s="2"/>
      <c r="X539" s="2"/>
      <c r="Y539" s="2"/>
      <c r="Z539" s="2"/>
      <c r="AA539" s="2"/>
      <c r="AB539" s="2"/>
    </row>
    <row r="540" spans="22:28" ht="15.75" customHeight="1" x14ac:dyDescent="0.15">
      <c r="V540" s="2"/>
      <c r="W540" s="2"/>
      <c r="X540" s="2"/>
      <c r="Y540" s="2"/>
      <c r="Z540" s="2"/>
      <c r="AA540" s="2"/>
      <c r="AB540" s="2"/>
    </row>
    <row r="541" spans="22:28" ht="15.75" customHeight="1" x14ac:dyDescent="0.15">
      <c r="V541" s="2"/>
      <c r="W541" s="2"/>
      <c r="X541" s="2"/>
      <c r="Y541" s="2"/>
      <c r="Z541" s="2"/>
      <c r="AA541" s="2"/>
      <c r="AB541" s="2"/>
    </row>
    <row r="542" spans="22:28" ht="15.75" customHeight="1" x14ac:dyDescent="0.15">
      <c r="V542" s="2"/>
      <c r="W542" s="2"/>
      <c r="X542" s="2"/>
      <c r="Y542" s="2"/>
      <c r="Z542" s="2"/>
      <c r="AA542" s="2"/>
      <c r="AB542" s="2"/>
    </row>
    <row r="543" spans="22:28" ht="15.75" customHeight="1" x14ac:dyDescent="0.15">
      <c r="V543" s="2"/>
      <c r="W543" s="2"/>
      <c r="X543" s="2"/>
      <c r="Y543" s="2"/>
      <c r="Z543" s="2"/>
      <c r="AA543" s="2"/>
      <c r="AB543" s="2"/>
    </row>
    <row r="544" spans="22:28" ht="15.75" customHeight="1" x14ac:dyDescent="0.15">
      <c r="V544" s="2"/>
      <c r="W544" s="2"/>
      <c r="X544" s="2"/>
      <c r="Y544" s="2"/>
      <c r="Z544" s="2"/>
      <c r="AA544" s="2"/>
      <c r="AB544" s="2"/>
    </row>
    <row r="545" spans="22:28" ht="15.75" customHeight="1" x14ac:dyDescent="0.15">
      <c r="V545" s="2"/>
      <c r="W545" s="2"/>
      <c r="X545" s="2"/>
      <c r="Y545" s="2"/>
      <c r="Z545" s="2"/>
      <c r="AA545" s="2"/>
      <c r="AB545" s="2"/>
    </row>
    <row r="546" spans="22:28" ht="15.75" customHeight="1" x14ac:dyDescent="0.15">
      <c r="V546" s="2"/>
      <c r="W546" s="2"/>
      <c r="X546" s="2"/>
      <c r="Y546" s="2"/>
      <c r="Z546" s="2"/>
      <c r="AA546" s="2"/>
      <c r="AB546" s="2"/>
    </row>
    <row r="547" spans="22:28" ht="15.75" customHeight="1" x14ac:dyDescent="0.15">
      <c r="V547" s="2"/>
      <c r="W547" s="2"/>
      <c r="X547" s="2"/>
      <c r="Y547" s="2"/>
      <c r="Z547" s="2"/>
      <c r="AA547" s="2"/>
      <c r="AB547" s="2"/>
    </row>
    <row r="548" spans="22:28" ht="15.75" customHeight="1" x14ac:dyDescent="0.15">
      <c r="V548" s="2"/>
      <c r="W548" s="2"/>
      <c r="X548" s="2"/>
      <c r="Y548" s="2"/>
      <c r="Z548" s="2"/>
      <c r="AA548" s="2"/>
      <c r="AB548" s="2"/>
    </row>
    <row r="549" spans="22:28" ht="15.75" customHeight="1" x14ac:dyDescent="0.15">
      <c r="V549" s="2"/>
      <c r="W549" s="2"/>
      <c r="X549" s="2"/>
      <c r="Y549" s="2"/>
      <c r="Z549" s="2"/>
      <c r="AA549" s="2"/>
      <c r="AB549" s="2"/>
    </row>
    <row r="550" spans="22:28" ht="15.75" customHeight="1" x14ac:dyDescent="0.15">
      <c r="V550" s="2"/>
      <c r="W550" s="2"/>
      <c r="X550" s="2"/>
      <c r="Y550" s="2"/>
      <c r="Z550" s="2"/>
      <c r="AA550" s="2"/>
      <c r="AB550" s="2"/>
    </row>
    <row r="551" spans="22:28" ht="15.75" customHeight="1" x14ac:dyDescent="0.15">
      <c r="V551" s="2"/>
      <c r="W551" s="2"/>
      <c r="X551" s="2"/>
      <c r="Y551" s="2"/>
      <c r="Z551" s="2"/>
      <c r="AA551" s="2"/>
      <c r="AB551" s="2"/>
    </row>
    <row r="552" spans="22:28" ht="15.75" customHeight="1" x14ac:dyDescent="0.15">
      <c r="V552" s="2"/>
      <c r="W552" s="2"/>
      <c r="X552" s="2"/>
      <c r="Y552" s="2"/>
      <c r="Z552" s="2"/>
      <c r="AA552" s="2"/>
      <c r="AB552" s="2"/>
    </row>
    <row r="553" spans="22:28" ht="15.75" customHeight="1" x14ac:dyDescent="0.15">
      <c r="V553" s="2"/>
      <c r="W553" s="2"/>
      <c r="X553" s="2"/>
      <c r="Y553" s="2"/>
      <c r="Z553" s="2"/>
      <c r="AA553" s="2"/>
      <c r="AB553" s="2"/>
    </row>
    <row r="554" spans="22:28" ht="15.75" customHeight="1" x14ac:dyDescent="0.15">
      <c r="V554" s="2"/>
      <c r="W554" s="2"/>
      <c r="X554" s="2"/>
      <c r="Y554" s="2"/>
      <c r="Z554" s="2"/>
      <c r="AA554" s="2"/>
      <c r="AB554" s="2"/>
    </row>
    <row r="555" spans="22:28" ht="15.75" customHeight="1" x14ac:dyDescent="0.15">
      <c r="V555" s="2"/>
      <c r="W555" s="2"/>
      <c r="X555" s="2"/>
      <c r="Y555" s="2"/>
      <c r="Z555" s="2"/>
      <c r="AA555" s="2"/>
      <c r="AB555" s="2"/>
    </row>
    <row r="556" spans="22:28" ht="15.75" customHeight="1" x14ac:dyDescent="0.15">
      <c r="V556" s="2"/>
      <c r="W556" s="2"/>
      <c r="X556" s="2"/>
      <c r="Y556" s="2"/>
      <c r="Z556" s="2"/>
      <c r="AA556" s="2"/>
      <c r="AB556" s="2"/>
    </row>
    <row r="557" spans="22:28" ht="15.75" customHeight="1" x14ac:dyDescent="0.15">
      <c r="V557" s="2"/>
      <c r="W557" s="2"/>
      <c r="X557" s="2"/>
      <c r="Y557" s="2"/>
      <c r="Z557" s="2"/>
      <c r="AA557" s="2"/>
      <c r="AB557" s="2"/>
    </row>
    <row r="558" spans="22:28" ht="15.75" customHeight="1" x14ac:dyDescent="0.15">
      <c r="V558" s="2"/>
      <c r="W558" s="2"/>
      <c r="X558" s="2"/>
      <c r="Y558" s="2"/>
      <c r="Z558" s="2"/>
      <c r="AA558" s="2"/>
      <c r="AB558" s="2"/>
    </row>
    <row r="559" spans="22:28" ht="15.75" customHeight="1" x14ac:dyDescent="0.15">
      <c r="V559" s="2"/>
      <c r="W559" s="2"/>
      <c r="X559" s="2"/>
      <c r="Y559" s="2"/>
      <c r="Z559" s="2"/>
      <c r="AA559" s="2"/>
      <c r="AB559" s="2"/>
    </row>
    <row r="560" spans="22:28" ht="15.75" customHeight="1" x14ac:dyDescent="0.15">
      <c r="V560" s="2"/>
      <c r="W560" s="2"/>
      <c r="X560" s="2"/>
      <c r="Y560" s="2"/>
      <c r="Z560" s="2"/>
      <c r="AA560" s="2"/>
      <c r="AB560" s="2"/>
    </row>
    <row r="561" spans="22:28" ht="15.75" customHeight="1" x14ac:dyDescent="0.15">
      <c r="V561" s="2"/>
      <c r="W561" s="2"/>
      <c r="X561" s="2"/>
      <c r="Y561" s="2"/>
      <c r="Z561" s="2"/>
      <c r="AA561" s="2"/>
      <c r="AB561" s="2"/>
    </row>
    <row r="562" spans="22:28" ht="15.75" customHeight="1" x14ac:dyDescent="0.15">
      <c r="V562" s="2"/>
      <c r="W562" s="2"/>
      <c r="X562" s="2"/>
      <c r="Y562" s="2"/>
      <c r="Z562" s="2"/>
      <c r="AA562" s="2"/>
      <c r="AB562" s="2"/>
    </row>
    <row r="563" spans="22:28" ht="15.75" customHeight="1" x14ac:dyDescent="0.15">
      <c r="V563" s="2"/>
      <c r="W563" s="2"/>
      <c r="X563" s="2"/>
      <c r="Y563" s="2"/>
      <c r="Z563" s="2"/>
      <c r="AA563" s="2"/>
      <c r="AB563" s="2"/>
    </row>
    <row r="564" spans="22:28" ht="15.75" customHeight="1" x14ac:dyDescent="0.15">
      <c r="V564" s="2"/>
      <c r="W564" s="2"/>
      <c r="X564" s="2"/>
      <c r="Y564" s="2"/>
      <c r="Z564" s="2"/>
      <c r="AA564" s="2"/>
      <c r="AB564" s="2"/>
    </row>
    <row r="565" spans="22:28" ht="15.75" customHeight="1" x14ac:dyDescent="0.15">
      <c r="V565" s="2"/>
      <c r="W565" s="2"/>
      <c r="X565" s="2"/>
      <c r="Y565" s="2"/>
      <c r="Z565" s="2"/>
      <c r="AA565" s="2"/>
      <c r="AB565" s="2"/>
    </row>
    <row r="566" spans="22:28" ht="15.75" customHeight="1" x14ac:dyDescent="0.15">
      <c r="V566" s="2"/>
      <c r="W566" s="2"/>
      <c r="X566" s="2"/>
      <c r="Y566" s="2"/>
      <c r="Z566" s="2"/>
      <c r="AA566" s="2"/>
      <c r="AB566" s="2"/>
    </row>
    <row r="567" spans="22:28" ht="15.75" customHeight="1" x14ac:dyDescent="0.15">
      <c r="V567" s="2"/>
      <c r="W567" s="2"/>
      <c r="X567" s="2"/>
      <c r="Y567" s="2"/>
      <c r="Z567" s="2"/>
      <c r="AA567" s="2"/>
      <c r="AB567" s="2"/>
    </row>
    <row r="568" spans="22:28" ht="15.75" customHeight="1" x14ac:dyDescent="0.15">
      <c r="V568" s="2"/>
      <c r="W568" s="2"/>
      <c r="X568" s="2"/>
      <c r="Y568" s="2"/>
      <c r="Z568" s="2"/>
      <c r="AA568" s="2"/>
      <c r="AB568" s="2"/>
    </row>
    <row r="569" spans="22:28" ht="15.75" customHeight="1" x14ac:dyDescent="0.15">
      <c r="V569" s="2"/>
      <c r="W569" s="2"/>
      <c r="X569" s="2"/>
      <c r="Y569" s="2"/>
      <c r="Z569" s="2"/>
      <c r="AA569" s="2"/>
      <c r="AB569" s="2"/>
    </row>
    <row r="570" spans="22:28" ht="15.75" customHeight="1" x14ac:dyDescent="0.15">
      <c r="V570" s="2"/>
      <c r="W570" s="2"/>
      <c r="X570" s="2"/>
      <c r="Y570" s="2"/>
      <c r="Z570" s="2"/>
      <c r="AA570" s="2"/>
      <c r="AB570" s="2"/>
    </row>
    <row r="571" spans="22:28" ht="15.75" customHeight="1" x14ac:dyDescent="0.15">
      <c r="V571" s="2"/>
      <c r="W571" s="2"/>
      <c r="X571" s="2"/>
      <c r="Y571" s="2"/>
      <c r="Z571" s="2"/>
      <c r="AA571" s="2"/>
      <c r="AB571" s="2"/>
    </row>
    <row r="572" spans="22:28" ht="15.75" customHeight="1" x14ac:dyDescent="0.15">
      <c r="V572" s="2"/>
      <c r="W572" s="2"/>
      <c r="X572" s="2"/>
      <c r="Y572" s="2"/>
      <c r="Z572" s="2"/>
      <c r="AA572" s="2"/>
      <c r="AB572" s="2"/>
    </row>
    <row r="573" spans="22:28" ht="15.75" customHeight="1" x14ac:dyDescent="0.15">
      <c r="V573" s="2"/>
      <c r="W573" s="2"/>
      <c r="X573" s="2"/>
      <c r="Y573" s="2"/>
      <c r="Z573" s="2"/>
      <c r="AA573" s="2"/>
      <c r="AB573" s="2"/>
    </row>
    <row r="574" spans="22:28" ht="15.75" customHeight="1" x14ac:dyDescent="0.15">
      <c r="V574" s="2"/>
      <c r="W574" s="2"/>
      <c r="X574" s="2"/>
      <c r="Y574" s="2"/>
      <c r="Z574" s="2"/>
      <c r="AA574" s="2"/>
      <c r="AB574" s="2"/>
    </row>
    <row r="575" spans="22:28" ht="15.75" customHeight="1" x14ac:dyDescent="0.15">
      <c r="V575" s="2"/>
      <c r="W575" s="2"/>
      <c r="X575" s="2"/>
      <c r="Y575" s="2"/>
      <c r="Z575" s="2"/>
      <c r="AA575" s="2"/>
      <c r="AB575" s="2"/>
    </row>
    <row r="576" spans="22:28" ht="15.75" customHeight="1" x14ac:dyDescent="0.15">
      <c r="V576" s="2"/>
      <c r="W576" s="2"/>
      <c r="X576" s="2"/>
      <c r="Y576" s="2"/>
      <c r="Z576" s="2"/>
      <c r="AA576" s="2"/>
      <c r="AB576" s="2"/>
    </row>
    <row r="577" spans="22:28" ht="15.75" customHeight="1" x14ac:dyDescent="0.15">
      <c r="V577" s="2"/>
      <c r="W577" s="2"/>
      <c r="X577" s="2"/>
      <c r="Y577" s="2"/>
      <c r="Z577" s="2"/>
      <c r="AA577" s="2"/>
      <c r="AB577" s="2"/>
    </row>
    <row r="578" spans="22:28" ht="15.75" customHeight="1" x14ac:dyDescent="0.15">
      <c r="V578" s="2"/>
      <c r="W578" s="2"/>
      <c r="X578" s="2"/>
      <c r="Y578" s="2"/>
      <c r="Z578" s="2"/>
      <c r="AA578" s="2"/>
      <c r="AB578" s="2"/>
    </row>
    <row r="579" spans="22:28" ht="15.75" customHeight="1" x14ac:dyDescent="0.15">
      <c r="V579" s="2"/>
      <c r="W579" s="2"/>
      <c r="X579" s="2"/>
      <c r="Y579" s="2"/>
      <c r="Z579" s="2"/>
      <c r="AA579" s="2"/>
      <c r="AB579" s="2"/>
    </row>
    <row r="580" spans="22:28" ht="15.75" customHeight="1" x14ac:dyDescent="0.15">
      <c r="V580" s="2"/>
      <c r="W580" s="2"/>
      <c r="X580" s="2"/>
      <c r="Y580" s="2"/>
      <c r="Z580" s="2"/>
      <c r="AA580" s="2"/>
      <c r="AB580" s="2"/>
    </row>
    <row r="581" spans="22:28" ht="15.75" customHeight="1" x14ac:dyDescent="0.15">
      <c r="V581" s="2"/>
      <c r="W581" s="2"/>
      <c r="X581" s="2"/>
      <c r="Y581" s="2"/>
      <c r="Z581" s="2"/>
      <c r="AA581" s="2"/>
      <c r="AB581" s="2"/>
    </row>
    <row r="582" spans="22:28" ht="15.75" customHeight="1" x14ac:dyDescent="0.15">
      <c r="V582" s="2"/>
      <c r="W582" s="2"/>
      <c r="X582" s="2"/>
      <c r="Y582" s="2"/>
      <c r="Z582" s="2"/>
      <c r="AA582" s="2"/>
      <c r="AB582" s="2"/>
    </row>
    <row r="583" spans="22:28" ht="15.75" customHeight="1" x14ac:dyDescent="0.15">
      <c r="V583" s="2"/>
      <c r="W583" s="2"/>
      <c r="X583" s="2"/>
      <c r="Y583" s="2"/>
      <c r="Z583" s="2"/>
      <c r="AA583" s="2"/>
      <c r="AB583" s="2"/>
    </row>
    <row r="584" spans="22:28" ht="15.75" customHeight="1" x14ac:dyDescent="0.15">
      <c r="V584" s="2"/>
      <c r="W584" s="2"/>
      <c r="X584" s="2"/>
      <c r="Y584" s="2"/>
      <c r="Z584" s="2"/>
      <c r="AA584" s="2"/>
      <c r="AB584" s="2"/>
    </row>
    <row r="585" spans="22:28" ht="15.75" customHeight="1" x14ac:dyDescent="0.15">
      <c r="V585" s="2"/>
      <c r="W585" s="2"/>
      <c r="X585" s="2"/>
      <c r="Y585" s="2"/>
      <c r="Z585" s="2"/>
      <c r="AA585" s="2"/>
      <c r="AB585" s="2"/>
    </row>
    <row r="586" spans="22:28" ht="15.75" customHeight="1" x14ac:dyDescent="0.15">
      <c r="V586" s="2"/>
      <c r="W586" s="2"/>
      <c r="X586" s="2"/>
      <c r="Y586" s="2"/>
      <c r="Z586" s="2"/>
      <c r="AA586" s="2"/>
      <c r="AB586" s="2"/>
    </row>
    <row r="587" spans="22:28" ht="15.75" customHeight="1" x14ac:dyDescent="0.15">
      <c r="V587" s="2"/>
      <c r="W587" s="2"/>
      <c r="X587" s="2"/>
      <c r="Y587" s="2"/>
      <c r="Z587" s="2"/>
      <c r="AA587" s="2"/>
      <c r="AB587" s="2"/>
    </row>
    <row r="588" spans="22:28" ht="15.75" customHeight="1" x14ac:dyDescent="0.15">
      <c r="V588" s="2"/>
      <c r="W588" s="2"/>
      <c r="X588" s="2"/>
      <c r="Y588" s="2"/>
      <c r="Z588" s="2"/>
      <c r="AA588" s="2"/>
      <c r="AB588" s="2"/>
    </row>
    <row r="589" spans="22:28" ht="15.75" customHeight="1" x14ac:dyDescent="0.15">
      <c r="V589" s="2"/>
      <c r="W589" s="2"/>
      <c r="X589" s="2"/>
      <c r="Y589" s="2"/>
      <c r="Z589" s="2"/>
      <c r="AA589" s="2"/>
      <c r="AB589" s="2"/>
    </row>
    <row r="590" spans="22:28" ht="15.75" customHeight="1" x14ac:dyDescent="0.15">
      <c r="V590" s="2"/>
      <c r="W590" s="2"/>
      <c r="X590" s="2"/>
      <c r="Y590" s="2"/>
      <c r="Z590" s="2"/>
      <c r="AA590" s="2"/>
      <c r="AB590" s="2"/>
    </row>
    <row r="591" spans="22:28" ht="15.75" customHeight="1" x14ac:dyDescent="0.15">
      <c r="V591" s="2"/>
      <c r="W591" s="2"/>
      <c r="X591" s="2"/>
      <c r="Y591" s="2"/>
      <c r="Z591" s="2"/>
      <c r="AA591" s="2"/>
      <c r="AB591" s="2"/>
    </row>
    <row r="592" spans="22:28" ht="15.75" customHeight="1" x14ac:dyDescent="0.15">
      <c r="V592" s="2"/>
      <c r="W592" s="2"/>
      <c r="X592" s="2"/>
      <c r="Y592" s="2"/>
      <c r="Z592" s="2"/>
      <c r="AA592" s="2"/>
      <c r="AB592" s="2"/>
    </row>
    <row r="593" spans="22:28" ht="15.75" customHeight="1" x14ac:dyDescent="0.15">
      <c r="V593" s="2"/>
      <c r="W593" s="2"/>
      <c r="X593" s="2"/>
      <c r="Y593" s="2"/>
      <c r="Z593" s="2"/>
      <c r="AA593" s="2"/>
      <c r="AB593" s="2"/>
    </row>
    <row r="594" spans="22:28" ht="15.75" customHeight="1" x14ac:dyDescent="0.15">
      <c r="V594" s="2"/>
      <c r="W594" s="2"/>
      <c r="X594" s="2"/>
      <c r="Y594" s="2"/>
      <c r="Z594" s="2"/>
      <c r="AA594" s="2"/>
      <c r="AB594" s="2"/>
    </row>
    <row r="595" spans="22:28" ht="15.75" customHeight="1" x14ac:dyDescent="0.15">
      <c r="V595" s="2"/>
      <c r="W595" s="2"/>
      <c r="X595" s="2"/>
      <c r="Y595" s="2"/>
      <c r="Z595" s="2"/>
      <c r="AA595" s="2"/>
      <c r="AB595" s="2"/>
    </row>
    <row r="596" spans="22:28" ht="15.75" customHeight="1" x14ac:dyDescent="0.15">
      <c r="V596" s="2"/>
      <c r="W596" s="2"/>
      <c r="X596" s="2"/>
      <c r="Y596" s="2"/>
      <c r="Z596" s="2"/>
      <c r="AA596" s="2"/>
      <c r="AB596" s="2"/>
    </row>
    <row r="597" spans="22:28" ht="15.75" customHeight="1" x14ac:dyDescent="0.15">
      <c r="V597" s="2"/>
      <c r="W597" s="2"/>
      <c r="X597" s="2"/>
      <c r="Y597" s="2"/>
      <c r="Z597" s="2"/>
      <c r="AA597" s="2"/>
      <c r="AB597" s="2"/>
    </row>
    <row r="598" spans="22:28" ht="15.75" customHeight="1" x14ac:dyDescent="0.15">
      <c r="V598" s="2"/>
      <c r="W598" s="2"/>
      <c r="X598" s="2"/>
      <c r="Y598" s="2"/>
      <c r="Z598" s="2"/>
      <c r="AA598" s="2"/>
      <c r="AB598" s="2"/>
    </row>
    <row r="599" spans="22:28" ht="15.75" customHeight="1" x14ac:dyDescent="0.15">
      <c r="V599" s="2"/>
      <c r="W599" s="2"/>
      <c r="X599" s="2"/>
      <c r="Y599" s="2"/>
      <c r="Z599" s="2"/>
      <c r="AA599" s="2"/>
      <c r="AB599" s="2"/>
    </row>
    <row r="600" spans="22:28" ht="15.75" customHeight="1" x14ac:dyDescent="0.15">
      <c r="V600" s="2"/>
      <c r="W600" s="2"/>
      <c r="X600" s="2"/>
      <c r="Y600" s="2"/>
      <c r="Z600" s="2"/>
      <c r="AA600" s="2"/>
      <c r="AB600" s="2"/>
    </row>
    <row r="601" spans="22:28" ht="15.75" customHeight="1" x14ac:dyDescent="0.15">
      <c r="V601" s="2"/>
      <c r="W601" s="2"/>
      <c r="X601" s="2"/>
      <c r="Y601" s="2"/>
      <c r="Z601" s="2"/>
      <c r="AA601" s="2"/>
      <c r="AB601" s="2"/>
    </row>
    <row r="602" spans="22:28" ht="15.75" customHeight="1" x14ac:dyDescent="0.15">
      <c r="V602" s="2"/>
      <c r="W602" s="2"/>
      <c r="X602" s="2"/>
      <c r="Y602" s="2"/>
      <c r="Z602" s="2"/>
      <c r="AA602" s="2"/>
      <c r="AB602" s="2"/>
    </row>
    <row r="603" spans="22:28" ht="15.75" customHeight="1" x14ac:dyDescent="0.15">
      <c r="V603" s="2"/>
      <c r="W603" s="2"/>
      <c r="X603" s="2"/>
      <c r="Y603" s="2"/>
      <c r="Z603" s="2"/>
      <c r="AA603" s="2"/>
      <c r="AB603" s="2"/>
    </row>
    <row r="604" spans="22:28" ht="15.75" customHeight="1" x14ac:dyDescent="0.15">
      <c r="V604" s="2"/>
      <c r="W604" s="2"/>
      <c r="X604" s="2"/>
      <c r="Y604" s="2"/>
      <c r="Z604" s="2"/>
      <c r="AA604" s="2"/>
      <c r="AB604" s="2"/>
    </row>
    <row r="605" spans="22:28" ht="15.75" customHeight="1" x14ac:dyDescent="0.15">
      <c r="V605" s="2"/>
      <c r="W605" s="2"/>
      <c r="X605" s="2"/>
      <c r="Y605" s="2"/>
      <c r="Z605" s="2"/>
      <c r="AA605" s="2"/>
      <c r="AB605" s="2"/>
    </row>
    <row r="606" spans="22:28" ht="15.75" customHeight="1" x14ac:dyDescent="0.15">
      <c r="V606" s="2"/>
      <c r="W606" s="2"/>
      <c r="X606" s="2"/>
      <c r="Y606" s="2"/>
      <c r="Z606" s="2"/>
      <c r="AA606" s="2"/>
      <c r="AB606" s="2"/>
    </row>
    <row r="607" spans="22:28" ht="15.75" customHeight="1" x14ac:dyDescent="0.15">
      <c r="V607" s="2"/>
      <c r="W607" s="2"/>
      <c r="X607" s="2"/>
      <c r="Y607" s="2"/>
      <c r="Z607" s="2"/>
      <c r="AA607" s="2"/>
      <c r="AB607" s="2"/>
    </row>
    <row r="608" spans="22:28" ht="15.75" customHeight="1" x14ac:dyDescent="0.15">
      <c r="V608" s="2"/>
      <c r="W608" s="2"/>
      <c r="X608" s="2"/>
      <c r="Y608" s="2"/>
      <c r="Z608" s="2"/>
      <c r="AA608" s="2"/>
      <c r="AB608" s="2"/>
    </row>
    <row r="609" spans="22:28" ht="15.75" customHeight="1" x14ac:dyDescent="0.15">
      <c r="V609" s="2"/>
      <c r="W609" s="2"/>
      <c r="X609" s="2"/>
      <c r="Y609" s="2"/>
      <c r="Z609" s="2"/>
      <c r="AA609" s="2"/>
      <c r="AB609" s="2"/>
    </row>
    <row r="610" spans="22:28" ht="15.75" customHeight="1" x14ac:dyDescent="0.15">
      <c r="V610" s="2"/>
      <c r="W610" s="2"/>
      <c r="X610" s="2"/>
      <c r="Y610" s="2"/>
      <c r="Z610" s="2"/>
      <c r="AA610" s="2"/>
      <c r="AB610" s="2"/>
    </row>
    <row r="611" spans="22:28" ht="15.75" customHeight="1" x14ac:dyDescent="0.15">
      <c r="V611" s="2"/>
      <c r="W611" s="2"/>
      <c r="X611" s="2"/>
      <c r="Y611" s="2"/>
      <c r="Z611" s="2"/>
      <c r="AA611" s="2"/>
      <c r="AB611" s="2"/>
    </row>
    <row r="612" spans="22:28" ht="15.75" customHeight="1" x14ac:dyDescent="0.15">
      <c r="V612" s="2"/>
      <c r="W612" s="2"/>
      <c r="X612" s="2"/>
      <c r="Y612" s="2"/>
      <c r="Z612" s="2"/>
      <c r="AA612" s="2"/>
      <c r="AB612" s="2"/>
    </row>
    <row r="613" spans="22:28" ht="15.75" customHeight="1" x14ac:dyDescent="0.15">
      <c r="V613" s="2"/>
      <c r="W613" s="2"/>
      <c r="X613" s="2"/>
      <c r="Y613" s="2"/>
      <c r="Z613" s="2"/>
      <c r="AA613" s="2"/>
      <c r="AB613" s="2"/>
    </row>
    <row r="614" spans="22:28" ht="15.75" customHeight="1" x14ac:dyDescent="0.15">
      <c r="V614" s="2"/>
      <c r="W614" s="2"/>
      <c r="X614" s="2"/>
      <c r="Y614" s="2"/>
      <c r="Z614" s="2"/>
      <c r="AA614" s="2"/>
      <c r="AB614" s="2"/>
    </row>
    <row r="615" spans="22:28" ht="15.75" customHeight="1" x14ac:dyDescent="0.15">
      <c r="V615" s="2"/>
      <c r="W615" s="2"/>
      <c r="X615" s="2"/>
      <c r="Y615" s="2"/>
      <c r="Z615" s="2"/>
      <c r="AA615" s="2"/>
      <c r="AB615" s="2"/>
    </row>
    <row r="616" spans="22:28" ht="15.75" customHeight="1" x14ac:dyDescent="0.15">
      <c r="V616" s="2"/>
      <c r="W616" s="2"/>
      <c r="X616" s="2"/>
      <c r="Y616" s="2"/>
      <c r="Z616" s="2"/>
      <c r="AA616" s="2"/>
      <c r="AB616" s="2"/>
    </row>
    <row r="617" spans="22:28" ht="15.75" customHeight="1" x14ac:dyDescent="0.15">
      <c r="V617" s="2"/>
      <c r="W617" s="2"/>
      <c r="X617" s="2"/>
      <c r="Y617" s="2"/>
      <c r="Z617" s="2"/>
      <c r="AA617" s="2"/>
      <c r="AB617" s="2"/>
    </row>
    <row r="618" spans="22:28" ht="15.75" customHeight="1" x14ac:dyDescent="0.15">
      <c r="V618" s="2"/>
      <c r="W618" s="2"/>
      <c r="X618" s="2"/>
      <c r="Y618" s="2"/>
      <c r="Z618" s="2"/>
      <c r="AA618" s="2"/>
      <c r="AB618" s="2"/>
    </row>
    <row r="619" spans="22:28" ht="15.75" customHeight="1" x14ac:dyDescent="0.15">
      <c r="V619" s="2"/>
      <c r="W619" s="2"/>
      <c r="X619" s="2"/>
      <c r="Y619" s="2"/>
      <c r="Z619" s="2"/>
      <c r="AA619" s="2"/>
      <c r="AB619" s="2"/>
    </row>
    <row r="620" spans="22:28" ht="15.75" customHeight="1" x14ac:dyDescent="0.15">
      <c r="V620" s="2"/>
      <c r="W620" s="2"/>
      <c r="X620" s="2"/>
      <c r="Y620" s="2"/>
      <c r="Z620" s="2"/>
      <c r="AA620" s="2"/>
      <c r="AB620" s="2"/>
    </row>
    <row r="621" spans="22:28" ht="15.75" customHeight="1" x14ac:dyDescent="0.15">
      <c r="V621" s="2"/>
      <c r="W621" s="2"/>
      <c r="X621" s="2"/>
      <c r="Y621" s="2"/>
      <c r="Z621" s="2"/>
      <c r="AA621" s="2"/>
      <c r="AB621" s="2"/>
    </row>
    <row r="622" spans="22:28" ht="15.75" customHeight="1" x14ac:dyDescent="0.15">
      <c r="V622" s="2"/>
      <c r="W622" s="2"/>
      <c r="X622" s="2"/>
      <c r="Y622" s="2"/>
      <c r="Z622" s="2"/>
      <c r="AA622" s="2"/>
      <c r="AB622" s="2"/>
    </row>
    <row r="623" spans="22:28" ht="15.75" customHeight="1" x14ac:dyDescent="0.15">
      <c r="V623" s="2"/>
      <c r="W623" s="2"/>
      <c r="X623" s="2"/>
      <c r="Y623" s="2"/>
      <c r="Z623" s="2"/>
      <c r="AA623" s="2"/>
      <c r="AB623" s="2"/>
    </row>
    <row r="624" spans="22:28" ht="15.75" customHeight="1" x14ac:dyDescent="0.15">
      <c r="V624" s="2"/>
      <c r="W624" s="2"/>
      <c r="X624" s="2"/>
      <c r="Y624" s="2"/>
      <c r="Z624" s="2"/>
      <c r="AA624" s="2"/>
      <c r="AB624" s="2"/>
    </row>
    <row r="625" spans="22:28" ht="15.75" customHeight="1" x14ac:dyDescent="0.15">
      <c r="V625" s="2"/>
      <c r="W625" s="2"/>
      <c r="X625" s="2"/>
      <c r="Y625" s="2"/>
      <c r="Z625" s="2"/>
      <c r="AA625" s="2"/>
      <c r="AB625" s="2"/>
    </row>
    <row r="626" spans="22:28" ht="15.75" customHeight="1" x14ac:dyDescent="0.15">
      <c r="V626" s="2"/>
      <c r="W626" s="2"/>
      <c r="X626" s="2"/>
      <c r="Y626" s="2"/>
      <c r="Z626" s="2"/>
      <c r="AA626" s="2"/>
      <c r="AB626" s="2"/>
    </row>
    <row r="627" spans="22:28" ht="15.75" customHeight="1" x14ac:dyDescent="0.15">
      <c r="V627" s="2"/>
      <c r="W627" s="2"/>
      <c r="X627" s="2"/>
      <c r="Y627" s="2"/>
      <c r="Z627" s="2"/>
      <c r="AA627" s="2"/>
      <c r="AB627" s="2"/>
    </row>
    <row r="628" spans="22:28" ht="15.75" customHeight="1" x14ac:dyDescent="0.15">
      <c r="V628" s="2"/>
      <c r="W628" s="2"/>
      <c r="X628" s="2"/>
      <c r="Y628" s="2"/>
      <c r="Z628" s="2"/>
      <c r="AA628" s="2"/>
      <c r="AB628" s="2"/>
    </row>
    <row r="629" spans="22:28" ht="15.75" customHeight="1" x14ac:dyDescent="0.15">
      <c r="V629" s="2"/>
      <c r="W629" s="2"/>
      <c r="X629" s="2"/>
      <c r="Y629" s="2"/>
      <c r="Z629" s="2"/>
      <c r="AA629" s="2"/>
      <c r="AB629" s="2"/>
    </row>
    <row r="630" spans="22:28" ht="15.75" customHeight="1" x14ac:dyDescent="0.15">
      <c r="V630" s="2"/>
      <c r="W630" s="2"/>
      <c r="X630" s="2"/>
      <c r="Y630" s="2"/>
      <c r="Z630" s="2"/>
      <c r="AA630" s="2"/>
      <c r="AB630" s="2"/>
    </row>
    <row r="631" spans="22:28" ht="15.75" customHeight="1" x14ac:dyDescent="0.15">
      <c r="V631" s="2"/>
      <c r="W631" s="2"/>
      <c r="X631" s="2"/>
      <c r="Y631" s="2"/>
      <c r="Z631" s="2"/>
      <c r="AA631" s="2"/>
      <c r="AB631" s="2"/>
    </row>
    <row r="632" spans="22:28" ht="15.75" customHeight="1" x14ac:dyDescent="0.15">
      <c r="V632" s="2"/>
      <c r="W632" s="2"/>
      <c r="X632" s="2"/>
      <c r="Y632" s="2"/>
      <c r="Z632" s="2"/>
      <c r="AA632" s="2"/>
      <c r="AB632" s="2"/>
    </row>
    <row r="633" spans="22:28" ht="15.75" customHeight="1" x14ac:dyDescent="0.15">
      <c r="V633" s="2"/>
      <c r="W633" s="2"/>
      <c r="X633" s="2"/>
      <c r="Y633" s="2"/>
      <c r="Z633" s="2"/>
      <c r="AA633" s="2"/>
      <c r="AB633" s="2"/>
    </row>
    <row r="634" spans="22:28" ht="15.75" customHeight="1" x14ac:dyDescent="0.15">
      <c r="V634" s="2"/>
      <c r="W634" s="2"/>
      <c r="X634" s="2"/>
      <c r="Y634" s="2"/>
      <c r="Z634" s="2"/>
      <c r="AA634" s="2"/>
      <c r="AB634" s="2"/>
    </row>
    <row r="635" spans="22:28" ht="15.75" customHeight="1" x14ac:dyDescent="0.15">
      <c r="V635" s="2"/>
      <c r="W635" s="2"/>
      <c r="X635" s="2"/>
      <c r="Y635" s="2"/>
      <c r="Z635" s="2"/>
      <c r="AA635" s="2"/>
      <c r="AB635" s="2"/>
    </row>
    <row r="636" spans="22:28" ht="15.75" customHeight="1" x14ac:dyDescent="0.15">
      <c r="V636" s="2"/>
      <c r="W636" s="2"/>
      <c r="X636" s="2"/>
      <c r="Y636" s="2"/>
      <c r="Z636" s="2"/>
      <c r="AA636" s="2"/>
      <c r="AB636" s="2"/>
    </row>
    <row r="637" spans="22:28" ht="15.75" customHeight="1" x14ac:dyDescent="0.15">
      <c r="V637" s="2"/>
      <c r="W637" s="2"/>
      <c r="X637" s="2"/>
      <c r="Y637" s="2"/>
      <c r="Z637" s="2"/>
      <c r="AA637" s="2"/>
      <c r="AB637" s="2"/>
    </row>
    <row r="638" spans="22:28" ht="15.75" customHeight="1" x14ac:dyDescent="0.15">
      <c r="V638" s="2"/>
      <c r="W638" s="2"/>
      <c r="X638" s="2"/>
      <c r="Y638" s="2"/>
      <c r="Z638" s="2"/>
      <c r="AA638" s="2"/>
      <c r="AB638" s="2"/>
    </row>
    <row r="639" spans="22:28" ht="15.75" customHeight="1" x14ac:dyDescent="0.15">
      <c r="V639" s="2"/>
      <c r="W639" s="2"/>
      <c r="X639" s="2"/>
      <c r="Y639" s="2"/>
      <c r="Z639" s="2"/>
      <c r="AA639" s="2"/>
      <c r="AB639" s="2"/>
    </row>
    <row r="640" spans="22:28" ht="15.75" customHeight="1" x14ac:dyDescent="0.15">
      <c r="V640" s="2"/>
      <c r="W640" s="2"/>
      <c r="X640" s="2"/>
      <c r="Y640" s="2"/>
      <c r="Z640" s="2"/>
      <c r="AA640" s="2"/>
      <c r="AB640" s="2"/>
    </row>
    <row r="641" spans="22:28" ht="15.75" customHeight="1" x14ac:dyDescent="0.15">
      <c r="V641" s="2"/>
      <c r="W641" s="2"/>
      <c r="X641" s="2"/>
      <c r="Y641" s="2"/>
      <c r="Z641" s="2"/>
      <c r="AA641" s="2"/>
      <c r="AB641" s="2"/>
    </row>
    <row r="642" spans="22:28" ht="15.75" customHeight="1" x14ac:dyDescent="0.15">
      <c r="V642" s="2"/>
      <c r="W642" s="2"/>
      <c r="X642" s="2"/>
      <c r="Y642" s="2"/>
      <c r="Z642" s="2"/>
      <c r="AA642" s="2"/>
      <c r="AB642" s="2"/>
    </row>
    <row r="643" spans="22:28" ht="15.75" customHeight="1" x14ac:dyDescent="0.15">
      <c r="V643" s="2"/>
      <c r="W643" s="2"/>
      <c r="X643" s="2"/>
      <c r="Y643" s="2"/>
      <c r="Z643" s="2"/>
      <c r="AA643" s="2"/>
      <c r="AB643" s="2"/>
    </row>
    <row r="644" spans="22:28" ht="15.75" customHeight="1" x14ac:dyDescent="0.15">
      <c r="V644" s="2"/>
      <c r="W644" s="2"/>
      <c r="X644" s="2"/>
      <c r="Y644" s="2"/>
      <c r="Z644" s="2"/>
      <c r="AA644" s="2"/>
      <c r="AB644" s="2"/>
    </row>
    <row r="645" spans="22:28" ht="15.75" customHeight="1" x14ac:dyDescent="0.15">
      <c r="V645" s="2"/>
      <c r="W645" s="2"/>
      <c r="X645" s="2"/>
      <c r="Y645" s="2"/>
      <c r="Z645" s="2"/>
      <c r="AA645" s="2"/>
      <c r="AB645" s="2"/>
    </row>
    <row r="646" spans="22:28" ht="15.75" customHeight="1" x14ac:dyDescent="0.15">
      <c r="V646" s="2"/>
      <c r="W646" s="2"/>
      <c r="X646" s="2"/>
      <c r="Y646" s="2"/>
      <c r="Z646" s="2"/>
      <c r="AA646" s="2"/>
      <c r="AB646" s="2"/>
    </row>
    <row r="647" spans="22:28" ht="15.75" customHeight="1" x14ac:dyDescent="0.15">
      <c r="V647" s="2"/>
      <c r="W647" s="2"/>
      <c r="X647" s="2"/>
      <c r="Y647" s="2"/>
      <c r="Z647" s="2"/>
      <c r="AA647" s="2"/>
      <c r="AB647" s="2"/>
    </row>
    <row r="648" spans="22:28" ht="15.75" customHeight="1" x14ac:dyDescent="0.15">
      <c r="V648" s="2"/>
      <c r="W648" s="2"/>
      <c r="X648" s="2"/>
      <c r="Y648" s="2"/>
      <c r="Z648" s="2"/>
      <c r="AA648" s="2"/>
      <c r="AB648" s="2"/>
    </row>
    <row r="649" spans="22:28" ht="15.75" customHeight="1" x14ac:dyDescent="0.15">
      <c r="V649" s="2"/>
      <c r="W649" s="2"/>
      <c r="X649" s="2"/>
      <c r="Y649" s="2"/>
      <c r="Z649" s="2"/>
      <c r="AA649" s="2"/>
      <c r="AB649" s="2"/>
    </row>
    <row r="650" spans="22:28" ht="15.75" customHeight="1" x14ac:dyDescent="0.15">
      <c r="V650" s="2"/>
      <c r="W650" s="2"/>
      <c r="X650" s="2"/>
      <c r="Y650" s="2"/>
      <c r="Z650" s="2"/>
      <c r="AA650" s="2"/>
      <c r="AB650" s="2"/>
    </row>
    <row r="651" spans="22:28" ht="15.75" customHeight="1" x14ac:dyDescent="0.15">
      <c r="V651" s="2"/>
      <c r="W651" s="2"/>
      <c r="X651" s="2"/>
      <c r="Y651" s="2"/>
      <c r="Z651" s="2"/>
      <c r="AA651" s="2"/>
      <c r="AB651" s="2"/>
    </row>
    <row r="652" spans="22:28" ht="15.75" customHeight="1" x14ac:dyDescent="0.15">
      <c r="V652" s="2"/>
      <c r="W652" s="2"/>
      <c r="X652" s="2"/>
      <c r="Y652" s="2"/>
      <c r="Z652" s="2"/>
      <c r="AA652" s="2"/>
      <c r="AB652" s="2"/>
    </row>
    <row r="653" spans="22:28" ht="15.75" customHeight="1" x14ac:dyDescent="0.15">
      <c r="V653" s="2"/>
      <c r="W653" s="2"/>
      <c r="X653" s="2"/>
      <c r="Y653" s="2"/>
      <c r="Z653" s="2"/>
      <c r="AA653" s="2"/>
      <c r="AB653" s="2"/>
    </row>
    <row r="654" spans="22:28" ht="15.75" customHeight="1" x14ac:dyDescent="0.15">
      <c r="V654" s="2"/>
      <c r="W654" s="2"/>
      <c r="X654" s="2"/>
      <c r="Y654" s="2"/>
      <c r="Z654" s="2"/>
      <c r="AA654" s="2"/>
      <c r="AB654" s="2"/>
    </row>
    <row r="655" spans="22:28" ht="15.75" customHeight="1" x14ac:dyDescent="0.15">
      <c r="V655" s="2"/>
      <c r="W655" s="2"/>
      <c r="X655" s="2"/>
      <c r="Y655" s="2"/>
      <c r="Z655" s="2"/>
      <c r="AA655" s="2"/>
      <c r="AB655" s="2"/>
    </row>
    <row r="656" spans="22:28" ht="15.75" customHeight="1" x14ac:dyDescent="0.15">
      <c r="V656" s="2"/>
      <c r="W656" s="2"/>
      <c r="X656" s="2"/>
      <c r="Y656" s="2"/>
      <c r="Z656" s="2"/>
      <c r="AA656" s="2"/>
      <c r="AB656" s="2"/>
    </row>
    <row r="657" spans="22:28" ht="15.75" customHeight="1" x14ac:dyDescent="0.15">
      <c r="V657" s="2"/>
      <c r="W657" s="2"/>
      <c r="X657" s="2"/>
      <c r="Y657" s="2"/>
      <c r="Z657" s="2"/>
      <c r="AA657" s="2"/>
      <c r="AB657" s="2"/>
    </row>
    <row r="658" spans="22:28" ht="15.75" customHeight="1" x14ac:dyDescent="0.15">
      <c r="V658" s="2"/>
      <c r="W658" s="2"/>
      <c r="X658" s="2"/>
      <c r="Y658" s="2"/>
      <c r="Z658" s="2"/>
      <c r="AA658" s="2"/>
      <c r="AB658" s="2"/>
    </row>
    <row r="659" spans="22:28" ht="15.75" customHeight="1" x14ac:dyDescent="0.15">
      <c r="V659" s="2"/>
      <c r="W659" s="2"/>
      <c r="X659" s="2"/>
      <c r="Y659" s="2"/>
      <c r="Z659" s="2"/>
      <c r="AA659" s="2"/>
      <c r="AB659" s="2"/>
    </row>
    <row r="660" spans="22:28" ht="15.75" customHeight="1" x14ac:dyDescent="0.15">
      <c r="V660" s="2"/>
      <c r="W660" s="2"/>
      <c r="X660" s="2"/>
      <c r="Y660" s="2"/>
      <c r="Z660" s="2"/>
      <c r="AA660" s="2"/>
      <c r="AB660" s="2"/>
    </row>
    <row r="661" spans="22:28" ht="15.75" customHeight="1" x14ac:dyDescent="0.15">
      <c r="V661" s="2"/>
      <c r="W661" s="2"/>
      <c r="X661" s="2"/>
      <c r="Y661" s="2"/>
      <c r="Z661" s="2"/>
      <c r="AA661" s="2"/>
      <c r="AB661" s="2"/>
    </row>
    <row r="662" spans="22:28" ht="15.75" customHeight="1" x14ac:dyDescent="0.15">
      <c r="V662" s="2"/>
      <c r="W662" s="2"/>
      <c r="X662" s="2"/>
      <c r="Y662" s="2"/>
      <c r="Z662" s="2"/>
      <c r="AA662" s="2"/>
      <c r="AB662" s="2"/>
    </row>
    <row r="663" spans="22:28" ht="15.75" customHeight="1" x14ac:dyDescent="0.15">
      <c r="V663" s="2"/>
      <c r="W663" s="2"/>
      <c r="X663" s="2"/>
      <c r="Y663" s="2"/>
      <c r="Z663" s="2"/>
      <c r="AA663" s="2"/>
      <c r="AB663" s="2"/>
    </row>
    <row r="664" spans="22:28" ht="15.75" customHeight="1" x14ac:dyDescent="0.15">
      <c r="V664" s="2"/>
      <c r="W664" s="2"/>
      <c r="X664" s="2"/>
      <c r="Y664" s="2"/>
      <c r="Z664" s="2"/>
      <c r="AA664" s="2"/>
      <c r="AB664" s="2"/>
    </row>
    <row r="665" spans="22:28" ht="15.75" customHeight="1" x14ac:dyDescent="0.15">
      <c r="V665" s="2"/>
      <c r="W665" s="2"/>
      <c r="X665" s="2"/>
      <c r="Y665" s="2"/>
      <c r="Z665" s="2"/>
      <c r="AA665" s="2"/>
      <c r="AB665" s="2"/>
    </row>
    <row r="666" spans="22:28" ht="15.75" customHeight="1" x14ac:dyDescent="0.15">
      <c r="V666" s="2"/>
      <c r="W666" s="2"/>
      <c r="X666" s="2"/>
      <c r="Y666" s="2"/>
      <c r="Z666" s="2"/>
      <c r="AA666" s="2"/>
      <c r="AB666" s="2"/>
    </row>
    <row r="667" spans="22:28" ht="15.75" customHeight="1" x14ac:dyDescent="0.15">
      <c r="V667" s="2"/>
      <c r="W667" s="2"/>
      <c r="X667" s="2"/>
      <c r="Y667" s="2"/>
      <c r="Z667" s="2"/>
      <c r="AA667" s="2"/>
      <c r="AB667" s="2"/>
    </row>
    <row r="668" spans="22:28" ht="15.75" customHeight="1" x14ac:dyDescent="0.15">
      <c r="V668" s="2"/>
      <c r="W668" s="2"/>
      <c r="X668" s="2"/>
      <c r="Y668" s="2"/>
      <c r="Z668" s="2"/>
      <c r="AA668" s="2"/>
      <c r="AB668" s="2"/>
    </row>
    <row r="669" spans="22:28" ht="15.75" customHeight="1" x14ac:dyDescent="0.15">
      <c r="V669" s="2"/>
      <c r="W669" s="2"/>
      <c r="X669" s="2"/>
      <c r="Y669" s="2"/>
      <c r="Z669" s="2"/>
      <c r="AA669" s="2"/>
      <c r="AB669" s="2"/>
    </row>
    <row r="670" spans="22:28" ht="15.75" customHeight="1" x14ac:dyDescent="0.15">
      <c r="V670" s="2"/>
      <c r="W670" s="2"/>
      <c r="X670" s="2"/>
      <c r="Y670" s="2"/>
      <c r="Z670" s="2"/>
      <c r="AA670" s="2"/>
      <c r="AB670" s="2"/>
    </row>
    <row r="671" spans="22:28" ht="15.75" customHeight="1" x14ac:dyDescent="0.15">
      <c r="V671" s="2"/>
      <c r="W671" s="2"/>
      <c r="X671" s="2"/>
      <c r="Y671" s="2"/>
      <c r="Z671" s="2"/>
      <c r="AA671" s="2"/>
      <c r="AB671" s="2"/>
    </row>
    <row r="672" spans="22:28" ht="15.75" customHeight="1" x14ac:dyDescent="0.15">
      <c r="V672" s="2"/>
      <c r="W672" s="2"/>
      <c r="X672" s="2"/>
      <c r="Y672" s="2"/>
      <c r="Z672" s="2"/>
      <c r="AA672" s="2"/>
      <c r="AB672" s="2"/>
    </row>
    <row r="673" spans="22:28" ht="15.75" customHeight="1" x14ac:dyDescent="0.15">
      <c r="V673" s="2"/>
      <c r="W673" s="2"/>
      <c r="X673" s="2"/>
      <c r="Y673" s="2"/>
      <c r="Z673" s="2"/>
      <c r="AA673" s="2"/>
      <c r="AB673" s="2"/>
    </row>
    <row r="674" spans="22:28" ht="15.75" customHeight="1" x14ac:dyDescent="0.15">
      <c r="V674" s="2"/>
      <c r="W674" s="2"/>
      <c r="X674" s="2"/>
      <c r="Y674" s="2"/>
      <c r="Z674" s="2"/>
      <c r="AA674" s="2"/>
      <c r="AB674" s="2"/>
    </row>
    <row r="675" spans="22:28" ht="15.75" customHeight="1" x14ac:dyDescent="0.15">
      <c r="V675" s="2"/>
      <c r="W675" s="2"/>
      <c r="X675" s="2"/>
      <c r="Y675" s="2"/>
      <c r="Z675" s="2"/>
      <c r="AA675" s="2"/>
      <c r="AB675" s="2"/>
    </row>
    <row r="676" spans="22:28" ht="15.75" customHeight="1" x14ac:dyDescent="0.15">
      <c r="V676" s="2"/>
      <c r="W676" s="2"/>
      <c r="X676" s="2"/>
      <c r="Y676" s="2"/>
      <c r="Z676" s="2"/>
      <c r="AA676" s="2"/>
      <c r="AB676" s="2"/>
    </row>
    <row r="677" spans="22:28" ht="15.75" customHeight="1" x14ac:dyDescent="0.15">
      <c r="V677" s="2"/>
      <c r="W677" s="2"/>
      <c r="X677" s="2"/>
      <c r="Y677" s="2"/>
      <c r="Z677" s="2"/>
      <c r="AA677" s="2"/>
      <c r="AB677" s="2"/>
    </row>
    <row r="678" spans="22:28" ht="15.75" customHeight="1" x14ac:dyDescent="0.15">
      <c r="V678" s="2"/>
      <c r="W678" s="2"/>
      <c r="X678" s="2"/>
      <c r="Y678" s="2"/>
      <c r="Z678" s="2"/>
      <c r="AA678" s="2"/>
      <c r="AB678" s="2"/>
    </row>
    <row r="679" spans="22:28" ht="15.75" customHeight="1" x14ac:dyDescent="0.15">
      <c r="V679" s="2"/>
      <c r="W679" s="2"/>
      <c r="X679" s="2"/>
      <c r="Y679" s="2"/>
      <c r="Z679" s="2"/>
      <c r="AA679" s="2"/>
      <c r="AB679" s="2"/>
    </row>
    <row r="680" spans="22:28" ht="15.75" customHeight="1" x14ac:dyDescent="0.15">
      <c r="V680" s="2"/>
      <c r="W680" s="2"/>
      <c r="X680" s="2"/>
      <c r="Y680" s="2"/>
      <c r="Z680" s="2"/>
      <c r="AA680" s="2"/>
      <c r="AB680" s="2"/>
    </row>
    <row r="681" spans="22:28" ht="15.75" customHeight="1" x14ac:dyDescent="0.15">
      <c r="V681" s="2"/>
      <c r="W681" s="2"/>
      <c r="X681" s="2"/>
      <c r="Y681" s="2"/>
      <c r="Z681" s="2"/>
      <c r="AA681" s="2"/>
      <c r="AB681" s="2"/>
    </row>
    <row r="682" spans="22:28" ht="15.75" customHeight="1" x14ac:dyDescent="0.15">
      <c r="V682" s="2"/>
      <c r="W682" s="2"/>
      <c r="X682" s="2"/>
      <c r="Y682" s="2"/>
      <c r="Z682" s="2"/>
      <c r="AA682" s="2"/>
      <c r="AB682" s="2"/>
    </row>
    <row r="683" spans="22:28" ht="15.75" customHeight="1" x14ac:dyDescent="0.15">
      <c r="V683" s="2"/>
      <c r="W683" s="2"/>
      <c r="X683" s="2"/>
      <c r="Y683" s="2"/>
      <c r="Z683" s="2"/>
      <c r="AA683" s="2"/>
      <c r="AB683" s="2"/>
    </row>
    <row r="684" spans="22:28" ht="15.75" customHeight="1" x14ac:dyDescent="0.15">
      <c r="V684" s="2"/>
      <c r="W684" s="2"/>
      <c r="X684" s="2"/>
      <c r="Y684" s="2"/>
      <c r="Z684" s="2"/>
      <c r="AA684" s="2"/>
      <c r="AB684" s="2"/>
    </row>
    <row r="685" spans="22:28" ht="15.75" customHeight="1" x14ac:dyDescent="0.15">
      <c r="V685" s="2"/>
      <c r="W685" s="2"/>
      <c r="X685" s="2"/>
      <c r="Y685" s="2"/>
      <c r="Z685" s="2"/>
      <c r="AA685" s="2"/>
      <c r="AB685" s="2"/>
    </row>
    <row r="686" spans="22:28" ht="15.75" customHeight="1" x14ac:dyDescent="0.15">
      <c r="V686" s="2"/>
      <c r="W686" s="2"/>
      <c r="X686" s="2"/>
      <c r="Y686" s="2"/>
      <c r="Z686" s="2"/>
      <c r="AA686" s="2"/>
      <c r="AB686" s="2"/>
    </row>
    <row r="687" spans="22:28" ht="15.75" customHeight="1" x14ac:dyDescent="0.15">
      <c r="V687" s="2"/>
      <c r="W687" s="2"/>
      <c r="X687" s="2"/>
      <c r="Y687" s="2"/>
      <c r="Z687" s="2"/>
      <c r="AA687" s="2"/>
      <c r="AB687" s="2"/>
    </row>
    <row r="688" spans="22:28" ht="15.75" customHeight="1" x14ac:dyDescent="0.15">
      <c r="V688" s="2"/>
      <c r="W688" s="2"/>
      <c r="X688" s="2"/>
      <c r="Y688" s="2"/>
      <c r="Z688" s="2"/>
      <c r="AA688" s="2"/>
      <c r="AB688" s="2"/>
    </row>
    <row r="689" spans="22:28" ht="15.75" customHeight="1" x14ac:dyDescent="0.15">
      <c r="V689" s="2"/>
      <c r="W689" s="2"/>
      <c r="X689" s="2"/>
      <c r="Y689" s="2"/>
      <c r="Z689" s="2"/>
      <c r="AA689" s="2"/>
      <c r="AB689" s="2"/>
    </row>
    <row r="690" spans="22:28" ht="15.75" customHeight="1" x14ac:dyDescent="0.15">
      <c r="V690" s="2"/>
      <c r="W690" s="2"/>
      <c r="X690" s="2"/>
      <c r="Y690" s="2"/>
      <c r="Z690" s="2"/>
      <c r="AA690" s="2"/>
      <c r="AB690" s="2"/>
    </row>
    <row r="691" spans="22:28" ht="15.75" customHeight="1" x14ac:dyDescent="0.15">
      <c r="V691" s="2"/>
      <c r="W691" s="2"/>
      <c r="X691" s="2"/>
      <c r="Y691" s="2"/>
      <c r="Z691" s="2"/>
      <c r="AA691" s="2"/>
      <c r="AB691" s="2"/>
    </row>
    <row r="692" spans="22:28" ht="15.75" customHeight="1" x14ac:dyDescent="0.15">
      <c r="V692" s="2"/>
      <c r="W692" s="2"/>
      <c r="X692" s="2"/>
      <c r="Y692" s="2"/>
      <c r="Z692" s="2"/>
      <c r="AA692" s="2"/>
      <c r="AB692" s="2"/>
    </row>
    <row r="693" spans="22:28" ht="15.75" customHeight="1" x14ac:dyDescent="0.15">
      <c r="V693" s="2"/>
      <c r="W693" s="2"/>
      <c r="X693" s="2"/>
      <c r="Y693" s="2"/>
      <c r="Z693" s="2"/>
      <c r="AA693" s="2"/>
      <c r="AB693" s="2"/>
    </row>
    <row r="694" spans="22:28" ht="15.75" customHeight="1" x14ac:dyDescent="0.15">
      <c r="V694" s="2"/>
      <c r="W694" s="2"/>
      <c r="X694" s="2"/>
      <c r="Y694" s="2"/>
      <c r="Z694" s="2"/>
      <c r="AA694" s="2"/>
      <c r="AB694" s="2"/>
    </row>
    <row r="695" spans="22:28" ht="15.75" customHeight="1" x14ac:dyDescent="0.15">
      <c r="V695" s="2"/>
      <c r="W695" s="2"/>
      <c r="X695" s="2"/>
      <c r="Y695" s="2"/>
      <c r="Z695" s="2"/>
      <c r="AA695" s="2"/>
      <c r="AB695" s="2"/>
    </row>
    <row r="696" spans="22:28" ht="15.75" customHeight="1" x14ac:dyDescent="0.15">
      <c r="V696" s="2"/>
      <c r="W696" s="2"/>
      <c r="X696" s="2"/>
      <c r="Y696" s="2"/>
      <c r="Z696" s="2"/>
      <c r="AA696" s="2"/>
      <c r="AB696" s="2"/>
    </row>
    <row r="697" spans="22:28" ht="15.75" customHeight="1" x14ac:dyDescent="0.15">
      <c r="V697" s="2"/>
      <c r="W697" s="2"/>
      <c r="X697" s="2"/>
      <c r="Y697" s="2"/>
      <c r="Z697" s="2"/>
      <c r="AA697" s="2"/>
      <c r="AB697" s="2"/>
    </row>
    <row r="698" spans="22:28" ht="15.75" customHeight="1" x14ac:dyDescent="0.15">
      <c r="V698" s="2"/>
      <c r="W698" s="2"/>
      <c r="X698" s="2"/>
      <c r="Y698" s="2"/>
      <c r="Z698" s="2"/>
      <c r="AA698" s="2"/>
      <c r="AB698" s="2"/>
    </row>
    <row r="699" spans="22:28" ht="15.75" customHeight="1" x14ac:dyDescent="0.15">
      <c r="V699" s="2"/>
      <c r="W699" s="2"/>
      <c r="X699" s="2"/>
      <c r="Y699" s="2"/>
      <c r="Z699" s="2"/>
      <c r="AA699" s="2"/>
      <c r="AB699" s="2"/>
    </row>
    <row r="700" spans="22:28" ht="15.75" customHeight="1" x14ac:dyDescent="0.15">
      <c r="V700" s="2"/>
      <c r="W700" s="2"/>
      <c r="X700" s="2"/>
      <c r="Y700" s="2"/>
      <c r="Z700" s="2"/>
      <c r="AA700" s="2"/>
      <c r="AB700" s="2"/>
    </row>
    <row r="701" spans="22:28" ht="15.75" customHeight="1" x14ac:dyDescent="0.15">
      <c r="V701" s="2"/>
      <c r="W701" s="2"/>
      <c r="X701" s="2"/>
      <c r="Y701" s="2"/>
      <c r="Z701" s="2"/>
      <c r="AA701" s="2"/>
      <c r="AB701" s="2"/>
    </row>
    <row r="702" spans="22:28" ht="15.75" customHeight="1" x14ac:dyDescent="0.15">
      <c r="V702" s="2"/>
      <c r="W702" s="2"/>
      <c r="X702" s="2"/>
      <c r="Y702" s="2"/>
      <c r="Z702" s="2"/>
      <c r="AA702" s="2"/>
      <c r="AB702" s="2"/>
    </row>
    <row r="703" spans="22:28" ht="15.75" customHeight="1" x14ac:dyDescent="0.15">
      <c r="V703" s="2"/>
      <c r="W703" s="2"/>
      <c r="X703" s="2"/>
      <c r="Y703" s="2"/>
      <c r="Z703" s="2"/>
      <c r="AA703" s="2"/>
      <c r="AB703" s="2"/>
    </row>
    <row r="704" spans="22:28" ht="15.75" customHeight="1" x14ac:dyDescent="0.15">
      <c r="V704" s="2"/>
      <c r="W704" s="2"/>
      <c r="X704" s="2"/>
      <c r="Y704" s="2"/>
      <c r="Z704" s="2"/>
      <c r="AA704" s="2"/>
      <c r="AB704" s="2"/>
    </row>
    <row r="705" spans="22:28" ht="15.75" customHeight="1" x14ac:dyDescent="0.15">
      <c r="V705" s="2"/>
      <c r="W705" s="2"/>
      <c r="X705" s="2"/>
      <c r="Y705" s="2"/>
      <c r="Z705" s="2"/>
      <c r="AA705" s="2"/>
      <c r="AB705" s="2"/>
    </row>
    <row r="706" spans="22:28" ht="15.75" customHeight="1" x14ac:dyDescent="0.15">
      <c r="V706" s="2"/>
      <c r="W706" s="2"/>
      <c r="X706" s="2"/>
      <c r="Y706" s="2"/>
      <c r="Z706" s="2"/>
      <c r="AA706" s="2"/>
      <c r="AB706" s="2"/>
    </row>
    <row r="707" spans="22:28" ht="15.75" customHeight="1" x14ac:dyDescent="0.15">
      <c r="V707" s="2"/>
      <c r="W707" s="2"/>
      <c r="X707" s="2"/>
      <c r="Y707" s="2"/>
      <c r="Z707" s="2"/>
      <c r="AA707" s="2"/>
      <c r="AB707" s="2"/>
    </row>
    <row r="708" spans="22:28" ht="15.75" customHeight="1" x14ac:dyDescent="0.15">
      <c r="V708" s="2"/>
      <c r="W708" s="2"/>
      <c r="X708" s="2"/>
      <c r="Y708" s="2"/>
      <c r="Z708" s="2"/>
      <c r="AA708" s="2"/>
      <c r="AB708" s="2"/>
    </row>
    <row r="709" spans="22:28" ht="15.75" customHeight="1" x14ac:dyDescent="0.15">
      <c r="V709" s="2"/>
      <c r="W709" s="2"/>
      <c r="X709" s="2"/>
      <c r="Y709" s="2"/>
      <c r="Z709" s="2"/>
      <c r="AA709" s="2"/>
      <c r="AB709" s="2"/>
    </row>
    <row r="710" spans="22:28" ht="15.75" customHeight="1" x14ac:dyDescent="0.15">
      <c r="V710" s="2"/>
      <c r="W710" s="2"/>
      <c r="X710" s="2"/>
      <c r="Y710" s="2"/>
      <c r="Z710" s="2"/>
      <c r="AA710" s="2"/>
      <c r="AB710" s="2"/>
    </row>
    <row r="711" spans="22:28" ht="15.75" customHeight="1" x14ac:dyDescent="0.15">
      <c r="V711" s="2"/>
      <c r="W711" s="2"/>
      <c r="X711" s="2"/>
      <c r="Y711" s="2"/>
      <c r="Z711" s="2"/>
      <c r="AA711" s="2"/>
      <c r="AB711" s="2"/>
    </row>
    <row r="712" spans="22:28" ht="15.75" customHeight="1" x14ac:dyDescent="0.15">
      <c r="V712" s="2"/>
      <c r="W712" s="2"/>
      <c r="X712" s="2"/>
      <c r="Y712" s="2"/>
      <c r="Z712" s="2"/>
      <c r="AA712" s="2"/>
      <c r="AB712" s="2"/>
    </row>
    <row r="713" spans="22:28" ht="15.75" customHeight="1" x14ac:dyDescent="0.15">
      <c r="V713" s="2"/>
      <c r="W713" s="2"/>
      <c r="X713" s="2"/>
      <c r="Y713" s="2"/>
      <c r="Z713" s="2"/>
      <c r="AA713" s="2"/>
      <c r="AB713" s="2"/>
    </row>
    <row r="714" spans="22:28" ht="15.75" customHeight="1" x14ac:dyDescent="0.15">
      <c r="V714" s="2"/>
      <c r="W714" s="2"/>
      <c r="X714" s="2"/>
      <c r="Y714" s="2"/>
      <c r="Z714" s="2"/>
      <c r="AA714" s="2"/>
      <c r="AB714" s="2"/>
    </row>
    <row r="715" spans="22:28" ht="15.75" customHeight="1" x14ac:dyDescent="0.15">
      <c r="V715" s="2"/>
      <c r="W715" s="2"/>
      <c r="X715" s="2"/>
      <c r="Y715" s="2"/>
      <c r="Z715" s="2"/>
      <c r="AA715" s="2"/>
      <c r="AB715" s="2"/>
    </row>
    <row r="716" spans="22:28" ht="15.75" customHeight="1" x14ac:dyDescent="0.15">
      <c r="V716" s="2"/>
      <c r="W716" s="2"/>
      <c r="X716" s="2"/>
      <c r="Y716" s="2"/>
      <c r="Z716" s="2"/>
      <c r="AA716" s="2"/>
      <c r="AB716" s="2"/>
    </row>
    <row r="717" spans="22:28" ht="15.75" customHeight="1" x14ac:dyDescent="0.15">
      <c r="V717" s="2"/>
      <c r="W717" s="2"/>
      <c r="X717" s="2"/>
      <c r="Y717" s="2"/>
      <c r="Z717" s="2"/>
      <c r="AA717" s="2"/>
      <c r="AB717" s="2"/>
    </row>
    <row r="718" spans="22:28" ht="15.75" customHeight="1" x14ac:dyDescent="0.15">
      <c r="V718" s="2"/>
      <c r="W718" s="2"/>
      <c r="X718" s="2"/>
      <c r="Y718" s="2"/>
      <c r="Z718" s="2"/>
      <c r="AA718" s="2"/>
      <c r="AB718" s="2"/>
    </row>
    <row r="719" spans="22:28" ht="15.75" customHeight="1" x14ac:dyDescent="0.15">
      <c r="V719" s="2"/>
      <c r="W719" s="2"/>
      <c r="X719" s="2"/>
      <c r="Y719" s="2"/>
      <c r="Z719" s="2"/>
      <c r="AA719" s="2"/>
      <c r="AB719" s="2"/>
    </row>
    <row r="720" spans="22:28" ht="15.75" customHeight="1" x14ac:dyDescent="0.15">
      <c r="V720" s="2"/>
      <c r="W720" s="2"/>
      <c r="X720" s="2"/>
      <c r="Y720" s="2"/>
      <c r="Z720" s="2"/>
      <c r="AA720" s="2"/>
      <c r="AB720" s="2"/>
    </row>
    <row r="721" spans="22:28" ht="15.75" customHeight="1" x14ac:dyDescent="0.15">
      <c r="V721" s="2"/>
      <c r="W721" s="2"/>
      <c r="X721" s="2"/>
      <c r="Y721" s="2"/>
      <c r="Z721" s="2"/>
      <c r="AA721" s="2"/>
      <c r="AB721" s="2"/>
    </row>
    <row r="722" spans="22:28" ht="15.75" customHeight="1" x14ac:dyDescent="0.15">
      <c r="V722" s="2"/>
      <c r="W722" s="2"/>
      <c r="X722" s="2"/>
      <c r="Y722" s="2"/>
      <c r="Z722" s="2"/>
      <c r="AA722" s="2"/>
      <c r="AB722" s="2"/>
    </row>
    <row r="723" spans="22:28" ht="15.75" customHeight="1" x14ac:dyDescent="0.15">
      <c r="V723" s="2"/>
      <c r="W723" s="2"/>
      <c r="X723" s="2"/>
      <c r="Y723" s="2"/>
      <c r="Z723" s="2"/>
      <c r="AA723" s="2"/>
      <c r="AB723" s="2"/>
    </row>
    <row r="724" spans="22:28" ht="15.75" customHeight="1" x14ac:dyDescent="0.15">
      <c r="V724" s="2"/>
      <c r="W724" s="2"/>
      <c r="X724" s="2"/>
      <c r="Y724" s="2"/>
      <c r="Z724" s="2"/>
      <c r="AA724" s="2"/>
      <c r="AB724" s="2"/>
    </row>
    <row r="725" spans="22:28" ht="15.75" customHeight="1" x14ac:dyDescent="0.15">
      <c r="V725" s="2"/>
      <c r="W725" s="2"/>
      <c r="X725" s="2"/>
      <c r="Y725" s="2"/>
      <c r="Z725" s="2"/>
      <c r="AA725" s="2"/>
      <c r="AB725" s="2"/>
    </row>
    <row r="726" spans="22:28" ht="15.75" customHeight="1" x14ac:dyDescent="0.15">
      <c r="V726" s="2"/>
      <c r="W726" s="2"/>
      <c r="X726" s="2"/>
      <c r="Y726" s="2"/>
      <c r="Z726" s="2"/>
      <c r="AA726" s="2"/>
      <c r="AB726" s="2"/>
    </row>
    <row r="727" spans="22:28" ht="15.75" customHeight="1" x14ac:dyDescent="0.15">
      <c r="V727" s="2"/>
      <c r="W727" s="2"/>
      <c r="X727" s="2"/>
      <c r="Y727" s="2"/>
      <c r="Z727" s="2"/>
      <c r="AA727" s="2"/>
      <c r="AB727" s="2"/>
    </row>
    <row r="728" spans="22:28" ht="15.75" customHeight="1" x14ac:dyDescent="0.15">
      <c r="V728" s="2"/>
      <c r="W728" s="2"/>
      <c r="X728" s="2"/>
      <c r="Y728" s="2"/>
      <c r="Z728" s="2"/>
      <c r="AA728" s="2"/>
      <c r="AB728" s="2"/>
    </row>
    <row r="729" spans="22:28" ht="15.75" customHeight="1" x14ac:dyDescent="0.15">
      <c r="V729" s="2"/>
      <c r="W729" s="2"/>
      <c r="X729" s="2"/>
      <c r="Y729" s="2"/>
      <c r="Z729" s="2"/>
      <c r="AA729" s="2"/>
      <c r="AB729" s="2"/>
    </row>
    <row r="730" spans="22:28" ht="15.75" customHeight="1" x14ac:dyDescent="0.15">
      <c r="V730" s="2"/>
      <c r="W730" s="2"/>
      <c r="X730" s="2"/>
      <c r="Y730" s="2"/>
      <c r="Z730" s="2"/>
      <c r="AA730" s="2"/>
      <c r="AB730" s="2"/>
    </row>
    <row r="731" spans="22:28" ht="15.75" customHeight="1" x14ac:dyDescent="0.15">
      <c r="V731" s="2"/>
      <c r="W731" s="2"/>
      <c r="X731" s="2"/>
      <c r="Y731" s="2"/>
      <c r="Z731" s="2"/>
      <c r="AA731" s="2"/>
      <c r="AB731" s="2"/>
    </row>
    <row r="732" spans="22:28" ht="15.75" customHeight="1" x14ac:dyDescent="0.15">
      <c r="V732" s="2"/>
      <c r="W732" s="2"/>
      <c r="X732" s="2"/>
      <c r="Y732" s="2"/>
      <c r="Z732" s="2"/>
      <c r="AA732" s="2"/>
      <c r="AB732" s="2"/>
    </row>
    <row r="733" spans="22:28" ht="15.75" customHeight="1" x14ac:dyDescent="0.15">
      <c r="V733" s="2"/>
      <c r="W733" s="2"/>
      <c r="X733" s="2"/>
      <c r="Y733" s="2"/>
      <c r="Z733" s="2"/>
      <c r="AA733" s="2"/>
      <c r="AB733" s="2"/>
    </row>
    <row r="734" spans="22:28" ht="15.75" customHeight="1" x14ac:dyDescent="0.15">
      <c r="V734" s="2"/>
      <c r="W734" s="2"/>
      <c r="X734" s="2"/>
      <c r="Y734" s="2"/>
      <c r="Z734" s="2"/>
      <c r="AA734" s="2"/>
      <c r="AB734" s="2"/>
    </row>
    <row r="735" spans="22:28" ht="15.75" customHeight="1" x14ac:dyDescent="0.15">
      <c r="V735" s="2"/>
      <c r="W735" s="2"/>
      <c r="X735" s="2"/>
      <c r="Y735" s="2"/>
      <c r="Z735" s="2"/>
      <c r="AA735" s="2"/>
      <c r="AB735" s="2"/>
    </row>
    <row r="736" spans="22:28" ht="15.75" customHeight="1" x14ac:dyDescent="0.15">
      <c r="V736" s="2"/>
      <c r="W736" s="2"/>
      <c r="X736" s="2"/>
      <c r="Y736" s="2"/>
      <c r="Z736" s="2"/>
      <c r="AA736" s="2"/>
      <c r="AB736" s="2"/>
    </row>
    <row r="737" spans="22:28" ht="15.75" customHeight="1" x14ac:dyDescent="0.15">
      <c r="V737" s="2"/>
      <c r="W737" s="2"/>
      <c r="X737" s="2"/>
      <c r="Y737" s="2"/>
      <c r="Z737" s="2"/>
      <c r="AA737" s="2"/>
      <c r="AB737" s="2"/>
    </row>
    <row r="738" spans="22:28" ht="15.75" customHeight="1" x14ac:dyDescent="0.15">
      <c r="V738" s="2"/>
      <c r="W738" s="2"/>
      <c r="X738" s="2"/>
      <c r="Y738" s="2"/>
      <c r="Z738" s="2"/>
      <c r="AA738" s="2"/>
      <c r="AB738" s="2"/>
    </row>
    <row r="739" spans="22:28" ht="15.75" customHeight="1" x14ac:dyDescent="0.15">
      <c r="V739" s="2"/>
      <c r="W739" s="2"/>
      <c r="X739" s="2"/>
      <c r="Y739" s="2"/>
      <c r="Z739" s="2"/>
      <c r="AA739" s="2"/>
      <c r="AB739" s="2"/>
    </row>
    <row r="740" spans="22:28" ht="15.75" customHeight="1" x14ac:dyDescent="0.15">
      <c r="V740" s="2"/>
      <c r="W740" s="2"/>
      <c r="X740" s="2"/>
      <c r="Y740" s="2"/>
      <c r="Z740" s="2"/>
      <c r="AA740" s="2"/>
      <c r="AB740" s="2"/>
    </row>
    <row r="741" spans="22:28" ht="15.75" customHeight="1" x14ac:dyDescent="0.15">
      <c r="V741" s="2"/>
      <c r="W741" s="2"/>
      <c r="X741" s="2"/>
      <c r="Y741" s="2"/>
      <c r="Z741" s="2"/>
      <c r="AA741" s="2"/>
      <c r="AB741" s="2"/>
    </row>
    <row r="742" spans="22:28" ht="15.75" customHeight="1" x14ac:dyDescent="0.15">
      <c r="V742" s="2"/>
      <c r="W742" s="2"/>
      <c r="X742" s="2"/>
      <c r="Y742" s="2"/>
      <c r="Z742" s="2"/>
      <c r="AA742" s="2"/>
      <c r="AB742" s="2"/>
    </row>
    <row r="743" spans="22:28" ht="15.75" customHeight="1" x14ac:dyDescent="0.15">
      <c r="V743" s="2"/>
      <c r="W743" s="2"/>
      <c r="X743" s="2"/>
      <c r="Y743" s="2"/>
      <c r="Z743" s="2"/>
      <c r="AA743" s="2"/>
      <c r="AB743" s="2"/>
    </row>
    <row r="744" spans="22:28" ht="15.75" customHeight="1" x14ac:dyDescent="0.15">
      <c r="V744" s="2"/>
      <c r="W744" s="2"/>
      <c r="X744" s="2"/>
      <c r="Y744" s="2"/>
      <c r="Z744" s="2"/>
      <c r="AA744" s="2"/>
      <c r="AB744" s="2"/>
    </row>
    <row r="745" spans="22:28" ht="15.75" customHeight="1" x14ac:dyDescent="0.15">
      <c r="V745" s="2"/>
      <c r="W745" s="2"/>
      <c r="X745" s="2"/>
      <c r="Y745" s="2"/>
      <c r="Z745" s="2"/>
      <c r="AA745" s="2"/>
      <c r="AB745" s="2"/>
    </row>
    <row r="746" spans="22:28" ht="15.75" customHeight="1" x14ac:dyDescent="0.15">
      <c r="V746" s="2"/>
      <c r="W746" s="2"/>
      <c r="X746" s="2"/>
      <c r="Y746" s="2"/>
      <c r="Z746" s="2"/>
      <c r="AA746" s="2"/>
      <c r="AB746" s="2"/>
    </row>
    <row r="747" spans="22:28" ht="15.75" customHeight="1" x14ac:dyDescent="0.15">
      <c r="V747" s="2"/>
      <c r="W747" s="2"/>
      <c r="X747" s="2"/>
      <c r="Y747" s="2"/>
      <c r="Z747" s="2"/>
      <c r="AA747" s="2"/>
      <c r="AB747" s="2"/>
    </row>
    <row r="748" spans="22:28" ht="15.75" customHeight="1" x14ac:dyDescent="0.15">
      <c r="V748" s="2"/>
      <c r="W748" s="2"/>
      <c r="X748" s="2"/>
      <c r="Y748" s="2"/>
      <c r="Z748" s="2"/>
      <c r="AA748" s="2"/>
      <c r="AB748" s="2"/>
    </row>
    <row r="749" spans="22:28" ht="15.75" customHeight="1" x14ac:dyDescent="0.15">
      <c r="V749" s="2"/>
      <c r="W749" s="2"/>
      <c r="X749" s="2"/>
      <c r="Y749" s="2"/>
      <c r="Z749" s="2"/>
      <c r="AA749" s="2"/>
      <c r="AB749" s="2"/>
    </row>
    <row r="750" spans="22:28" ht="15.75" customHeight="1" x14ac:dyDescent="0.15">
      <c r="V750" s="2"/>
      <c r="W750" s="2"/>
      <c r="X750" s="2"/>
      <c r="Y750" s="2"/>
      <c r="Z750" s="2"/>
      <c r="AA750" s="2"/>
      <c r="AB750" s="2"/>
    </row>
    <row r="751" spans="22:28" ht="15.75" customHeight="1" x14ac:dyDescent="0.15">
      <c r="V751" s="2"/>
      <c r="W751" s="2"/>
      <c r="X751" s="2"/>
      <c r="Y751" s="2"/>
      <c r="Z751" s="2"/>
      <c r="AA751" s="2"/>
      <c r="AB751" s="2"/>
    </row>
    <row r="752" spans="22:28" ht="15.75" customHeight="1" x14ac:dyDescent="0.15">
      <c r="V752" s="2"/>
      <c r="W752" s="2"/>
      <c r="X752" s="2"/>
      <c r="Y752" s="2"/>
      <c r="Z752" s="2"/>
      <c r="AA752" s="2"/>
      <c r="AB752" s="2"/>
    </row>
    <row r="753" spans="22:28" ht="15.75" customHeight="1" x14ac:dyDescent="0.15">
      <c r="V753" s="2"/>
      <c r="W753" s="2"/>
      <c r="X753" s="2"/>
      <c r="Y753" s="2"/>
      <c r="Z753" s="2"/>
      <c r="AA753" s="2"/>
      <c r="AB753" s="2"/>
    </row>
    <row r="754" spans="22:28" ht="15.75" customHeight="1" x14ac:dyDescent="0.15">
      <c r="V754" s="2"/>
      <c r="W754" s="2"/>
      <c r="X754" s="2"/>
      <c r="Y754" s="2"/>
      <c r="Z754" s="2"/>
      <c r="AA754" s="2"/>
      <c r="AB754" s="2"/>
    </row>
    <row r="755" spans="22:28" ht="15.75" customHeight="1" x14ac:dyDescent="0.15">
      <c r="V755" s="2"/>
      <c r="W755" s="2"/>
      <c r="X755" s="2"/>
      <c r="Y755" s="2"/>
      <c r="Z755" s="2"/>
      <c r="AA755" s="2"/>
      <c r="AB755" s="2"/>
    </row>
    <row r="756" spans="22:28" ht="15.75" customHeight="1" x14ac:dyDescent="0.15">
      <c r="V756" s="2"/>
      <c r="W756" s="2"/>
      <c r="X756" s="2"/>
      <c r="Y756" s="2"/>
      <c r="Z756" s="2"/>
      <c r="AA756" s="2"/>
      <c r="AB756" s="2"/>
    </row>
    <row r="757" spans="22:28" ht="15.75" customHeight="1" x14ac:dyDescent="0.15">
      <c r="V757" s="2"/>
      <c r="W757" s="2"/>
      <c r="X757" s="2"/>
      <c r="Y757" s="2"/>
      <c r="Z757" s="2"/>
      <c r="AA757" s="2"/>
      <c r="AB757" s="2"/>
    </row>
    <row r="758" spans="22:28" ht="15.75" customHeight="1" x14ac:dyDescent="0.15">
      <c r="V758" s="2"/>
      <c r="W758" s="2"/>
      <c r="X758" s="2"/>
      <c r="Y758" s="2"/>
      <c r="Z758" s="2"/>
      <c r="AA758" s="2"/>
      <c r="AB758" s="2"/>
    </row>
    <row r="759" spans="22:28" ht="15.75" customHeight="1" x14ac:dyDescent="0.15">
      <c r="V759" s="2"/>
      <c r="W759" s="2"/>
      <c r="X759" s="2"/>
      <c r="Y759" s="2"/>
      <c r="Z759" s="2"/>
      <c r="AA759" s="2"/>
      <c r="AB759" s="2"/>
    </row>
    <row r="760" spans="22:28" ht="15.75" customHeight="1" x14ac:dyDescent="0.15">
      <c r="V760" s="2"/>
      <c r="W760" s="2"/>
      <c r="X760" s="2"/>
      <c r="Y760" s="2"/>
      <c r="Z760" s="2"/>
      <c r="AA760" s="2"/>
      <c r="AB760" s="2"/>
    </row>
    <row r="761" spans="22:28" ht="15.75" customHeight="1" x14ac:dyDescent="0.15">
      <c r="V761" s="2"/>
      <c r="W761" s="2"/>
      <c r="X761" s="2"/>
      <c r="Y761" s="2"/>
      <c r="Z761" s="2"/>
      <c r="AA761" s="2"/>
      <c r="AB761" s="2"/>
    </row>
    <row r="762" spans="22:28" ht="15.75" customHeight="1" x14ac:dyDescent="0.15">
      <c r="V762" s="2"/>
      <c r="W762" s="2"/>
      <c r="X762" s="2"/>
      <c r="Y762" s="2"/>
      <c r="Z762" s="2"/>
      <c r="AA762" s="2"/>
      <c r="AB762" s="2"/>
    </row>
    <row r="763" spans="22:28" ht="15.75" customHeight="1" x14ac:dyDescent="0.15">
      <c r="V763" s="2"/>
      <c r="W763" s="2"/>
      <c r="X763" s="2"/>
      <c r="Y763" s="2"/>
      <c r="Z763" s="2"/>
      <c r="AA763" s="2"/>
      <c r="AB763" s="2"/>
    </row>
    <row r="764" spans="22:28" ht="15.75" customHeight="1" x14ac:dyDescent="0.15">
      <c r="V764" s="2"/>
      <c r="W764" s="2"/>
      <c r="X764" s="2"/>
      <c r="Y764" s="2"/>
      <c r="Z764" s="2"/>
      <c r="AA764" s="2"/>
      <c r="AB764" s="2"/>
    </row>
    <row r="765" spans="22:28" ht="15.75" customHeight="1" x14ac:dyDescent="0.15">
      <c r="V765" s="2"/>
      <c r="W765" s="2"/>
      <c r="X765" s="2"/>
      <c r="Y765" s="2"/>
      <c r="Z765" s="2"/>
      <c r="AA765" s="2"/>
      <c r="AB765" s="2"/>
    </row>
    <row r="766" spans="22:28" ht="15.75" customHeight="1" x14ac:dyDescent="0.15">
      <c r="V766" s="2"/>
      <c r="W766" s="2"/>
      <c r="X766" s="2"/>
      <c r="Y766" s="2"/>
      <c r="Z766" s="2"/>
      <c r="AA766" s="2"/>
      <c r="AB766" s="2"/>
    </row>
    <row r="767" spans="22:28" ht="15.75" customHeight="1" x14ac:dyDescent="0.15">
      <c r="V767" s="2"/>
      <c r="W767" s="2"/>
      <c r="X767" s="2"/>
      <c r="Y767" s="2"/>
      <c r="Z767" s="2"/>
      <c r="AA767" s="2"/>
      <c r="AB767" s="2"/>
    </row>
    <row r="768" spans="22:28" ht="15.75" customHeight="1" x14ac:dyDescent="0.15">
      <c r="V768" s="2"/>
      <c r="W768" s="2"/>
      <c r="X768" s="2"/>
      <c r="Y768" s="2"/>
      <c r="Z768" s="2"/>
      <c r="AA768" s="2"/>
      <c r="AB768" s="2"/>
    </row>
    <row r="769" spans="22:28" ht="15.75" customHeight="1" x14ac:dyDescent="0.15">
      <c r="V769" s="2"/>
      <c r="W769" s="2"/>
      <c r="X769" s="2"/>
      <c r="Y769" s="2"/>
      <c r="Z769" s="2"/>
      <c r="AA769" s="2"/>
      <c r="AB769" s="2"/>
    </row>
    <row r="770" spans="22:28" ht="15.75" customHeight="1" x14ac:dyDescent="0.15">
      <c r="V770" s="2"/>
      <c r="W770" s="2"/>
      <c r="X770" s="2"/>
      <c r="Y770" s="2"/>
      <c r="Z770" s="2"/>
      <c r="AA770" s="2"/>
      <c r="AB770" s="2"/>
    </row>
    <row r="771" spans="22:28" ht="15.75" customHeight="1" x14ac:dyDescent="0.15">
      <c r="V771" s="2"/>
      <c r="W771" s="2"/>
      <c r="X771" s="2"/>
      <c r="Y771" s="2"/>
      <c r="Z771" s="2"/>
      <c r="AA771" s="2"/>
      <c r="AB771" s="2"/>
    </row>
    <row r="772" spans="22:28" ht="15.75" customHeight="1" x14ac:dyDescent="0.15">
      <c r="V772" s="2"/>
      <c r="W772" s="2"/>
      <c r="X772" s="2"/>
      <c r="Y772" s="2"/>
      <c r="Z772" s="2"/>
      <c r="AA772" s="2"/>
      <c r="AB772" s="2"/>
    </row>
    <row r="773" spans="22:28" ht="15.75" customHeight="1" x14ac:dyDescent="0.15">
      <c r="V773" s="2"/>
      <c r="W773" s="2"/>
      <c r="X773" s="2"/>
      <c r="Y773" s="2"/>
      <c r="Z773" s="2"/>
      <c r="AA773" s="2"/>
      <c r="AB773" s="2"/>
    </row>
    <row r="774" spans="22:28" ht="15.75" customHeight="1" x14ac:dyDescent="0.15">
      <c r="V774" s="2"/>
      <c r="W774" s="2"/>
      <c r="X774" s="2"/>
      <c r="Y774" s="2"/>
      <c r="Z774" s="2"/>
      <c r="AA774" s="2"/>
      <c r="AB774" s="2"/>
    </row>
    <row r="775" spans="22:28" ht="15.75" customHeight="1" x14ac:dyDescent="0.15">
      <c r="V775" s="2"/>
      <c r="W775" s="2"/>
      <c r="X775" s="2"/>
      <c r="Y775" s="2"/>
      <c r="Z775" s="2"/>
      <c r="AA775" s="2"/>
      <c r="AB775" s="2"/>
    </row>
    <row r="776" spans="22:28" ht="15.75" customHeight="1" x14ac:dyDescent="0.15">
      <c r="V776" s="2"/>
      <c r="W776" s="2"/>
      <c r="X776" s="2"/>
      <c r="Y776" s="2"/>
      <c r="Z776" s="2"/>
      <c r="AA776" s="2"/>
      <c r="AB776" s="2"/>
    </row>
    <row r="777" spans="22:28" ht="15.75" customHeight="1" x14ac:dyDescent="0.15">
      <c r="V777" s="2"/>
      <c r="W777" s="2"/>
      <c r="X777" s="2"/>
      <c r="Y777" s="2"/>
      <c r="Z777" s="2"/>
      <c r="AA777" s="2"/>
      <c r="AB777" s="2"/>
    </row>
    <row r="778" spans="22:28" ht="15.75" customHeight="1" x14ac:dyDescent="0.15">
      <c r="V778" s="2"/>
      <c r="W778" s="2"/>
      <c r="X778" s="2"/>
      <c r="Y778" s="2"/>
      <c r="Z778" s="2"/>
      <c r="AA778" s="2"/>
      <c r="AB778" s="2"/>
    </row>
    <row r="779" spans="22:28" ht="15.75" customHeight="1" x14ac:dyDescent="0.15">
      <c r="V779" s="2"/>
      <c r="W779" s="2"/>
      <c r="X779" s="2"/>
      <c r="Y779" s="2"/>
      <c r="Z779" s="2"/>
      <c r="AA779" s="2"/>
      <c r="AB779" s="2"/>
    </row>
    <row r="780" spans="22:28" ht="15.75" customHeight="1" x14ac:dyDescent="0.15">
      <c r="V780" s="2"/>
      <c r="W780" s="2"/>
      <c r="X780" s="2"/>
      <c r="Y780" s="2"/>
      <c r="Z780" s="2"/>
      <c r="AA780" s="2"/>
      <c r="AB780" s="2"/>
    </row>
    <row r="781" spans="22:28" ht="15.75" customHeight="1" x14ac:dyDescent="0.15">
      <c r="V781" s="2"/>
      <c r="W781" s="2"/>
      <c r="X781" s="2"/>
      <c r="Y781" s="2"/>
      <c r="Z781" s="2"/>
      <c r="AA781" s="2"/>
      <c r="AB781" s="2"/>
    </row>
    <row r="782" spans="22:28" ht="15.75" customHeight="1" x14ac:dyDescent="0.15">
      <c r="V782" s="2"/>
      <c r="W782" s="2"/>
      <c r="X782" s="2"/>
      <c r="Y782" s="2"/>
      <c r="Z782" s="2"/>
      <c r="AA782" s="2"/>
      <c r="AB782" s="2"/>
    </row>
    <row r="783" spans="22:28" ht="15.75" customHeight="1" x14ac:dyDescent="0.15">
      <c r="V783" s="2"/>
      <c r="W783" s="2"/>
      <c r="X783" s="2"/>
      <c r="Y783" s="2"/>
      <c r="Z783" s="2"/>
      <c r="AA783" s="2"/>
      <c r="AB783" s="2"/>
    </row>
    <row r="784" spans="22:28" ht="15.75" customHeight="1" x14ac:dyDescent="0.15">
      <c r="V784" s="2"/>
      <c r="W784" s="2"/>
      <c r="X784" s="2"/>
      <c r="Y784" s="2"/>
      <c r="Z784" s="2"/>
      <c r="AA784" s="2"/>
      <c r="AB784" s="2"/>
    </row>
    <row r="785" spans="22:28" ht="15.75" customHeight="1" x14ac:dyDescent="0.15">
      <c r="V785" s="2"/>
      <c r="W785" s="2"/>
      <c r="X785" s="2"/>
      <c r="Y785" s="2"/>
      <c r="Z785" s="2"/>
      <c r="AA785" s="2"/>
      <c r="AB785" s="2"/>
    </row>
    <row r="786" spans="22:28" ht="15.75" customHeight="1" x14ac:dyDescent="0.15">
      <c r="V786" s="2"/>
      <c r="W786" s="2"/>
      <c r="X786" s="2"/>
      <c r="Y786" s="2"/>
      <c r="Z786" s="2"/>
      <c r="AA786" s="2"/>
      <c r="AB786" s="2"/>
    </row>
    <row r="787" spans="22:28" ht="15.75" customHeight="1" x14ac:dyDescent="0.15">
      <c r="V787" s="2"/>
      <c r="W787" s="2"/>
      <c r="X787" s="2"/>
      <c r="Y787" s="2"/>
      <c r="Z787" s="2"/>
      <c r="AA787" s="2"/>
      <c r="AB787" s="2"/>
    </row>
    <row r="788" spans="22:28" ht="15.75" customHeight="1" x14ac:dyDescent="0.15">
      <c r="V788" s="2"/>
      <c r="W788" s="2"/>
      <c r="X788" s="2"/>
      <c r="Y788" s="2"/>
      <c r="Z788" s="2"/>
      <c r="AA788" s="2"/>
      <c r="AB788" s="2"/>
    </row>
    <row r="789" spans="22:28" ht="15.75" customHeight="1" x14ac:dyDescent="0.15">
      <c r="V789" s="2"/>
      <c r="W789" s="2"/>
      <c r="X789" s="2"/>
      <c r="Y789" s="2"/>
      <c r="Z789" s="2"/>
      <c r="AA789" s="2"/>
      <c r="AB789" s="2"/>
    </row>
    <row r="790" spans="22:28" ht="15.75" customHeight="1" x14ac:dyDescent="0.15">
      <c r="V790" s="2"/>
      <c r="W790" s="2"/>
      <c r="X790" s="2"/>
      <c r="Y790" s="2"/>
      <c r="Z790" s="2"/>
      <c r="AA790" s="2"/>
      <c r="AB790" s="2"/>
    </row>
    <row r="791" spans="22:28" ht="15.75" customHeight="1" x14ac:dyDescent="0.15">
      <c r="V791" s="2"/>
      <c r="W791" s="2"/>
      <c r="X791" s="2"/>
      <c r="Y791" s="2"/>
      <c r="Z791" s="2"/>
      <c r="AA791" s="2"/>
      <c r="AB791" s="2"/>
    </row>
    <row r="792" spans="22:28" ht="15.75" customHeight="1" x14ac:dyDescent="0.15">
      <c r="V792" s="2"/>
      <c r="W792" s="2"/>
      <c r="X792" s="2"/>
      <c r="Y792" s="2"/>
      <c r="Z792" s="2"/>
      <c r="AA792" s="2"/>
      <c r="AB792" s="2"/>
    </row>
    <row r="793" spans="22:28" ht="15.75" customHeight="1" x14ac:dyDescent="0.15">
      <c r="V793" s="2"/>
      <c r="W793" s="2"/>
      <c r="X793" s="2"/>
      <c r="Y793" s="2"/>
      <c r="Z793" s="2"/>
      <c r="AA793" s="2"/>
      <c r="AB793" s="2"/>
    </row>
    <row r="794" spans="22:28" ht="15.75" customHeight="1" x14ac:dyDescent="0.15">
      <c r="V794" s="2"/>
      <c r="W794" s="2"/>
      <c r="X794" s="2"/>
      <c r="Y794" s="2"/>
      <c r="Z794" s="2"/>
      <c r="AA794" s="2"/>
      <c r="AB794" s="2"/>
    </row>
    <row r="795" spans="22:28" ht="15.75" customHeight="1" x14ac:dyDescent="0.15">
      <c r="V795" s="2"/>
      <c r="W795" s="2"/>
      <c r="X795" s="2"/>
      <c r="Y795" s="2"/>
      <c r="Z795" s="2"/>
      <c r="AA795" s="2"/>
      <c r="AB795" s="2"/>
    </row>
    <row r="796" spans="22:28" ht="15.75" customHeight="1" x14ac:dyDescent="0.15">
      <c r="V796" s="2"/>
      <c r="W796" s="2"/>
      <c r="X796" s="2"/>
      <c r="Y796" s="2"/>
      <c r="Z796" s="2"/>
      <c r="AA796" s="2"/>
      <c r="AB796" s="2"/>
    </row>
    <row r="797" spans="22:28" ht="15.75" customHeight="1" x14ac:dyDescent="0.15">
      <c r="V797" s="2"/>
      <c r="W797" s="2"/>
      <c r="X797" s="2"/>
      <c r="Y797" s="2"/>
      <c r="Z797" s="2"/>
      <c r="AA797" s="2"/>
      <c r="AB797" s="2"/>
    </row>
    <row r="798" spans="22:28" ht="15.75" customHeight="1" x14ac:dyDescent="0.15">
      <c r="V798" s="2"/>
      <c r="W798" s="2"/>
      <c r="X798" s="2"/>
      <c r="Y798" s="2"/>
      <c r="Z798" s="2"/>
      <c r="AA798" s="2"/>
      <c r="AB798" s="2"/>
    </row>
    <row r="799" spans="22:28" ht="15.75" customHeight="1" x14ac:dyDescent="0.15">
      <c r="V799" s="2"/>
      <c r="W799" s="2"/>
      <c r="X799" s="2"/>
      <c r="Y799" s="2"/>
      <c r="Z799" s="2"/>
      <c r="AA799" s="2"/>
      <c r="AB799" s="2"/>
    </row>
    <row r="800" spans="22:28" ht="15.75" customHeight="1" x14ac:dyDescent="0.15">
      <c r="V800" s="2"/>
      <c r="W800" s="2"/>
      <c r="X800" s="2"/>
      <c r="Y800" s="2"/>
      <c r="Z800" s="2"/>
      <c r="AA800" s="2"/>
      <c r="AB800" s="2"/>
    </row>
    <row r="801" spans="22:28" ht="15.75" customHeight="1" x14ac:dyDescent="0.15">
      <c r="V801" s="2"/>
      <c r="W801" s="2"/>
      <c r="X801" s="2"/>
      <c r="Y801" s="2"/>
      <c r="Z801" s="2"/>
      <c r="AA801" s="2"/>
      <c r="AB801" s="2"/>
    </row>
    <row r="802" spans="22:28" ht="15.75" customHeight="1" x14ac:dyDescent="0.15">
      <c r="V802" s="2"/>
      <c r="W802" s="2"/>
      <c r="X802" s="2"/>
      <c r="Y802" s="2"/>
      <c r="Z802" s="2"/>
      <c r="AA802" s="2"/>
      <c r="AB802" s="2"/>
    </row>
    <row r="803" spans="22:28" ht="15.75" customHeight="1" x14ac:dyDescent="0.15">
      <c r="V803" s="2"/>
      <c r="W803" s="2"/>
      <c r="X803" s="2"/>
      <c r="Y803" s="2"/>
      <c r="Z803" s="2"/>
      <c r="AA803" s="2"/>
      <c r="AB803" s="2"/>
    </row>
    <row r="804" spans="22:28" ht="15.75" customHeight="1" x14ac:dyDescent="0.15">
      <c r="V804" s="2"/>
      <c r="W804" s="2"/>
      <c r="X804" s="2"/>
      <c r="Y804" s="2"/>
      <c r="Z804" s="2"/>
      <c r="AA804" s="2"/>
      <c r="AB804" s="2"/>
    </row>
    <row r="805" spans="22:28" ht="15.75" customHeight="1" x14ac:dyDescent="0.15">
      <c r="V805" s="2"/>
      <c r="W805" s="2"/>
      <c r="X805" s="2"/>
      <c r="Y805" s="2"/>
      <c r="Z805" s="2"/>
      <c r="AA805" s="2"/>
      <c r="AB805" s="2"/>
    </row>
    <row r="806" spans="22:28" ht="15.75" customHeight="1" x14ac:dyDescent="0.15">
      <c r="V806" s="2"/>
      <c r="W806" s="2"/>
      <c r="X806" s="2"/>
      <c r="Y806" s="2"/>
      <c r="Z806" s="2"/>
      <c r="AA806" s="2"/>
      <c r="AB806" s="2"/>
    </row>
    <row r="807" spans="22:28" ht="15.75" customHeight="1" x14ac:dyDescent="0.15">
      <c r="V807" s="2"/>
      <c r="W807" s="2"/>
      <c r="X807" s="2"/>
      <c r="Y807" s="2"/>
      <c r="Z807" s="2"/>
      <c r="AA807" s="2"/>
      <c r="AB807" s="2"/>
    </row>
    <row r="808" spans="22:28" ht="15.75" customHeight="1" x14ac:dyDescent="0.15">
      <c r="V808" s="2"/>
      <c r="W808" s="2"/>
      <c r="X808" s="2"/>
      <c r="Y808" s="2"/>
      <c r="Z808" s="2"/>
      <c r="AA808" s="2"/>
      <c r="AB808" s="2"/>
    </row>
    <row r="809" spans="22:28" ht="15.75" customHeight="1" x14ac:dyDescent="0.15">
      <c r="V809" s="2"/>
      <c r="W809" s="2"/>
      <c r="X809" s="2"/>
      <c r="Y809" s="2"/>
      <c r="Z809" s="2"/>
      <c r="AA809" s="2"/>
      <c r="AB809" s="2"/>
    </row>
    <row r="810" spans="22:28" ht="15.75" customHeight="1" x14ac:dyDescent="0.15">
      <c r="V810" s="2"/>
      <c r="W810" s="2"/>
      <c r="X810" s="2"/>
      <c r="Y810" s="2"/>
      <c r="Z810" s="2"/>
      <c r="AA810" s="2"/>
      <c r="AB810" s="2"/>
    </row>
    <row r="811" spans="22:28" ht="15.75" customHeight="1" x14ac:dyDescent="0.15">
      <c r="V811" s="2"/>
      <c r="W811" s="2"/>
      <c r="X811" s="2"/>
      <c r="Y811" s="2"/>
      <c r="Z811" s="2"/>
      <c r="AA811" s="2"/>
      <c r="AB811" s="2"/>
    </row>
    <row r="812" spans="22:28" ht="15.75" customHeight="1" x14ac:dyDescent="0.15">
      <c r="V812" s="2"/>
      <c r="W812" s="2"/>
      <c r="X812" s="2"/>
      <c r="Y812" s="2"/>
      <c r="Z812" s="2"/>
      <c r="AA812" s="2"/>
      <c r="AB812" s="2"/>
    </row>
    <row r="813" spans="22:28" ht="15.75" customHeight="1" x14ac:dyDescent="0.15">
      <c r="V813" s="2"/>
      <c r="W813" s="2"/>
      <c r="X813" s="2"/>
      <c r="Y813" s="2"/>
      <c r="Z813" s="2"/>
      <c r="AA813" s="2"/>
      <c r="AB813" s="2"/>
    </row>
    <row r="814" spans="22:28" ht="15.75" customHeight="1" x14ac:dyDescent="0.15">
      <c r="V814" s="2"/>
      <c r="W814" s="2"/>
      <c r="X814" s="2"/>
      <c r="Y814" s="2"/>
      <c r="Z814" s="2"/>
      <c r="AA814" s="2"/>
      <c r="AB814" s="2"/>
    </row>
    <row r="815" spans="22:28" ht="15.75" customHeight="1" x14ac:dyDescent="0.15">
      <c r="V815" s="2"/>
      <c r="W815" s="2"/>
      <c r="X815" s="2"/>
      <c r="Y815" s="2"/>
      <c r="Z815" s="2"/>
      <c r="AA815" s="2"/>
      <c r="AB815" s="2"/>
    </row>
    <row r="816" spans="22:28" ht="15.75" customHeight="1" x14ac:dyDescent="0.15">
      <c r="V816" s="2"/>
      <c r="W816" s="2"/>
      <c r="X816" s="2"/>
      <c r="Y816" s="2"/>
      <c r="Z816" s="2"/>
      <c r="AA816" s="2"/>
      <c r="AB816" s="2"/>
    </row>
    <row r="817" spans="22:28" ht="15.75" customHeight="1" x14ac:dyDescent="0.15">
      <c r="V817" s="2"/>
      <c r="W817" s="2"/>
      <c r="X817" s="2"/>
      <c r="Y817" s="2"/>
      <c r="Z817" s="2"/>
      <c r="AA817" s="2"/>
      <c r="AB817" s="2"/>
    </row>
    <row r="818" spans="22:28" ht="15.75" customHeight="1" x14ac:dyDescent="0.15">
      <c r="V818" s="2"/>
      <c r="W818" s="2"/>
      <c r="X818" s="2"/>
      <c r="Y818" s="2"/>
      <c r="Z818" s="2"/>
      <c r="AA818" s="2"/>
      <c r="AB818" s="2"/>
    </row>
    <row r="819" spans="22:28" ht="15.75" customHeight="1" x14ac:dyDescent="0.15">
      <c r="V819" s="2"/>
      <c r="W819" s="2"/>
      <c r="X819" s="2"/>
      <c r="Y819" s="2"/>
      <c r="Z819" s="2"/>
      <c r="AA819" s="2"/>
      <c r="AB819" s="2"/>
    </row>
    <row r="820" spans="22:28" ht="15.75" customHeight="1" x14ac:dyDescent="0.15">
      <c r="V820" s="2"/>
      <c r="W820" s="2"/>
      <c r="X820" s="2"/>
      <c r="Y820" s="2"/>
      <c r="Z820" s="2"/>
      <c r="AA820" s="2"/>
      <c r="AB820" s="2"/>
    </row>
    <row r="821" spans="22:28" ht="15.75" customHeight="1" x14ac:dyDescent="0.15">
      <c r="V821" s="2"/>
      <c r="W821" s="2"/>
      <c r="X821" s="2"/>
      <c r="Y821" s="2"/>
      <c r="Z821" s="2"/>
      <c r="AA821" s="2"/>
      <c r="AB821" s="2"/>
    </row>
    <row r="822" spans="22:28" ht="15.75" customHeight="1" x14ac:dyDescent="0.15">
      <c r="V822" s="2"/>
      <c r="W822" s="2"/>
      <c r="X822" s="2"/>
      <c r="Y822" s="2"/>
      <c r="Z822" s="2"/>
      <c r="AA822" s="2"/>
      <c r="AB822" s="2"/>
    </row>
    <row r="823" spans="22:28" ht="15.75" customHeight="1" x14ac:dyDescent="0.15">
      <c r="V823" s="2"/>
      <c r="W823" s="2"/>
      <c r="X823" s="2"/>
      <c r="Y823" s="2"/>
      <c r="Z823" s="2"/>
      <c r="AA823" s="2"/>
      <c r="AB823" s="2"/>
    </row>
    <row r="824" spans="22:28" ht="15.75" customHeight="1" x14ac:dyDescent="0.15">
      <c r="V824" s="2"/>
      <c r="W824" s="2"/>
      <c r="X824" s="2"/>
      <c r="Y824" s="2"/>
      <c r="Z824" s="2"/>
      <c r="AA824" s="2"/>
      <c r="AB824" s="2"/>
    </row>
    <row r="825" spans="22:28" ht="15.75" customHeight="1" x14ac:dyDescent="0.15">
      <c r="V825" s="2"/>
      <c r="W825" s="2"/>
      <c r="X825" s="2"/>
      <c r="Y825" s="2"/>
      <c r="Z825" s="2"/>
      <c r="AA825" s="2"/>
      <c r="AB825" s="2"/>
    </row>
    <row r="826" spans="22:28" ht="15.75" customHeight="1" x14ac:dyDescent="0.15">
      <c r="V826" s="2"/>
      <c r="W826" s="2"/>
      <c r="X826" s="2"/>
      <c r="Y826" s="2"/>
      <c r="Z826" s="2"/>
      <c r="AA826" s="2"/>
      <c r="AB826" s="2"/>
    </row>
    <row r="827" spans="22:28" ht="15.75" customHeight="1" x14ac:dyDescent="0.15">
      <c r="V827" s="2"/>
      <c r="W827" s="2"/>
      <c r="X827" s="2"/>
      <c r="Y827" s="2"/>
      <c r="Z827" s="2"/>
      <c r="AA827" s="2"/>
      <c r="AB827" s="2"/>
    </row>
    <row r="828" spans="22:28" ht="15.75" customHeight="1" x14ac:dyDescent="0.15">
      <c r="V828" s="2"/>
      <c r="W828" s="2"/>
      <c r="X828" s="2"/>
      <c r="Y828" s="2"/>
      <c r="Z828" s="2"/>
      <c r="AA828" s="2"/>
      <c r="AB828" s="2"/>
    </row>
    <row r="829" spans="22:28" ht="15.75" customHeight="1" x14ac:dyDescent="0.15">
      <c r="V829" s="2"/>
      <c r="W829" s="2"/>
      <c r="X829" s="2"/>
      <c r="Y829" s="2"/>
      <c r="Z829" s="2"/>
      <c r="AA829" s="2"/>
      <c r="AB829" s="2"/>
    </row>
    <row r="830" spans="22:28" ht="15.75" customHeight="1" x14ac:dyDescent="0.15">
      <c r="V830" s="2"/>
      <c r="W830" s="2"/>
      <c r="X830" s="2"/>
      <c r="Y830" s="2"/>
      <c r="Z830" s="2"/>
      <c r="AA830" s="2"/>
      <c r="AB830" s="2"/>
    </row>
    <row r="831" spans="22:28" ht="15.75" customHeight="1" x14ac:dyDescent="0.15">
      <c r="V831" s="2"/>
      <c r="W831" s="2"/>
      <c r="X831" s="2"/>
      <c r="Y831" s="2"/>
      <c r="Z831" s="2"/>
      <c r="AA831" s="2"/>
      <c r="AB831" s="2"/>
    </row>
    <row r="832" spans="22:28" ht="15.75" customHeight="1" x14ac:dyDescent="0.15">
      <c r="V832" s="2"/>
      <c r="W832" s="2"/>
      <c r="X832" s="2"/>
      <c r="Y832" s="2"/>
      <c r="Z832" s="2"/>
      <c r="AA832" s="2"/>
      <c r="AB832" s="2"/>
    </row>
    <row r="833" spans="22:28" ht="15.75" customHeight="1" x14ac:dyDescent="0.15">
      <c r="V833" s="2"/>
      <c r="W833" s="2"/>
      <c r="X833" s="2"/>
      <c r="Y833" s="2"/>
      <c r="Z833" s="2"/>
      <c r="AA833" s="2"/>
      <c r="AB833" s="2"/>
    </row>
    <row r="834" spans="22:28" ht="15.75" customHeight="1" x14ac:dyDescent="0.15">
      <c r="V834" s="2"/>
      <c r="W834" s="2"/>
      <c r="X834" s="2"/>
      <c r="Y834" s="2"/>
      <c r="Z834" s="2"/>
      <c r="AA834" s="2"/>
      <c r="AB834" s="2"/>
    </row>
    <row r="835" spans="22:28" ht="15.75" customHeight="1" x14ac:dyDescent="0.15">
      <c r="V835" s="2"/>
      <c r="W835" s="2"/>
      <c r="X835" s="2"/>
      <c r="Y835" s="2"/>
      <c r="Z835" s="2"/>
      <c r="AA835" s="2"/>
      <c r="AB835" s="2"/>
    </row>
    <row r="836" spans="22:28" ht="15.75" customHeight="1" x14ac:dyDescent="0.15">
      <c r="V836" s="2"/>
      <c r="W836" s="2"/>
      <c r="X836" s="2"/>
      <c r="Y836" s="2"/>
      <c r="Z836" s="2"/>
      <c r="AA836" s="2"/>
      <c r="AB836" s="2"/>
    </row>
    <row r="837" spans="22:28" ht="15.75" customHeight="1" x14ac:dyDescent="0.15">
      <c r="V837" s="2"/>
      <c r="W837" s="2"/>
      <c r="X837" s="2"/>
      <c r="Y837" s="2"/>
      <c r="Z837" s="2"/>
      <c r="AA837" s="2"/>
      <c r="AB837" s="2"/>
    </row>
    <row r="838" spans="22:28" ht="15.75" customHeight="1" x14ac:dyDescent="0.15">
      <c r="V838" s="2"/>
      <c r="W838" s="2"/>
      <c r="X838" s="2"/>
      <c r="Y838" s="2"/>
      <c r="Z838" s="2"/>
      <c r="AA838" s="2"/>
      <c r="AB838" s="2"/>
    </row>
    <row r="839" spans="22:28" ht="15.75" customHeight="1" x14ac:dyDescent="0.15">
      <c r="V839" s="2"/>
      <c r="W839" s="2"/>
      <c r="X839" s="2"/>
      <c r="Y839" s="2"/>
      <c r="Z839" s="2"/>
      <c r="AA839" s="2"/>
      <c r="AB839" s="2"/>
    </row>
    <row r="840" spans="22:28" ht="15.75" customHeight="1" x14ac:dyDescent="0.15">
      <c r="V840" s="2"/>
      <c r="W840" s="2"/>
      <c r="X840" s="2"/>
      <c r="Y840" s="2"/>
      <c r="Z840" s="2"/>
      <c r="AA840" s="2"/>
      <c r="AB840" s="2"/>
    </row>
    <row r="841" spans="22:28" ht="15.75" customHeight="1" x14ac:dyDescent="0.15">
      <c r="V841" s="2"/>
      <c r="W841" s="2"/>
      <c r="X841" s="2"/>
      <c r="Y841" s="2"/>
      <c r="Z841" s="2"/>
      <c r="AA841" s="2"/>
      <c r="AB841" s="2"/>
    </row>
    <row r="842" spans="22:28" ht="15.75" customHeight="1" x14ac:dyDescent="0.15">
      <c r="V842" s="2"/>
      <c r="W842" s="2"/>
      <c r="X842" s="2"/>
      <c r="Y842" s="2"/>
      <c r="Z842" s="2"/>
      <c r="AA842" s="2"/>
      <c r="AB842" s="2"/>
    </row>
    <row r="843" spans="22:28" ht="15.75" customHeight="1" x14ac:dyDescent="0.15">
      <c r="V843" s="2"/>
      <c r="W843" s="2"/>
      <c r="X843" s="2"/>
      <c r="Y843" s="2"/>
      <c r="Z843" s="2"/>
      <c r="AA843" s="2"/>
      <c r="AB843" s="2"/>
    </row>
    <row r="844" spans="22:28" ht="15.75" customHeight="1" x14ac:dyDescent="0.15">
      <c r="V844" s="2"/>
      <c r="W844" s="2"/>
      <c r="X844" s="2"/>
      <c r="Y844" s="2"/>
      <c r="Z844" s="2"/>
      <c r="AA844" s="2"/>
      <c r="AB844" s="2"/>
    </row>
    <row r="845" spans="22:28" ht="15.75" customHeight="1" x14ac:dyDescent="0.15">
      <c r="V845" s="2"/>
      <c r="W845" s="2"/>
      <c r="X845" s="2"/>
      <c r="Y845" s="2"/>
      <c r="Z845" s="2"/>
      <c r="AA845" s="2"/>
      <c r="AB845" s="2"/>
    </row>
    <row r="846" spans="22:28" ht="15.75" customHeight="1" x14ac:dyDescent="0.15">
      <c r="V846" s="2"/>
      <c r="W846" s="2"/>
      <c r="X846" s="2"/>
      <c r="Y846" s="2"/>
      <c r="Z846" s="2"/>
      <c r="AA846" s="2"/>
      <c r="AB846" s="2"/>
    </row>
    <row r="847" spans="22:28" ht="15.75" customHeight="1" x14ac:dyDescent="0.15">
      <c r="V847" s="2"/>
      <c r="W847" s="2"/>
      <c r="X847" s="2"/>
      <c r="Y847" s="2"/>
      <c r="Z847" s="2"/>
      <c r="AA847" s="2"/>
      <c r="AB847" s="2"/>
    </row>
    <row r="848" spans="22:28" ht="15.75" customHeight="1" x14ac:dyDescent="0.15">
      <c r="V848" s="2"/>
      <c r="W848" s="2"/>
      <c r="X848" s="2"/>
      <c r="Y848" s="2"/>
      <c r="Z848" s="2"/>
      <c r="AA848" s="2"/>
      <c r="AB848" s="2"/>
    </row>
    <row r="849" spans="22:28" ht="15.75" customHeight="1" x14ac:dyDescent="0.15">
      <c r="V849" s="2"/>
      <c r="W849" s="2"/>
      <c r="X849" s="2"/>
      <c r="Y849" s="2"/>
      <c r="Z849" s="2"/>
      <c r="AA849" s="2"/>
      <c r="AB849" s="2"/>
    </row>
    <row r="850" spans="22:28" ht="15.75" customHeight="1" x14ac:dyDescent="0.15">
      <c r="V850" s="2"/>
      <c r="W850" s="2"/>
      <c r="X850" s="2"/>
      <c r="Y850" s="2"/>
      <c r="Z850" s="2"/>
      <c r="AA850" s="2"/>
      <c r="AB850" s="2"/>
    </row>
    <row r="851" spans="22:28" ht="15.75" customHeight="1" x14ac:dyDescent="0.15">
      <c r="V851" s="2"/>
      <c r="W851" s="2"/>
      <c r="X851" s="2"/>
      <c r="Y851" s="2"/>
      <c r="Z851" s="2"/>
      <c r="AA851" s="2"/>
      <c r="AB851" s="2"/>
    </row>
    <row r="852" spans="22:28" ht="15.75" customHeight="1" x14ac:dyDescent="0.15">
      <c r="V852" s="2"/>
      <c r="W852" s="2"/>
      <c r="X852" s="2"/>
      <c r="Y852" s="2"/>
      <c r="Z852" s="2"/>
      <c r="AA852" s="2"/>
      <c r="AB852" s="2"/>
    </row>
    <row r="853" spans="22:28" ht="15.75" customHeight="1" x14ac:dyDescent="0.15">
      <c r="V853" s="2"/>
      <c r="W853" s="2"/>
      <c r="X853" s="2"/>
      <c r="Y853" s="2"/>
      <c r="Z853" s="2"/>
      <c r="AA853" s="2"/>
      <c r="AB853" s="2"/>
    </row>
    <row r="854" spans="22:28" ht="15.75" customHeight="1" x14ac:dyDescent="0.15">
      <c r="V854" s="2"/>
      <c r="W854" s="2"/>
      <c r="X854" s="2"/>
      <c r="Y854" s="2"/>
      <c r="Z854" s="2"/>
      <c r="AA854" s="2"/>
      <c r="AB854" s="2"/>
    </row>
    <row r="855" spans="22:28" ht="15.75" customHeight="1" x14ac:dyDescent="0.15">
      <c r="V855" s="2"/>
      <c r="W855" s="2"/>
      <c r="X855" s="2"/>
      <c r="Y855" s="2"/>
      <c r="Z855" s="2"/>
      <c r="AA855" s="2"/>
      <c r="AB855" s="2"/>
    </row>
    <row r="856" spans="22:28" ht="15.75" customHeight="1" x14ac:dyDescent="0.15">
      <c r="V856" s="2"/>
      <c r="W856" s="2"/>
      <c r="X856" s="2"/>
      <c r="Y856" s="2"/>
      <c r="Z856" s="2"/>
      <c r="AA856" s="2"/>
      <c r="AB856" s="2"/>
    </row>
    <row r="857" spans="22:28" ht="15.75" customHeight="1" x14ac:dyDescent="0.15">
      <c r="V857" s="2"/>
      <c r="W857" s="2"/>
      <c r="X857" s="2"/>
      <c r="Y857" s="2"/>
      <c r="Z857" s="2"/>
      <c r="AA857" s="2"/>
      <c r="AB857" s="2"/>
    </row>
    <row r="858" spans="22:28" ht="15.75" customHeight="1" x14ac:dyDescent="0.15">
      <c r="V858" s="2"/>
      <c r="W858" s="2"/>
      <c r="X858" s="2"/>
      <c r="Y858" s="2"/>
      <c r="Z858" s="2"/>
      <c r="AA858" s="2"/>
      <c r="AB858" s="2"/>
    </row>
    <row r="859" spans="22:28" ht="15.75" customHeight="1" x14ac:dyDescent="0.15">
      <c r="V859" s="2"/>
      <c r="W859" s="2"/>
      <c r="X859" s="2"/>
      <c r="Y859" s="2"/>
      <c r="Z859" s="2"/>
      <c r="AA859" s="2"/>
      <c r="AB859" s="2"/>
    </row>
    <row r="860" spans="22:28" ht="15.75" customHeight="1" x14ac:dyDescent="0.15">
      <c r="V860" s="2"/>
      <c r="W860" s="2"/>
      <c r="X860" s="2"/>
      <c r="Y860" s="2"/>
      <c r="Z860" s="2"/>
      <c r="AA860" s="2"/>
      <c r="AB860" s="2"/>
    </row>
    <row r="861" spans="22:28" ht="15.75" customHeight="1" x14ac:dyDescent="0.15">
      <c r="V861" s="2"/>
      <c r="W861" s="2"/>
      <c r="X861" s="2"/>
      <c r="Y861" s="2"/>
      <c r="Z861" s="2"/>
      <c r="AA861" s="2"/>
      <c r="AB861" s="2"/>
    </row>
    <row r="862" spans="22:28" ht="15.75" customHeight="1" x14ac:dyDescent="0.15">
      <c r="V862" s="2"/>
      <c r="W862" s="2"/>
      <c r="X862" s="2"/>
      <c r="Y862" s="2"/>
      <c r="Z862" s="2"/>
      <c r="AA862" s="2"/>
      <c r="AB862" s="2"/>
    </row>
    <row r="863" spans="22:28" ht="15.75" customHeight="1" x14ac:dyDescent="0.15">
      <c r="V863" s="2"/>
      <c r="W863" s="2"/>
      <c r="X863" s="2"/>
      <c r="Y863" s="2"/>
      <c r="Z863" s="2"/>
      <c r="AA863" s="2"/>
      <c r="AB863" s="2"/>
    </row>
    <row r="864" spans="22:28" ht="15.75" customHeight="1" x14ac:dyDescent="0.15">
      <c r="V864" s="2"/>
      <c r="W864" s="2"/>
      <c r="X864" s="2"/>
      <c r="Y864" s="2"/>
      <c r="Z864" s="2"/>
      <c r="AA864" s="2"/>
      <c r="AB864" s="2"/>
    </row>
    <row r="865" spans="22:28" ht="15.75" customHeight="1" x14ac:dyDescent="0.15">
      <c r="V865" s="2"/>
      <c r="W865" s="2"/>
      <c r="X865" s="2"/>
      <c r="Y865" s="2"/>
      <c r="Z865" s="2"/>
      <c r="AA865" s="2"/>
      <c r="AB865" s="2"/>
    </row>
    <row r="866" spans="22:28" ht="15.75" customHeight="1" x14ac:dyDescent="0.15">
      <c r="V866" s="2"/>
      <c r="W866" s="2"/>
      <c r="X866" s="2"/>
      <c r="Y866" s="2"/>
      <c r="Z866" s="2"/>
      <c r="AA866" s="2"/>
      <c r="AB866" s="2"/>
    </row>
    <row r="867" spans="22:28" ht="15.75" customHeight="1" x14ac:dyDescent="0.15">
      <c r="V867" s="2"/>
      <c r="W867" s="2"/>
      <c r="X867" s="2"/>
      <c r="Y867" s="2"/>
      <c r="Z867" s="2"/>
      <c r="AA867" s="2"/>
      <c r="AB867" s="2"/>
    </row>
    <row r="868" spans="22:28" ht="15.75" customHeight="1" x14ac:dyDescent="0.15">
      <c r="V868" s="2"/>
      <c r="W868" s="2"/>
      <c r="X868" s="2"/>
      <c r="Y868" s="2"/>
      <c r="Z868" s="2"/>
      <c r="AA868" s="2"/>
      <c r="AB868" s="2"/>
    </row>
    <row r="869" spans="22:28" ht="15.75" customHeight="1" x14ac:dyDescent="0.15">
      <c r="V869" s="2"/>
      <c r="W869" s="2"/>
      <c r="X869" s="2"/>
      <c r="Y869" s="2"/>
      <c r="Z869" s="2"/>
      <c r="AA869" s="2"/>
      <c r="AB869" s="2"/>
    </row>
    <row r="870" spans="22:28" ht="15.75" customHeight="1" x14ac:dyDescent="0.15">
      <c r="V870" s="2"/>
      <c r="W870" s="2"/>
      <c r="X870" s="2"/>
      <c r="Y870" s="2"/>
      <c r="Z870" s="2"/>
      <c r="AA870" s="2"/>
      <c r="AB870" s="2"/>
    </row>
    <row r="871" spans="22:28" ht="15.75" customHeight="1" x14ac:dyDescent="0.15">
      <c r="V871" s="2"/>
      <c r="W871" s="2"/>
      <c r="X871" s="2"/>
      <c r="Y871" s="2"/>
      <c r="Z871" s="2"/>
      <c r="AA871" s="2"/>
      <c r="AB871" s="2"/>
    </row>
    <row r="872" spans="22:28" ht="15.75" customHeight="1" x14ac:dyDescent="0.15">
      <c r="V872" s="2"/>
      <c r="W872" s="2"/>
      <c r="X872" s="2"/>
      <c r="Y872" s="2"/>
      <c r="Z872" s="2"/>
      <c r="AA872" s="2"/>
      <c r="AB872" s="2"/>
    </row>
    <row r="873" spans="22:28" ht="15.75" customHeight="1" x14ac:dyDescent="0.15">
      <c r="V873" s="2"/>
      <c r="W873" s="2"/>
      <c r="X873" s="2"/>
      <c r="Y873" s="2"/>
      <c r="Z873" s="2"/>
      <c r="AA873" s="2"/>
      <c r="AB873" s="2"/>
    </row>
    <row r="874" spans="22:28" ht="15.75" customHeight="1" x14ac:dyDescent="0.15">
      <c r="V874" s="2"/>
      <c r="W874" s="2"/>
      <c r="X874" s="2"/>
      <c r="Y874" s="2"/>
      <c r="Z874" s="2"/>
      <c r="AA874" s="2"/>
      <c r="AB874" s="2"/>
    </row>
    <row r="875" spans="22:28" ht="15.75" customHeight="1" x14ac:dyDescent="0.15">
      <c r="V875" s="2"/>
      <c r="W875" s="2"/>
      <c r="X875" s="2"/>
      <c r="Y875" s="2"/>
      <c r="Z875" s="2"/>
      <c r="AA875" s="2"/>
      <c r="AB875" s="2"/>
    </row>
    <row r="876" spans="22:28" ht="15.75" customHeight="1" x14ac:dyDescent="0.15">
      <c r="V876" s="2"/>
      <c r="W876" s="2"/>
      <c r="X876" s="2"/>
      <c r="Y876" s="2"/>
      <c r="Z876" s="2"/>
      <c r="AA876" s="2"/>
      <c r="AB876" s="2"/>
    </row>
    <row r="877" spans="22:28" ht="15.75" customHeight="1" x14ac:dyDescent="0.15">
      <c r="V877" s="2"/>
      <c r="W877" s="2"/>
      <c r="X877" s="2"/>
      <c r="Y877" s="2"/>
      <c r="Z877" s="2"/>
      <c r="AA877" s="2"/>
      <c r="AB877" s="2"/>
    </row>
    <row r="878" spans="22:28" ht="15.75" customHeight="1" x14ac:dyDescent="0.15">
      <c r="V878" s="2"/>
      <c r="W878" s="2"/>
      <c r="X878" s="2"/>
      <c r="Y878" s="2"/>
      <c r="Z878" s="2"/>
      <c r="AA878" s="2"/>
      <c r="AB878" s="2"/>
    </row>
    <row r="879" spans="22:28" ht="15.75" customHeight="1" x14ac:dyDescent="0.15">
      <c r="V879" s="2"/>
      <c r="W879" s="2"/>
      <c r="X879" s="2"/>
      <c r="Y879" s="2"/>
      <c r="Z879" s="2"/>
      <c r="AA879" s="2"/>
      <c r="AB879" s="2"/>
    </row>
    <row r="880" spans="22:28" ht="15.75" customHeight="1" x14ac:dyDescent="0.15">
      <c r="V880" s="2"/>
      <c r="W880" s="2"/>
      <c r="X880" s="2"/>
      <c r="Y880" s="2"/>
      <c r="Z880" s="2"/>
      <c r="AA880" s="2"/>
      <c r="AB880" s="2"/>
    </row>
    <row r="881" spans="22:28" ht="15.75" customHeight="1" x14ac:dyDescent="0.15">
      <c r="V881" s="2"/>
      <c r="W881" s="2"/>
      <c r="X881" s="2"/>
      <c r="Y881" s="2"/>
      <c r="Z881" s="2"/>
      <c r="AA881" s="2"/>
      <c r="AB881" s="2"/>
    </row>
    <row r="882" spans="22:28" ht="15.75" customHeight="1" x14ac:dyDescent="0.15">
      <c r="V882" s="2"/>
      <c r="W882" s="2"/>
      <c r="X882" s="2"/>
      <c r="Y882" s="2"/>
      <c r="Z882" s="2"/>
      <c r="AA882" s="2"/>
      <c r="AB882" s="2"/>
    </row>
    <row r="883" spans="22:28" ht="15.75" customHeight="1" x14ac:dyDescent="0.15">
      <c r="V883" s="2"/>
      <c r="W883" s="2"/>
      <c r="X883" s="2"/>
      <c r="Y883" s="2"/>
      <c r="Z883" s="2"/>
      <c r="AA883" s="2"/>
      <c r="AB883" s="2"/>
    </row>
    <row r="884" spans="22:28" ht="15.75" customHeight="1" x14ac:dyDescent="0.15">
      <c r="V884" s="2"/>
      <c r="W884" s="2"/>
      <c r="X884" s="2"/>
      <c r="Y884" s="2"/>
      <c r="Z884" s="2"/>
      <c r="AA884" s="2"/>
      <c r="AB884" s="2"/>
    </row>
    <row r="885" spans="22:28" ht="15.75" customHeight="1" x14ac:dyDescent="0.15">
      <c r="V885" s="2"/>
      <c r="W885" s="2"/>
      <c r="X885" s="2"/>
      <c r="Y885" s="2"/>
      <c r="Z885" s="2"/>
      <c r="AA885" s="2"/>
      <c r="AB885" s="2"/>
    </row>
    <row r="886" spans="22:28" ht="15.75" customHeight="1" x14ac:dyDescent="0.15">
      <c r="V886" s="2"/>
      <c r="W886" s="2"/>
      <c r="X886" s="2"/>
      <c r="Y886" s="2"/>
      <c r="Z886" s="2"/>
      <c r="AA886" s="2"/>
      <c r="AB886" s="2"/>
    </row>
    <row r="887" spans="22:28" ht="15.75" customHeight="1" x14ac:dyDescent="0.15">
      <c r="V887" s="2"/>
      <c r="W887" s="2"/>
      <c r="X887" s="2"/>
      <c r="Y887" s="2"/>
      <c r="Z887" s="2"/>
      <c r="AA887" s="2"/>
      <c r="AB887" s="2"/>
    </row>
    <row r="888" spans="22:28" ht="15.75" customHeight="1" x14ac:dyDescent="0.15">
      <c r="V888" s="2"/>
      <c r="W888" s="2"/>
      <c r="X888" s="2"/>
      <c r="Y888" s="2"/>
      <c r="Z888" s="2"/>
      <c r="AA888" s="2"/>
      <c r="AB888" s="2"/>
    </row>
    <row r="889" spans="22:28" ht="15.75" customHeight="1" x14ac:dyDescent="0.15">
      <c r="V889" s="2"/>
      <c r="W889" s="2"/>
      <c r="X889" s="2"/>
      <c r="Y889" s="2"/>
      <c r="Z889" s="2"/>
      <c r="AA889" s="2"/>
      <c r="AB889" s="2"/>
    </row>
    <row r="890" spans="22:28" ht="15.75" customHeight="1" x14ac:dyDescent="0.15">
      <c r="V890" s="2"/>
      <c r="W890" s="2"/>
      <c r="X890" s="2"/>
      <c r="Y890" s="2"/>
      <c r="Z890" s="2"/>
      <c r="AA890" s="2"/>
      <c r="AB890" s="2"/>
    </row>
    <row r="891" spans="22:28" ht="15.75" customHeight="1" x14ac:dyDescent="0.15">
      <c r="V891" s="2"/>
      <c r="W891" s="2"/>
      <c r="X891" s="2"/>
      <c r="Y891" s="2"/>
      <c r="Z891" s="2"/>
      <c r="AA891" s="2"/>
      <c r="AB891" s="2"/>
    </row>
    <row r="892" spans="22:28" ht="15.75" customHeight="1" x14ac:dyDescent="0.15">
      <c r="V892" s="2"/>
      <c r="W892" s="2"/>
      <c r="X892" s="2"/>
      <c r="Y892" s="2"/>
      <c r="Z892" s="2"/>
      <c r="AA892" s="2"/>
      <c r="AB892" s="2"/>
    </row>
    <row r="893" spans="22:28" ht="15.75" customHeight="1" x14ac:dyDescent="0.15">
      <c r="V893" s="2"/>
      <c r="W893" s="2"/>
      <c r="X893" s="2"/>
      <c r="Y893" s="2"/>
      <c r="Z893" s="2"/>
      <c r="AA893" s="2"/>
      <c r="AB893" s="2"/>
    </row>
    <row r="894" spans="22:28" ht="15.75" customHeight="1" x14ac:dyDescent="0.15">
      <c r="V894" s="2"/>
      <c r="W894" s="2"/>
      <c r="X894" s="2"/>
      <c r="Y894" s="2"/>
      <c r="Z894" s="2"/>
      <c r="AA894" s="2"/>
      <c r="AB894" s="2"/>
    </row>
    <row r="895" spans="22:28" ht="15.75" customHeight="1" x14ac:dyDescent="0.15">
      <c r="V895" s="2"/>
      <c r="W895" s="2"/>
      <c r="X895" s="2"/>
      <c r="Y895" s="2"/>
      <c r="Z895" s="2"/>
      <c r="AA895" s="2"/>
      <c r="AB895" s="2"/>
    </row>
    <row r="896" spans="22:28" ht="15.75" customHeight="1" x14ac:dyDescent="0.15">
      <c r="V896" s="2"/>
      <c r="W896" s="2"/>
      <c r="X896" s="2"/>
      <c r="Y896" s="2"/>
      <c r="Z896" s="2"/>
      <c r="AA896" s="2"/>
      <c r="AB896" s="2"/>
    </row>
    <row r="897" spans="22:28" ht="15.75" customHeight="1" x14ac:dyDescent="0.15">
      <c r="V897" s="2"/>
      <c r="W897" s="2"/>
      <c r="X897" s="2"/>
      <c r="Y897" s="2"/>
      <c r="Z897" s="2"/>
      <c r="AA897" s="2"/>
      <c r="AB897" s="2"/>
    </row>
    <row r="898" spans="22:28" ht="15.75" customHeight="1" x14ac:dyDescent="0.15">
      <c r="V898" s="2"/>
      <c r="W898" s="2"/>
      <c r="X898" s="2"/>
      <c r="Y898" s="2"/>
      <c r="Z898" s="2"/>
      <c r="AA898" s="2"/>
      <c r="AB898" s="2"/>
    </row>
    <row r="899" spans="22:28" ht="15.75" customHeight="1" x14ac:dyDescent="0.15">
      <c r="V899" s="2"/>
      <c r="W899" s="2"/>
      <c r="X899" s="2"/>
      <c r="Y899" s="2"/>
      <c r="Z899" s="2"/>
      <c r="AA899" s="2"/>
      <c r="AB899" s="2"/>
    </row>
    <row r="900" spans="22:28" ht="15.75" customHeight="1" x14ac:dyDescent="0.15">
      <c r="V900" s="2"/>
      <c r="W900" s="2"/>
      <c r="X900" s="2"/>
      <c r="Y900" s="2"/>
      <c r="Z900" s="2"/>
      <c r="AA900" s="2"/>
      <c r="AB900" s="2"/>
    </row>
    <row r="901" spans="22:28" ht="15.75" customHeight="1" x14ac:dyDescent="0.15">
      <c r="V901" s="2"/>
      <c r="W901" s="2"/>
      <c r="X901" s="2"/>
      <c r="Y901" s="2"/>
      <c r="Z901" s="2"/>
      <c r="AA901" s="2"/>
      <c r="AB901" s="2"/>
    </row>
    <row r="902" spans="22:28" ht="15.75" customHeight="1" x14ac:dyDescent="0.15">
      <c r="V902" s="2"/>
      <c r="W902" s="2"/>
      <c r="X902" s="2"/>
      <c r="Y902" s="2"/>
      <c r="Z902" s="2"/>
      <c r="AA902" s="2"/>
      <c r="AB902" s="2"/>
    </row>
    <row r="903" spans="22:28" ht="15.75" customHeight="1" x14ac:dyDescent="0.15">
      <c r="V903" s="2"/>
      <c r="W903" s="2"/>
      <c r="X903" s="2"/>
      <c r="Y903" s="2"/>
      <c r="Z903" s="2"/>
      <c r="AA903" s="2"/>
      <c r="AB903" s="2"/>
    </row>
    <row r="904" spans="22:28" ht="15.75" customHeight="1" x14ac:dyDescent="0.15">
      <c r="V904" s="2"/>
      <c r="W904" s="2"/>
      <c r="X904" s="2"/>
      <c r="Y904" s="2"/>
      <c r="Z904" s="2"/>
      <c r="AA904" s="2"/>
      <c r="AB904" s="2"/>
    </row>
    <row r="905" spans="22:28" ht="15.75" customHeight="1" x14ac:dyDescent="0.15">
      <c r="V905" s="2"/>
      <c r="W905" s="2"/>
      <c r="X905" s="2"/>
      <c r="Y905" s="2"/>
      <c r="Z905" s="2"/>
      <c r="AA905" s="2"/>
      <c r="AB905" s="2"/>
    </row>
    <row r="906" spans="22:28" ht="15.75" customHeight="1" x14ac:dyDescent="0.15">
      <c r="V906" s="2"/>
      <c r="W906" s="2"/>
      <c r="X906" s="2"/>
      <c r="Y906" s="2"/>
      <c r="Z906" s="2"/>
      <c r="AA906" s="2"/>
      <c r="AB906" s="2"/>
    </row>
    <row r="907" spans="22:28" ht="15.75" customHeight="1" x14ac:dyDescent="0.15">
      <c r="V907" s="2"/>
      <c r="W907" s="2"/>
      <c r="X907" s="2"/>
      <c r="Y907" s="2"/>
      <c r="Z907" s="2"/>
      <c r="AA907" s="2"/>
      <c r="AB907" s="2"/>
    </row>
    <row r="908" spans="22:28" ht="15.75" customHeight="1" x14ac:dyDescent="0.15">
      <c r="V908" s="2"/>
      <c r="W908" s="2"/>
      <c r="X908" s="2"/>
      <c r="Y908" s="2"/>
      <c r="Z908" s="2"/>
      <c r="AA908" s="2"/>
      <c r="AB908" s="2"/>
    </row>
    <row r="909" spans="22:28" ht="15.75" customHeight="1" x14ac:dyDescent="0.15">
      <c r="V909" s="2"/>
      <c r="W909" s="2"/>
      <c r="X909" s="2"/>
      <c r="Y909" s="2"/>
      <c r="Z909" s="2"/>
      <c r="AA909" s="2"/>
      <c r="AB909" s="2"/>
    </row>
    <row r="910" spans="22:28" ht="15.75" customHeight="1" x14ac:dyDescent="0.15">
      <c r="V910" s="2"/>
      <c r="W910" s="2"/>
      <c r="X910" s="2"/>
      <c r="Y910" s="2"/>
      <c r="Z910" s="2"/>
      <c r="AA910" s="2"/>
      <c r="AB910" s="2"/>
    </row>
    <row r="911" spans="22:28" ht="15.75" customHeight="1" x14ac:dyDescent="0.15">
      <c r="V911" s="2"/>
      <c r="W911" s="2"/>
      <c r="X911" s="2"/>
      <c r="Y911" s="2"/>
      <c r="Z911" s="2"/>
      <c r="AA911" s="2"/>
      <c r="AB911" s="2"/>
    </row>
    <row r="912" spans="22:28" ht="15.75" customHeight="1" x14ac:dyDescent="0.15">
      <c r="V912" s="2"/>
      <c r="W912" s="2"/>
      <c r="X912" s="2"/>
      <c r="Y912" s="2"/>
      <c r="Z912" s="2"/>
      <c r="AA912" s="2"/>
      <c r="AB912" s="2"/>
    </row>
    <row r="913" spans="22:28" ht="15.75" customHeight="1" x14ac:dyDescent="0.15">
      <c r="V913" s="2"/>
      <c r="W913" s="2"/>
      <c r="X913" s="2"/>
      <c r="Y913" s="2"/>
      <c r="Z913" s="2"/>
      <c r="AA913" s="2"/>
      <c r="AB913" s="2"/>
    </row>
    <row r="914" spans="22:28" ht="15.75" customHeight="1" x14ac:dyDescent="0.15">
      <c r="V914" s="2"/>
      <c r="W914" s="2"/>
      <c r="X914" s="2"/>
      <c r="Y914" s="2"/>
      <c r="Z914" s="2"/>
      <c r="AA914" s="2"/>
      <c r="AB914" s="2"/>
    </row>
    <row r="915" spans="22:28" ht="15.75" customHeight="1" x14ac:dyDescent="0.15">
      <c r="V915" s="2"/>
      <c r="W915" s="2"/>
      <c r="X915" s="2"/>
      <c r="Y915" s="2"/>
      <c r="Z915" s="2"/>
      <c r="AA915" s="2"/>
      <c r="AB915" s="2"/>
    </row>
    <row r="916" spans="22:28" ht="15.75" customHeight="1" x14ac:dyDescent="0.15">
      <c r="V916" s="2"/>
      <c r="W916" s="2"/>
      <c r="X916" s="2"/>
      <c r="Y916" s="2"/>
      <c r="Z916" s="2"/>
      <c r="AA916" s="2"/>
      <c r="AB916" s="2"/>
    </row>
    <row r="917" spans="22:28" ht="15.75" customHeight="1" x14ac:dyDescent="0.15">
      <c r="V917" s="2"/>
      <c r="W917" s="2"/>
      <c r="X917" s="2"/>
      <c r="Y917" s="2"/>
      <c r="Z917" s="2"/>
      <c r="AA917" s="2"/>
      <c r="AB917" s="2"/>
    </row>
    <row r="918" spans="22:28" ht="15.75" customHeight="1" x14ac:dyDescent="0.15">
      <c r="V918" s="2"/>
      <c r="W918" s="2"/>
      <c r="X918" s="2"/>
      <c r="Y918" s="2"/>
      <c r="Z918" s="2"/>
      <c r="AA918" s="2"/>
      <c r="AB918" s="2"/>
    </row>
    <row r="919" spans="22:28" ht="15.75" customHeight="1" x14ac:dyDescent="0.15">
      <c r="V919" s="2"/>
      <c r="W919" s="2"/>
      <c r="X919" s="2"/>
      <c r="Y919" s="2"/>
      <c r="Z919" s="2"/>
      <c r="AA919" s="2"/>
      <c r="AB919" s="2"/>
    </row>
    <row r="920" spans="22:28" ht="15.75" customHeight="1" x14ac:dyDescent="0.15">
      <c r="V920" s="2"/>
      <c r="W920" s="2"/>
      <c r="X920" s="2"/>
      <c r="Y920" s="2"/>
      <c r="Z920" s="2"/>
      <c r="AA920" s="2"/>
      <c r="AB920" s="2"/>
    </row>
    <row r="921" spans="22:28" ht="15.75" customHeight="1" x14ac:dyDescent="0.15">
      <c r="V921" s="2"/>
      <c r="W921" s="2"/>
      <c r="X921" s="2"/>
      <c r="Y921" s="2"/>
      <c r="Z921" s="2"/>
      <c r="AA921" s="2"/>
      <c r="AB921" s="2"/>
    </row>
    <row r="922" spans="22:28" ht="15.75" customHeight="1" x14ac:dyDescent="0.15">
      <c r="V922" s="2"/>
      <c r="W922" s="2"/>
      <c r="X922" s="2"/>
      <c r="Y922" s="2"/>
      <c r="Z922" s="2"/>
      <c r="AA922" s="2"/>
      <c r="AB922" s="2"/>
    </row>
    <row r="923" spans="22:28" ht="15.75" customHeight="1" x14ac:dyDescent="0.15">
      <c r="V923" s="2"/>
      <c r="W923" s="2"/>
      <c r="X923" s="2"/>
      <c r="Y923" s="2"/>
      <c r="Z923" s="2"/>
      <c r="AA923" s="2"/>
      <c r="AB923" s="2"/>
    </row>
    <row r="924" spans="22:28" ht="15.75" customHeight="1" x14ac:dyDescent="0.15">
      <c r="V924" s="2"/>
      <c r="W924" s="2"/>
      <c r="X924" s="2"/>
      <c r="Y924" s="2"/>
      <c r="Z924" s="2"/>
      <c r="AA924" s="2"/>
      <c r="AB924" s="2"/>
    </row>
    <row r="925" spans="22:28" ht="15.75" customHeight="1" x14ac:dyDescent="0.15">
      <c r="V925" s="2"/>
      <c r="W925" s="2"/>
      <c r="X925" s="2"/>
      <c r="Y925" s="2"/>
      <c r="Z925" s="2"/>
      <c r="AA925" s="2"/>
      <c r="AB925" s="2"/>
    </row>
    <row r="926" spans="22:28" ht="15.75" customHeight="1" x14ac:dyDescent="0.15">
      <c r="V926" s="2"/>
      <c r="W926" s="2"/>
      <c r="X926" s="2"/>
      <c r="Y926" s="2"/>
      <c r="Z926" s="2"/>
      <c r="AA926" s="2"/>
      <c r="AB926" s="2"/>
    </row>
    <row r="927" spans="22:28" ht="15.75" customHeight="1" x14ac:dyDescent="0.15">
      <c r="V927" s="2"/>
      <c r="W927" s="2"/>
      <c r="X927" s="2"/>
      <c r="Y927" s="2"/>
      <c r="Z927" s="2"/>
      <c r="AA927" s="2"/>
      <c r="AB927" s="2"/>
    </row>
    <row r="928" spans="22:28" ht="15.75" customHeight="1" x14ac:dyDescent="0.15">
      <c r="V928" s="2"/>
      <c r="W928" s="2"/>
      <c r="X928" s="2"/>
      <c r="Y928" s="2"/>
      <c r="Z928" s="2"/>
      <c r="AA928" s="2"/>
      <c r="AB928" s="2"/>
    </row>
    <row r="929" spans="22:28" ht="15.75" customHeight="1" x14ac:dyDescent="0.15">
      <c r="V929" s="2"/>
      <c r="W929" s="2"/>
      <c r="X929" s="2"/>
      <c r="Y929" s="2"/>
      <c r="Z929" s="2"/>
      <c r="AA929" s="2"/>
      <c r="AB929" s="2"/>
    </row>
    <row r="930" spans="22:28" ht="15.75" customHeight="1" x14ac:dyDescent="0.15">
      <c r="V930" s="2"/>
      <c r="W930" s="2"/>
      <c r="X930" s="2"/>
      <c r="Y930" s="2"/>
      <c r="Z930" s="2"/>
      <c r="AA930" s="2"/>
      <c r="AB930" s="2"/>
    </row>
    <row r="931" spans="22:28" ht="15.75" customHeight="1" x14ac:dyDescent="0.15">
      <c r="V931" s="2"/>
      <c r="W931" s="2"/>
      <c r="X931" s="2"/>
      <c r="Y931" s="2"/>
      <c r="Z931" s="2"/>
      <c r="AA931" s="2"/>
      <c r="AB931" s="2"/>
    </row>
    <row r="932" spans="22:28" ht="15.75" customHeight="1" x14ac:dyDescent="0.15">
      <c r="V932" s="2"/>
      <c r="W932" s="2"/>
      <c r="X932" s="2"/>
      <c r="Y932" s="2"/>
      <c r="Z932" s="2"/>
      <c r="AA932" s="2"/>
      <c r="AB932" s="2"/>
    </row>
    <row r="933" spans="22:28" ht="15.75" customHeight="1" x14ac:dyDescent="0.15">
      <c r="V933" s="2"/>
      <c r="W933" s="2"/>
      <c r="X933" s="2"/>
      <c r="Y933" s="2"/>
      <c r="Z933" s="2"/>
      <c r="AA933" s="2"/>
      <c r="AB933" s="2"/>
    </row>
    <row r="934" spans="22:28" ht="15.75" customHeight="1" x14ac:dyDescent="0.15">
      <c r="V934" s="2"/>
      <c r="W934" s="2"/>
      <c r="X934" s="2"/>
      <c r="Y934" s="2"/>
      <c r="Z934" s="2"/>
      <c r="AA934" s="2"/>
      <c r="AB934" s="2"/>
    </row>
    <row r="935" spans="22:28" ht="15.75" customHeight="1" x14ac:dyDescent="0.15">
      <c r="V935" s="2"/>
      <c r="W935" s="2"/>
      <c r="X935" s="2"/>
      <c r="Y935" s="2"/>
      <c r="Z935" s="2"/>
      <c r="AA935" s="2"/>
      <c r="AB935" s="2"/>
    </row>
    <row r="936" spans="22:28" ht="15.75" customHeight="1" x14ac:dyDescent="0.15">
      <c r="V936" s="2"/>
      <c r="W936" s="2"/>
      <c r="X936" s="2"/>
      <c r="Y936" s="2"/>
      <c r="Z936" s="2"/>
      <c r="AA936" s="2"/>
      <c r="AB936" s="2"/>
    </row>
    <row r="937" spans="22:28" ht="15.75" customHeight="1" x14ac:dyDescent="0.15">
      <c r="V937" s="2"/>
      <c r="W937" s="2"/>
      <c r="X937" s="2"/>
      <c r="Y937" s="2"/>
      <c r="Z937" s="2"/>
      <c r="AA937" s="2"/>
      <c r="AB937" s="2"/>
    </row>
    <row r="938" spans="22:28" ht="15.75" customHeight="1" x14ac:dyDescent="0.15">
      <c r="V938" s="2"/>
      <c r="W938" s="2"/>
      <c r="X938" s="2"/>
      <c r="Y938" s="2"/>
      <c r="Z938" s="2"/>
      <c r="AA938" s="2"/>
      <c r="AB938" s="2"/>
    </row>
    <row r="939" spans="22:28" ht="15.75" customHeight="1" x14ac:dyDescent="0.15">
      <c r="V939" s="2"/>
      <c r="W939" s="2"/>
      <c r="X939" s="2"/>
      <c r="Y939" s="2"/>
      <c r="Z939" s="2"/>
      <c r="AA939" s="2"/>
      <c r="AB939" s="2"/>
    </row>
    <row r="940" spans="22:28" ht="15.75" customHeight="1" x14ac:dyDescent="0.15">
      <c r="V940" s="2"/>
      <c r="W940" s="2"/>
      <c r="X940" s="2"/>
      <c r="Y940" s="2"/>
      <c r="Z940" s="2"/>
      <c r="AA940" s="2"/>
      <c r="AB940" s="2"/>
    </row>
    <row r="941" spans="22:28" ht="15.75" customHeight="1" x14ac:dyDescent="0.15">
      <c r="V941" s="2"/>
      <c r="W941" s="2"/>
      <c r="X941" s="2"/>
      <c r="Y941" s="2"/>
      <c r="Z941" s="2"/>
      <c r="AA941" s="2"/>
      <c r="AB941" s="2"/>
    </row>
    <row r="942" spans="22:28" ht="15.75" customHeight="1" x14ac:dyDescent="0.15">
      <c r="V942" s="2"/>
      <c r="W942" s="2"/>
      <c r="X942" s="2"/>
      <c r="Y942" s="2"/>
      <c r="Z942" s="2"/>
      <c r="AA942" s="2"/>
      <c r="AB942" s="2"/>
    </row>
    <row r="943" spans="22:28" ht="15.75" customHeight="1" x14ac:dyDescent="0.15">
      <c r="V943" s="2"/>
      <c r="W943" s="2"/>
      <c r="X943" s="2"/>
      <c r="Y943" s="2"/>
      <c r="Z943" s="2"/>
      <c r="AA943" s="2"/>
      <c r="AB943" s="2"/>
    </row>
    <row r="944" spans="22:28" ht="15.75" customHeight="1" x14ac:dyDescent="0.15">
      <c r="V944" s="2"/>
      <c r="W944" s="2"/>
      <c r="X944" s="2"/>
      <c r="Y944" s="2"/>
      <c r="Z944" s="2"/>
      <c r="AA944" s="2"/>
      <c r="AB944" s="2"/>
    </row>
    <row r="945" spans="22:28" ht="15.75" customHeight="1" x14ac:dyDescent="0.15">
      <c r="V945" s="2"/>
      <c r="W945" s="2"/>
      <c r="X945" s="2"/>
      <c r="Y945" s="2"/>
      <c r="Z945" s="2"/>
      <c r="AA945" s="2"/>
      <c r="AB945" s="2"/>
    </row>
    <row r="946" spans="22:28" ht="15.75" customHeight="1" x14ac:dyDescent="0.15">
      <c r="V946" s="2"/>
      <c r="W946" s="2"/>
      <c r="X946" s="2"/>
      <c r="Y946" s="2"/>
      <c r="Z946" s="2"/>
      <c r="AA946" s="2"/>
      <c r="AB946" s="2"/>
    </row>
    <row r="947" spans="22:28" ht="15.75" customHeight="1" x14ac:dyDescent="0.15">
      <c r="V947" s="2"/>
      <c r="W947" s="2"/>
      <c r="X947" s="2"/>
      <c r="Y947" s="2"/>
      <c r="Z947" s="2"/>
      <c r="AA947" s="2"/>
      <c r="AB947" s="2"/>
    </row>
    <row r="948" spans="22:28" ht="15.75" customHeight="1" x14ac:dyDescent="0.15">
      <c r="V948" s="2"/>
      <c r="W948" s="2"/>
      <c r="X948" s="2"/>
      <c r="Y948" s="2"/>
      <c r="Z948" s="2"/>
      <c r="AA948" s="2"/>
      <c r="AB948" s="2"/>
    </row>
    <row r="949" spans="22:28" ht="15.75" customHeight="1" x14ac:dyDescent="0.15">
      <c r="V949" s="2"/>
      <c r="W949" s="2"/>
      <c r="X949" s="2"/>
      <c r="Y949" s="2"/>
      <c r="Z949" s="2"/>
      <c r="AA949" s="2"/>
      <c r="AB949" s="2"/>
    </row>
    <row r="950" spans="22:28" ht="15.75" customHeight="1" x14ac:dyDescent="0.15">
      <c r="V950" s="2"/>
      <c r="W950" s="2"/>
      <c r="X950" s="2"/>
      <c r="Y950" s="2"/>
      <c r="Z950" s="2"/>
      <c r="AA950" s="2"/>
      <c r="AB950" s="2"/>
    </row>
    <row r="951" spans="22:28" ht="15.75" customHeight="1" x14ac:dyDescent="0.15">
      <c r="V951" s="2"/>
      <c r="W951" s="2"/>
      <c r="X951" s="2"/>
      <c r="Y951" s="2"/>
      <c r="Z951" s="2"/>
      <c r="AA951" s="2"/>
      <c r="AB951" s="2"/>
    </row>
    <row r="952" spans="22:28" ht="15.75" customHeight="1" x14ac:dyDescent="0.15">
      <c r="V952" s="2"/>
      <c r="W952" s="2"/>
      <c r="X952" s="2"/>
      <c r="Y952" s="2"/>
      <c r="Z952" s="2"/>
      <c r="AA952" s="2"/>
      <c r="AB952" s="2"/>
    </row>
    <row r="953" spans="22:28" ht="15.75" customHeight="1" x14ac:dyDescent="0.15">
      <c r="V953" s="2"/>
      <c r="W953" s="2"/>
      <c r="X953" s="2"/>
      <c r="Y953" s="2"/>
      <c r="Z953" s="2"/>
      <c r="AA953" s="2"/>
      <c r="AB953" s="2"/>
    </row>
    <row r="954" spans="22:28" ht="15.75" customHeight="1" x14ac:dyDescent="0.15">
      <c r="V954" s="2"/>
      <c r="W954" s="2"/>
      <c r="X954" s="2"/>
      <c r="Y954" s="2"/>
      <c r="Z954" s="2"/>
      <c r="AA954" s="2"/>
      <c r="AB954" s="2"/>
    </row>
    <row r="955" spans="22:28" ht="15.75" customHeight="1" x14ac:dyDescent="0.15">
      <c r="V955" s="2"/>
      <c r="W955" s="2"/>
      <c r="X955" s="2"/>
      <c r="Y955" s="2"/>
      <c r="Z955" s="2"/>
      <c r="AA955" s="2"/>
      <c r="AB955" s="2"/>
    </row>
    <row r="956" spans="22:28" ht="15.75" customHeight="1" x14ac:dyDescent="0.15">
      <c r="V956" s="2"/>
      <c r="W956" s="2"/>
      <c r="X956" s="2"/>
      <c r="Y956" s="2"/>
      <c r="Z956" s="2"/>
      <c r="AA956" s="2"/>
      <c r="AB956" s="2"/>
    </row>
    <row r="957" spans="22:28" ht="15.75" customHeight="1" x14ac:dyDescent="0.15">
      <c r="V957" s="2"/>
      <c r="W957" s="2"/>
      <c r="X957" s="2"/>
      <c r="Y957" s="2"/>
      <c r="Z957" s="2"/>
      <c r="AA957" s="2"/>
      <c r="AB957" s="2"/>
    </row>
    <row r="958" spans="22:28" ht="15.75" customHeight="1" x14ac:dyDescent="0.15">
      <c r="V958" s="2"/>
      <c r="W958" s="2"/>
      <c r="X958" s="2"/>
      <c r="Y958" s="2"/>
      <c r="Z958" s="2"/>
      <c r="AA958" s="2"/>
      <c r="AB958" s="2"/>
    </row>
    <row r="959" spans="22:28" ht="15.75" customHeight="1" x14ac:dyDescent="0.15">
      <c r="V959" s="2"/>
      <c r="W959" s="2"/>
      <c r="X959" s="2"/>
      <c r="Y959" s="2"/>
      <c r="Z959" s="2"/>
      <c r="AA959" s="2"/>
      <c r="AB959" s="2"/>
    </row>
    <row r="960" spans="22:28" ht="15.75" customHeight="1" x14ac:dyDescent="0.15">
      <c r="V960" s="2"/>
      <c r="W960" s="2"/>
      <c r="X960" s="2"/>
      <c r="Y960" s="2"/>
      <c r="Z960" s="2"/>
      <c r="AA960" s="2"/>
      <c r="AB960" s="2"/>
    </row>
    <row r="961" spans="22:28" ht="15.75" customHeight="1" x14ac:dyDescent="0.15">
      <c r="V961" s="2"/>
      <c r="W961" s="2"/>
      <c r="X961" s="2"/>
      <c r="Y961" s="2"/>
      <c r="Z961" s="2"/>
      <c r="AA961" s="2"/>
      <c r="AB961" s="2"/>
    </row>
    <row r="962" spans="22:28" ht="15.75" customHeight="1" x14ac:dyDescent="0.15">
      <c r="V962" s="2"/>
      <c r="W962" s="2"/>
      <c r="X962" s="2"/>
      <c r="Y962" s="2"/>
      <c r="Z962" s="2"/>
      <c r="AA962" s="2"/>
      <c r="AB962" s="2"/>
    </row>
    <row r="963" spans="22:28" ht="15.75" customHeight="1" x14ac:dyDescent="0.15">
      <c r="V963" s="2"/>
      <c r="W963" s="2"/>
      <c r="X963" s="2"/>
      <c r="Y963" s="2"/>
      <c r="Z963" s="2"/>
      <c r="AA963" s="2"/>
      <c r="AB963" s="2"/>
    </row>
    <row r="964" spans="22:28" ht="15.75" customHeight="1" x14ac:dyDescent="0.15">
      <c r="V964" s="2"/>
      <c r="W964" s="2"/>
      <c r="X964" s="2"/>
      <c r="Y964" s="2"/>
      <c r="Z964" s="2"/>
      <c r="AA964" s="2"/>
      <c r="AB964" s="2"/>
    </row>
    <row r="965" spans="22:28" ht="15.75" customHeight="1" x14ac:dyDescent="0.15">
      <c r="V965" s="2"/>
      <c r="W965" s="2"/>
      <c r="X965" s="2"/>
      <c r="Y965" s="2"/>
      <c r="Z965" s="2"/>
      <c r="AA965" s="2"/>
      <c r="AB965" s="2"/>
    </row>
    <row r="966" spans="22:28" ht="15.75" customHeight="1" x14ac:dyDescent="0.15">
      <c r="V966" s="2"/>
      <c r="W966" s="2"/>
      <c r="X966" s="2"/>
      <c r="Y966" s="2"/>
      <c r="Z966" s="2"/>
      <c r="AA966" s="2"/>
      <c r="AB966" s="2"/>
    </row>
    <row r="967" spans="22:28" ht="15.75" customHeight="1" x14ac:dyDescent="0.15">
      <c r="V967" s="2"/>
      <c r="W967" s="2"/>
      <c r="X967" s="2"/>
      <c r="Y967" s="2"/>
      <c r="Z967" s="2"/>
      <c r="AA967" s="2"/>
      <c r="AB967" s="2"/>
    </row>
    <row r="968" spans="22:28" ht="15.75" customHeight="1" x14ac:dyDescent="0.15">
      <c r="V968" s="2"/>
      <c r="W968" s="2"/>
      <c r="X968" s="2"/>
      <c r="Y968" s="2"/>
      <c r="Z968" s="2"/>
      <c r="AA968" s="2"/>
      <c r="AB968" s="2"/>
    </row>
    <row r="969" spans="22:28" ht="15.75" customHeight="1" x14ac:dyDescent="0.15">
      <c r="V969" s="2"/>
      <c r="W969" s="2"/>
      <c r="X969" s="2"/>
      <c r="Y969" s="2"/>
      <c r="Z969" s="2"/>
      <c r="AA969" s="2"/>
      <c r="AB969" s="2"/>
    </row>
    <row r="970" spans="22:28" ht="15.75" customHeight="1" x14ac:dyDescent="0.15">
      <c r="V970" s="2"/>
      <c r="W970" s="2"/>
      <c r="X970" s="2"/>
      <c r="Y970" s="2"/>
      <c r="Z970" s="2"/>
      <c r="AA970" s="2"/>
      <c r="AB970" s="2"/>
    </row>
    <row r="971" spans="22:28" ht="15.75" customHeight="1" x14ac:dyDescent="0.15">
      <c r="V971" s="2"/>
      <c r="W971" s="2"/>
      <c r="X971" s="2"/>
      <c r="Y971" s="2"/>
      <c r="Z971" s="2"/>
      <c r="AA971" s="2"/>
      <c r="AB971" s="2"/>
    </row>
    <row r="972" spans="22:28" ht="15.75" customHeight="1" x14ac:dyDescent="0.15">
      <c r="V972" s="2"/>
      <c r="W972" s="2"/>
      <c r="X972" s="2"/>
      <c r="Y972" s="2"/>
      <c r="Z972" s="2"/>
      <c r="AA972" s="2"/>
      <c r="AB972" s="2"/>
    </row>
    <row r="973" spans="22:28" ht="15.75" customHeight="1" x14ac:dyDescent="0.15">
      <c r="V973" s="2"/>
      <c r="W973" s="2"/>
      <c r="X973" s="2"/>
      <c r="Y973" s="2"/>
      <c r="Z973" s="2"/>
      <c r="AA973" s="2"/>
      <c r="AB973" s="2"/>
    </row>
    <row r="974" spans="22:28" ht="15.75" customHeight="1" x14ac:dyDescent="0.15">
      <c r="V974" s="2"/>
      <c r="W974" s="2"/>
      <c r="X974" s="2"/>
      <c r="Y974" s="2"/>
      <c r="Z974" s="2"/>
      <c r="AA974" s="2"/>
      <c r="AB974" s="2"/>
    </row>
    <row r="975" spans="22:28" ht="15.75" customHeight="1" x14ac:dyDescent="0.15">
      <c r="V975" s="2"/>
      <c r="W975" s="2"/>
      <c r="X975" s="2"/>
      <c r="Y975" s="2"/>
      <c r="Z975" s="2"/>
      <c r="AA975" s="2"/>
      <c r="AB975" s="2"/>
    </row>
    <row r="976" spans="22:28" ht="15.75" customHeight="1" x14ac:dyDescent="0.15">
      <c r="V976" s="2"/>
      <c r="W976" s="2"/>
      <c r="X976" s="2"/>
      <c r="Y976" s="2"/>
      <c r="Z976" s="2"/>
      <c r="AA976" s="2"/>
      <c r="AB976" s="2"/>
    </row>
    <row r="977" spans="22:28" ht="15.75" customHeight="1" x14ac:dyDescent="0.15">
      <c r="V977" s="2"/>
      <c r="W977" s="2"/>
      <c r="X977" s="2"/>
      <c r="Y977" s="2"/>
      <c r="Z977" s="2"/>
      <c r="AA977" s="2"/>
      <c r="AB977" s="2"/>
    </row>
    <row r="978" spans="22:28" ht="15.75" customHeight="1" x14ac:dyDescent="0.15">
      <c r="V978" s="2"/>
      <c r="W978" s="2"/>
      <c r="X978" s="2"/>
      <c r="Y978" s="2"/>
      <c r="Z978" s="2"/>
      <c r="AA978" s="2"/>
      <c r="AB978" s="2"/>
    </row>
    <row r="979" spans="22:28" ht="15.75" customHeight="1" x14ac:dyDescent="0.15">
      <c r="V979" s="2"/>
      <c r="W979" s="2"/>
      <c r="X979" s="2"/>
      <c r="Y979" s="2"/>
      <c r="Z979" s="2"/>
      <c r="AA979" s="2"/>
      <c r="AB979" s="2"/>
    </row>
    <row r="980" spans="22:28" ht="15.75" customHeight="1" x14ac:dyDescent="0.15">
      <c r="V980" s="2"/>
      <c r="W980" s="2"/>
      <c r="X980" s="2"/>
      <c r="Y980" s="2"/>
      <c r="Z980" s="2"/>
      <c r="AA980" s="2"/>
      <c r="AB980" s="2"/>
    </row>
    <row r="981" spans="22:28" ht="15.75" customHeight="1" x14ac:dyDescent="0.15">
      <c r="V981" s="2"/>
      <c r="W981" s="2"/>
      <c r="X981" s="2"/>
      <c r="Y981" s="2"/>
      <c r="Z981" s="2"/>
      <c r="AA981" s="2"/>
      <c r="AB981" s="2"/>
    </row>
    <row r="982" spans="22:28" ht="15.75" customHeight="1" x14ac:dyDescent="0.15">
      <c r="V982" s="2"/>
      <c r="W982" s="2"/>
      <c r="X982" s="2"/>
      <c r="Y982" s="2"/>
      <c r="Z982" s="2"/>
      <c r="AA982" s="2"/>
      <c r="AB982" s="2"/>
    </row>
    <row r="983" spans="22:28" ht="15.75" customHeight="1" x14ac:dyDescent="0.15">
      <c r="V983" s="2"/>
      <c r="W983" s="2"/>
      <c r="X983" s="2"/>
      <c r="Y983" s="2"/>
      <c r="Z983" s="2"/>
      <c r="AA983" s="2"/>
      <c r="AB983" s="2"/>
    </row>
    <row r="984" spans="22:28" ht="15.75" customHeight="1" x14ac:dyDescent="0.15">
      <c r="V984" s="2"/>
      <c r="W984" s="2"/>
      <c r="X984" s="2"/>
      <c r="Y984" s="2"/>
      <c r="Z984" s="2"/>
      <c r="AA984" s="2"/>
      <c r="AB984" s="2"/>
    </row>
    <row r="985" spans="22:28" ht="15.75" customHeight="1" x14ac:dyDescent="0.15">
      <c r="V985" s="2"/>
      <c r="W985" s="2"/>
      <c r="X985" s="2"/>
      <c r="Y985" s="2"/>
      <c r="Z985" s="2"/>
      <c r="AA985" s="2"/>
      <c r="AB985" s="2"/>
    </row>
    <row r="986" spans="22:28" ht="15.75" customHeight="1" x14ac:dyDescent="0.15">
      <c r="V986" s="2"/>
      <c r="W986" s="2"/>
      <c r="X986" s="2"/>
      <c r="Y986" s="2"/>
      <c r="Z986" s="2"/>
      <c r="AA986" s="2"/>
      <c r="AB986" s="2"/>
    </row>
    <row r="987" spans="22:28" ht="15.75" customHeight="1" x14ac:dyDescent="0.15">
      <c r="V987" s="2"/>
      <c r="W987" s="2"/>
      <c r="X987" s="2"/>
      <c r="Y987" s="2"/>
      <c r="Z987" s="2"/>
      <c r="AA987" s="2"/>
      <c r="AB987" s="2"/>
    </row>
    <row r="988" spans="22:28" ht="15.75" customHeight="1" x14ac:dyDescent="0.15">
      <c r="V988" s="2"/>
      <c r="W988" s="2"/>
      <c r="X988" s="2"/>
      <c r="Y988" s="2"/>
      <c r="Z988" s="2"/>
      <c r="AA988" s="2"/>
      <c r="AB988" s="2"/>
    </row>
    <row r="989" spans="22:28" ht="15.75" customHeight="1" x14ac:dyDescent="0.15">
      <c r="V989" s="2"/>
      <c r="W989" s="2"/>
      <c r="X989" s="2"/>
      <c r="Y989" s="2"/>
      <c r="Z989" s="2"/>
      <c r="AA989" s="2"/>
      <c r="AB989" s="2"/>
    </row>
    <row r="990" spans="22:28" ht="15.75" customHeight="1" x14ac:dyDescent="0.15">
      <c r="V990" s="2"/>
      <c r="W990" s="2"/>
      <c r="X990" s="2"/>
      <c r="Y990" s="2"/>
      <c r="Z990" s="2"/>
      <c r="AA990" s="2"/>
      <c r="AB990" s="2"/>
    </row>
    <row r="991" spans="22:28" ht="15.75" customHeight="1" x14ac:dyDescent="0.15">
      <c r="V991" s="2"/>
      <c r="W991" s="2"/>
      <c r="X991" s="2"/>
      <c r="Y991" s="2"/>
      <c r="Z991" s="2"/>
      <c r="AA991" s="2"/>
      <c r="AB991" s="2"/>
    </row>
    <row r="992" spans="22:28" ht="15.75" customHeight="1" x14ac:dyDescent="0.15">
      <c r="V992" s="2"/>
      <c r="W992" s="2"/>
      <c r="X992" s="2"/>
      <c r="Y992" s="2"/>
      <c r="Z992" s="2"/>
      <c r="AA992" s="2"/>
      <c r="AB992" s="2"/>
    </row>
    <row r="993" spans="22:28" ht="15.75" customHeight="1" x14ac:dyDescent="0.15">
      <c r="V993" s="2"/>
      <c r="W993" s="2"/>
      <c r="X993" s="2"/>
      <c r="Y993" s="2"/>
      <c r="Z993" s="2"/>
      <c r="AA993" s="2"/>
      <c r="AB993" s="2"/>
    </row>
    <row r="994" spans="22:28" ht="15.75" customHeight="1" x14ac:dyDescent="0.15">
      <c r="V994" s="2"/>
      <c r="W994" s="2"/>
      <c r="X994" s="2"/>
      <c r="Y994" s="2"/>
      <c r="Z994" s="2"/>
      <c r="AA994" s="2"/>
      <c r="AB994" s="2"/>
    </row>
    <row r="995" spans="22:28" ht="15.75" customHeight="1" x14ac:dyDescent="0.15">
      <c r="V995" s="2"/>
      <c r="W995" s="2"/>
      <c r="X995" s="2"/>
      <c r="Y995" s="2"/>
      <c r="Z995" s="2"/>
      <c r="AA995" s="2"/>
      <c r="AB995" s="2"/>
    </row>
    <row r="996" spans="22:28" ht="15.75" customHeight="1" x14ac:dyDescent="0.15">
      <c r="V996" s="2"/>
      <c r="W996" s="2"/>
      <c r="X996" s="2"/>
      <c r="Y996" s="2"/>
      <c r="Z996" s="2"/>
      <c r="AA996" s="2"/>
      <c r="AB996" s="2"/>
    </row>
    <row r="997" spans="22:28" ht="15.75" customHeight="1" x14ac:dyDescent="0.15">
      <c r="V997" s="2"/>
      <c r="W997" s="2"/>
      <c r="X997" s="2"/>
      <c r="Y997" s="2"/>
      <c r="Z997" s="2"/>
      <c r="AA997" s="2"/>
      <c r="AB997" s="2"/>
    </row>
    <row r="998" spans="22:28" ht="15.75" customHeight="1" x14ac:dyDescent="0.15">
      <c r="V998" s="2"/>
      <c r="W998" s="2"/>
      <c r="X998" s="2"/>
      <c r="Y998" s="2"/>
      <c r="Z998" s="2"/>
      <c r="AA998" s="2"/>
      <c r="AB998" s="2"/>
    </row>
    <row r="999" spans="22:28" ht="15.75" customHeight="1" x14ac:dyDescent="0.15">
      <c r="V999" s="2"/>
      <c r="W999" s="2"/>
      <c r="X999" s="2"/>
      <c r="Y999" s="2"/>
      <c r="Z999" s="2"/>
      <c r="AA999" s="2"/>
      <c r="AB999" s="2"/>
    </row>
    <row r="1000" spans="22:28" ht="14" x14ac:dyDescent="0.15">
      <c r="V1000" s="2"/>
      <c r="W1000" s="2"/>
      <c r="X1000" s="2"/>
      <c r="Y1000" s="2"/>
      <c r="Z1000" s="2"/>
      <c r="AA1000" s="2"/>
      <c r="AB1000" s="2"/>
    </row>
    <row r="1001" spans="22:28" ht="15.75" customHeight="1" x14ac:dyDescent="0.15">
      <c r="V1001" s="2"/>
      <c r="W1001" s="2"/>
      <c r="X1001" s="2"/>
      <c r="Y1001" s="2"/>
      <c r="Z1001" s="2"/>
      <c r="AA1001" s="2"/>
      <c r="AB1001" s="2"/>
    </row>
  </sheetData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1000"/>
  <sheetViews>
    <sheetView showGridLines="0" tabSelected="1" workbookViewId="0"/>
  </sheetViews>
  <sheetFormatPr baseColWidth="10" defaultColWidth="12.6640625" defaultRowHeight="15" customHeight="1" outlineLevelCol="1" x14ac:dyDescent="0.15"/>
  <cols>
    <col min="1" max="1" width="1.5" customWidth="1"/>
    <col min="2" max="2" width="69" customWidth="1"/>
    <col min="3" max="3" width="3.33203125" customWidth="1"/>
    <col min="4" max="11" width="9.5" hidden="1" customWidth="1" outlineLevel="1"/>
    <col min="12" max="12" width="9.5" hidden="1" customWidth="1" collapsed="1"/>
    <col min="13" max="16" width="9.5" hidden="1" customWidth="1" outlineLevel="1"/>
    <col min="17" max="17" width="9.5" customWidth="1" collapsed="1"/>
    <col min="18" max="21" width="9.5" hidden="1" customWidth="1" outlineLevel="1"/>
    <col min="22" max="22" width="10.83203125" customWidth="1" collapsed="1"/>
    <col min="23" max="26" width="10.83203125" hidden="1" customWidth="1" outlineLevel="1"/>
    <col min="27" max="27" width="11.1640625" customWidth="1" collapsed="1"/>
    <col min="28" max="31" width="9.5" hidden="1" customWidth="1" outlineLevel="1"/>
    <col min="32" max="32" width="9.5" customWidth="1" collapsed="1"/>
    <col min="33" max="33" width="9.5" hidden="1" customWidth="1" outlineLevel="1"/>
    <col min="34" max="34" width="10" hidden="1" customWidth="1" outlineLevel="1"/>
    <col min="35" max="36" width="9.5" hidden="1" customWidth="1" outlineLevel="1"/>
    <col min="37" max="37" width="10" customWidth="1" collapsed="1"/>
    <col min="38" max="38" width="9.5" hidden="1" customWidth="1" outlineLevel="1"/>
    <col min="39" max="41" width="10" hidden="1" customWidth="1" outlineLevel="1"/>
    <col min="42" max="42" width="10" customWidth="1" collapsed="1"/>
    <col min="43" max="45" width="9.5" customWidth="1"/>
    <col min="46" max="50" width="8" customWidth="1"/>
  </cols>
  <sheetData>
    <row r="1" spans="1:50" ht="9.75" customHeight="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</row>
    <row r="2" spans="1:50" ht="15" customHeight="1" x14ac:dyDescent="0.2">
      <c r="A2" s="10"/>
      <c r="B2" s="11"/>
      <c r="C2" s="12"/>
      <c r="D2" s="13"/>
      <c r="E2" s="14"/>
      <c r="F2" s="15"/>
      <c r="G2" s="16"/>
      <c r="H2" s="13"/>
      <c r="I2" s="14"/>
      <c r="J2" s="15"/>
      <c r="K2" s="16"/>
      <c r="L2" s="99"/>
      <c r="M2" s="13"/>
      <c r="N2" s="14"/>
      <c r="O2" s="15"/>
      <c r="P2" s="100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2"/>
      <c r="AC2" s="14"/>
      <c r="AD2" s="15"/>
      <c r="AE2" s="100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3"/>
      <c r="AT2" s="10"/>
      <c r="AU2" s="10"/>
      <c r="AV2" s="10"/>
      <c r="AW2" s="10"/>
      <c r="AX2" s="10"/>
    </row>
    <row r="3" spans="1:50" ht="33.75" customHeight="1" x14ac:dyDescent="0.2">
      <c r="A3" s="10"/>
      <c r="B3" s="18"/>
      <c r="C3" s="19"/>
      <c r="D3" s="20"/>
      <c r="E3" s="21"/>
      <c r="F3" s="22"/>
      <c r="G3" s="23"/>
      <c r="H3" s="20"/>
      <c r="I3" s="21"/>
      <c r="J3" s="22"/>
      <c r="K3" s="23"/>
      <c r="L3" s="104"/>
      <c r="M3" s="20"/>
      <c r="N3" s="21"/>
      <c r="O3" s="22"/>
      <c r="P3" s="105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7"/>
      <c r="AC3" s="21"/>
      <c r="AD3" s="22"/>
      <c r="AE3" s="105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8"/>
      <c r="AT3" s="26"/>
      <c r="AU3" s="26"/>
      <c r="AV3" s="26"/>
      <c r="AW3" s="26"/>
      <c r="AX3" s="26"/>
    </row>
    <row r="4" spans="1:50" ht="15" customHeight="1" x14ac:dyDescent="0.2">
      <c r="A4" s="10"/>
      <c r="B4" s="27" t="str">
        <f>'Balance Sheet'!B4</f>
        <v>American Tower</v>
      </c>
      <c r="C4" s="19"/>
      <c r="D4" s="28" t="e">
        <f t="shared" ref="D4:G4" si="0">#REF!</f>
        <v>#REF!</v>
      </c>
      <c r="E4" s="29" t="e">
        <f t="shared" si="0"/>
        <v>#REF!</v>
      </c>
      <c r="F4" s="30" t="e">
        <f t="shared" si="0"/>
        <v>#REF!</v>
      </c>
      <c r="G4" s="31" t="e">
        <f t="shared" si="0"/>
        <v>#REF!</v>
      </c>
      <c r="H4" s="28">
        <f t="shared" ref="H4:K4" si="1">$L$4</f>
        <v>2017</v>
      </c>
      <c r="I4" s="29">
        <f t="shared" si="1"/>
        <v>2017</v>
      </c>
      <c r="J4" s="30">
        <f t="shared" si="1"/>
        <v>2017</v>
      </c>
      <c r="K4" s="31">
        <f t="shared" si="1"/>
        <v>2017</v>
      </c>
      <c r="L4" s="109">
        <f>'Balance Sheet'!L4</f>
        <v>2017</v>
      </c>
      <c r="M4" s="20">
        <f t="shared" ref="M4:P4" si="2">$Q$4</f>
        <v>2018</v>
      </c>
      <c r="N4" s="21">
        <f t="shared" si="2"/>
        <v>2018</v>
      </c>
      <c r="O4" s="22">
        <f t="shared" si="2"/>
        <v>2018</v>
      </c>
      <c r="P4" s="105">
        <f t="shared" si="2"/>
        <v>2018</v>
      </c>
      <c r="Q4" s="106">
        <f>L4+1</f>
        <v>2018</v>
      </c>
      <c r="R4" s="107">
        <f>$Q$4+1</f>
        <v>2019</v>
      </c>
      <c r="S4" s="107" t="s">
        <v>88</v>
      </c>
      <c r="T4" s="107" t="s">
        <v>89</v>
      </c>
      <c r="U4" s="107" t="s">
        <v>90</v>
      </c>
      <c r="V4" s="106">
        <f>Q4+1</f>
        <v>2019</v>
      </c>
      <c r="W4" s="107" t="s">
        <v>91</v>
      </c>
      <c r="X4" s="107" t="s">
        <v>92</v>
      </c>
      <c r="Y4" s="107" t="s">
        <v>93</v>
      </c>
      <c r="Z4" s="107" t="s">
        <v>94</v>
      </c>
      <c r="AA4" s="106">
        <f>V4+1</f>
        <v>2020</v>
      </c>
      <c r="AB4" s="107">
        <f t="shared" ref="AB4:AC4" si="3">$AF$4</f>
        <v>2021</v>
      </c>
      <c r="AC4" s="21">
        <f t="shared" si="3"/>
        <v>2021</v>
      </c>
      <c r="AD4" s="21" t="s">
        <v>16</v>
      </c>
      <c r="AE4" s="110">
        <f>$AF$4</f>
        <v>2021</v>
      </c>
      <c r="AF4" s="111">
        <f>AA4+1</f>
        <v>2021</v>
      </c>
      <c r="AG4" s="107" t="s">
        <v>95</v>
      </c>
      <c r="AH4" s="107" t="s">
        <v>96</v>
      </c>
      <c r="AI4" s="107" t="s">
        <v>97</v>
      </c>
      <c r="AJ4" s="107" t="s">
        <v>98</v>
      </c>
      <c r="AK4" s="111">
        <f>AF4+1</f>
        <v>2022</v>
      </c>
      <c r="AL4" s="107" t="s">
        <v>99</v>
      </c>
      <c r="AM4" s="107" t="s">
        <v>100</v>
      </c>
      <c r="AN4" s="107" t="s">
        <v>101</v>
      </c>
      <c r="AO4" s="107" t="s">
        <v>102</v>
      </c>
      <c r="AP4" s="111">
        <f>$AK$4+1</f>
        <v>2023</v>
      </c>
      <c r="AQ4" s="111">
        <f t="shared" ref="AQ4:AS4" si="4">AP4+1</f>
        <v>2024</v>
      </c>
      <c r="AR4" s="111">
        <f t="shared" si="4"/>
        <v>2025</v>
      </c>
      <c r="AS4" s="112">
        <f t="shared" si="4"/>
        <v>2026</v>
      </c>
      <c r="AT4" s="113"/>
      <c r="AU4" s="113"/>
      <c r="AV4" s="113"/>
      <c r="AW4" s="113"/>
      <c r="AX4" s="113"/>
    </row>
    <row r="5" spans="1:50" ht="12.75" customHeight="1" x14ac:dyDescent="0.2">
      <c r="A5" s="10"/>
      <c r="B5" s="36" t="str">
        <f ca="1">MID(CELL("filename",A1),FIND("]",CELL("filename",A1))+1,255)&amp;" "&amp;MID('Balance Sheet'!B5,FIND("(",'Balance Sheet'!B5),1000)</f>
        <v>Income Statement ($USD in Millions)</v>
      </c>
      <c r="C5" s="37"/>
      <c r="D5" s="38" t="e">
        <f>EOMONTH(#REF!,3)</f>
        <v>#REF!</v>
      </c>
      <c r="E5" s="39" t="e">
        <f t="shared" ref="E5:G5" si="5">EOMONTH(D5,3)</f>
        <v>#REF!</v>
      </c>
      <c r="F5" s="39" t="e">
        <f t="shared" si="5"/>
        <v>#REF!</v>
      </c>
      <c r="G5" s="40" t="e">
        <f t="shared" si="5"/>
        <v>#REF!</v>
      </c>
      <c r="H5" s="41" t="e">
        <f>'Balance Sheet'!H5</f>
        <v>#REF!</v>
      </c>
      <c r="I5" s="41" t="e">
        <f>'Balance Sheet'!I5</f>
        <v>#REF!</v>
      </c>
      <c r="J5" s="41" t="e">
        <f>'Balance Sheet'!J5</f>
        <v>#REF!</v>
      </c>
      <c r="K5" s="41" t="e">
        <f>'Balance Sheet'!K5</f>
        <v>#REF!</v>
      </c>
      <c r="L5" s="38">
        <f>'Balance Sheet'!L5</f>
        <v>43100</v>
      </c>
      <c r="M5" s="114">
        <v>43190</v>
      </c>
      <c r="N5" s="114">
        <v>43373</v>
      </c>
      <c r="O5" s="114">
        <v>43281</v>
      </c>
      <c r="P5" s="42">
        <v>43465</v>
      </c>
      <c r="Q5" s="41">
        <f>'Balance Sheet'!Q5</f>
        <v>43465</v>
      </c>
      <c r="R5" s="114">
        <v>43555</v>
      </c>
      <c r="S5" s="114">
        <v>43646</v>
      </c>
      <c r="T5" s="41">
        <v>43738</v>
      </c>
      <c r="U5" s="114">
        <v>43830</v>
      </c>
      <c r="V5" s="41">
        <f>'Balance Sheet'!V5</f>
        <v>43830</v>
      </c>
      <c r="W5" s="114">
        <v>43921</v>
      </c>
      <c r="X5" s="114">
        <v>44012</v>
      </c>
      <c r="Y5" s="114">
        <v>44104</v>
      </c>
      <c r="Z5" s="114">
        <v>44196</v>
      </c>
      <c r="AA5" s="41">
        <f>'Balance Sheet'!AA5</f>
        <v>44196</v>
      </c>
      <c r="AB5" s="41">
        <f>'Balance Sheet'!AB5</f>
        <v>44286</v>
      </c>
      <c r="AC5" s="41">
        <f>'Balance Sheet'!AC5</f>
        <v>44377</v>
      </c>
      <c r="AD5" s="41">
        <f>'Balance Sheet'!AD5</f>
        <v>44469</v>
      </c>
      <c r="AE5" s="41">
        <f>'Balance Sheet'!AE5</f>
        <v>44561</v>
      </c>
      <c r="AF5" s="41">
        <f>'Balance Sheet'!AF5</f>
        <v>44561</v>
      </c>
      <c r="AG5" s="41">
        <f>'Balance Sheet'!AG5</f>
        <v>44651</v>
      </c>
      <c r="AH5" s="41">
        <f>'Balance Sheet'!AH5</f>
        <v>44742</v>
      </c>
      <c r="AI5" s="41">
        <f>'Balance Sheet'!AI5</f>
        <v>44834</v>
      </c>
      <c r="AJ5" s="41">
        <f>'Balance Sheet'!AJ5</f>
        <v>44926</v>
      </c>
      <c r="AK5" s="41">
        <f>'Balance Sheet'!AK5</f>
        <v>44926</v>
      </c>
      <c r="AL5" s="41">
        <f>'Balance Sheet'!AL5</f>
        <v>45016</v>
      </c>
      <c r="AM5" s="41">
        <f>'Balance Sheet'!AM5</f>
        <v>45107</v>
      </c>
      <c r="AN5" s="41">
        <f>'Balance Sheet'!AN5</f>
        <v>45199</v>
      </c>
      <c r="AO5" s="41">
        <f>'Balance Sheet'!AO5</f>
        <v>45291</v>
      </c>
      <c r="AP5" s="41">
        <f>'Balance Sheet'!AP5</f>
        <v>45291</v>
      </c>
      <c r="AQ5" s="41">
        <v>45657</v>
      </c>
      <c r="AR5" s="39">
        <v>46022</v>
      </c>
      <c r="AS5" s="40">
        <v>46387</v>
      </c>
      <c r="AT5" s="113"/>
      <c r="AU5" s="113"/>
      <c r="AV5" s="113"/>
      <c r="AW5" s="113"/>
      <c r="AX5" s="113"/>
    </row>
    <row r="6" spans="1:50" ht="4.5" customHeight="1" x14ac:dyDescent="0.1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45"/>
      <c r="M6" s="45"/>
      <c r="N6" s="10"/>
      <c r="O6" s="10"/>
      <c r="P6" s="10"/>
      <c r="Q6" s="47"/>
      <c r="R6" s="45"/>
      <c r="S6" s="10"/>
      <c r="T6" s="10"/>
      <c r="U6" s="10"/>
      <c r="V6" s="46"/>
      <c r="W6" s="10"/>
      <c r="X6" s="10"/>
      <c r="Y6" s="10"/>
      <c r="Z6" s="10"/>
      <c r="AA6" s="47"/>
      <c r="AB6" s="10"/>
      <c r="AC6" s="10"/>
      <c r="AD6" s="10"/>
      <c r="AE6" s="10"/>
      <c r="AF6" s="46"/>
      <c r="AG6" s="10"/>
      <c r="AH6" s="10"/>
      <c r="AI6" s="10"/>
      <c r="AJ6" s="10"/>
      <c r="AK6" s="46"/>
      <c r="AL6" s="10"/>
      <c r="AM6" s="10"/>
      <c r="AN6" s="10"/>
      <c r="AO6" s="10"/>
      <c r="AP6" s="47"/>
      <c r="AQ6" s="45"/>
      <c r="AR6" s="45"/>
      <c r="AS6" s="47"/>
      <c r="AT6" s="10"/>
      <c r="AU6" s="10"/>
      <c r="AV6" s="10"/>
      <c r="AW6" s="10"/>
      <c r="AX6" s="10"/>
    </row>
    <row r="7" spans="1:50" ht="8.25" customHeight="1" x14ac:dyDescent="0.15">
      <c r="A7" s="10"/>
      <c r="B7" s="48" t="s">
        <v>103</v>
      </c>
      <c r="C7" s="49"/>
      <c r="D7" s="49"/>
      <c r="E7" s="49"/>
      <c r="F7" s="49"/>
      <c r="G7" s="49"/>
      <c r="H7" s="49"/>
      <c r="I7" s="49"/>
      <c r="J7" s="49"/>
      <c r="K7" s="49"/>
      <c r="L7" s="50"/>
      <c r="M7" s="50"/>
      <c r="N7" s="49"/>
      <c r="O7" s="49"/>
      <c r="P7" s="49"/>
      <c r="Q7" s="51"/>
      <c r="R7" s="50"/>
      <c r="S7" s="49"/>
      <c r="T7" s="49"/>
      <c r="U7" s="49"/>
      <c r="V7" s="51"/>
      <c r="W7" s="49"/>
      <c r="X7" s="49"/>
      <c r="Y7" s="49"/>
      <c r="Z7" s="49"/>
      <c r="AA7" s="49"/>
      <c r="AB7" s="50"/>
      <c r="AC7" s="49"/>
      <c r="AD7" s="49"/>
      <c r="AE7" s="49"/>
      <c r="AF7" s="51"/>
      <c r="AG7" s="50"/>
      <c r="AH7" s="49"/>
      <c r="AI7" s="49"/>
      <c r="AJ7" s="49"/>
      <c r="AK7" s="51"/>
      <c r="AL7" s="50"/>
      <c r="AM7" s="49"/>
      <c r="AN7" s="49"/>
      <c r="AO7" s="49"/>
      <c r="AP7" s="50"/>
      <c r="AQ7" s="50"/>
      <c r="AR7" s="50"/>
      <c r="AS7" s="51"/>
      <c r="AT7" s="10"/>
      <c r="AU7" s="49"/>
      <c r="AV7" s="10"/>
      <c r="AW7" s="10"/>
      <c r="AX7" s="10"/>
    </row>
    <row r="8" spans="1:50" ht="10.5" customHeight="1" x14ac:dyDescent="0.15">
      <c r="A8" s="10"/>
      <c r="B8" s="81" t="s">
        <v>104</v>
      </c>
      <c r="C8" s="10"/>
      <c r="D8" s="10"/>
      <c r="E8" s="49"/>
      <c r="F8" s="49"/>
      <c r="G8" s="49"/>
      <c r="H8" s="49"/>
      <c r="I8" s="49"/>
      <c r="J8" s="49"/>
      <c r="K8" s="49"/>
      <c r="L8" s="50"/>
      <c r="M8" s="50">
        <v>1710.4</v>
      </c>
      <c r="N8" s="49">
        <v>1749.4</v>
      </c>
      <c r="O8" s="49">
        <v>1751.6</v>
      </c>
      <c r="P8" s="49">
        <f t="shared" ref="P8:P9" si="6">Q8-SUM(M8:O8)</f>
        <v>2103.3000000000002</v>
      </c>
      <c r="Q8" s="51">
        <v>7314.7</v>
      </c>
      <c r="R8" s="50">
        <v>1786</v>
      </c>
      <c r="S8" s="49">
        <v>1848</v>
      </c>
      <c r="T8" s="49">
        <v>1921.6</v>
      </c>
      <c r="U8" s="49">
        <f t="shared" ref="U8:U9" si="7">V8-SUM(R8:T8)</f>
        <v>1909.2999999999993</v>
      </c>
      <c r="V8" s="51">
        <v>7464.9</v>
      </c>
      <c r="W8" s="49">
        <v>1973</v>
      </c>
      <c r="X8" s="49">
        <v>1893.2</v>
      </c>
      <c r="Y8" s="49">
        <v>1987.6</v>
      </c>
      <c r="Z8" s="49">
        <f t="shared" ref="Z8:Z9" si="8">AA8-SUM(W8:Y8)</f>
        <v>2099.8000000000011</v>
      </c>
      <c r="AA8" s="49">
        <v>7953.6</v>
      </c>
      <c r="AB8" s="50">
        <v>2129.6999999999998</v>
      </c>
      <c r="AC8" s="49">
        <v>2233</v>
      </c>
      <c r="AD8" s="49">
        <v>2368.9</v>
      </c>
      <c r="AE8" s="49"/>
      <c r="AF8" s="51">
        <f>'Revenue Build'!AF26</f>
        <v>9064.1512000000002</v>
      </c>
      <c r="AG8" s="51">
        <f>'Revenue Build'!AG26</f>
        <v>2414.3807999999999</v>
      </c>
      <c r="AH8" s="51">
        <f>'Revenue Build'!AH26</f>
        <v>2528.4222</v>
      </c>
      <c r="AI8" s="51">
        <f>'Revenue Build'!AI26</f>
        <v>2685.2277000000004</v>
      </c>
      <c r="AJ8" s="51">
        <f>'Revenue Build'!AJ26</f>
        <v>2613.6378668000002</v>
      </c>
      <c r="AK8" s="51">
        <f>'Revenue Build'!AK26</f>
        <v>10241.668566799999</v>
      </c>
      <c r="AL8" s="51">
        <f>'Revenue Build'!AL26</f>
        <v>2763.2932738</v>
      </c>
      <c r="AM8" s="51">
        <f>'Revenue Build'!AM26</f>
        <v>2900.0546964</v>
      </c>
      <c r="AN8" s="51">
        <f>'Revenue Build'!AN26</f>
        <v>3096.9420068999998</v>
      </c>
      <c r="AO8" s="51">
        <f>'Revenue Build'!AO26</f>
        <v>2977.5834320464005</v>
      </c>
      <c r="AP8" s="51">
        <f>'Revenue Build'!AP26</f>
        <v>11737.873409146399</v>
      </c>
      <c r="AQ8" s="51">
        <f>'Revenue Build'!AU26</f>
        <v>12629.52150710726</v>
      </c>
      <c r="AR8" s="51">
        <f>'Revenue Build'!AZ26</f>
        <v>13309.601258513998</v>
      </c>
      <c r="AS8" s="51">
        <f>'Revenue Build'!BE26</f>
        <v>13745.725551542113</v>
      </c>
      <c r="AT8" s="10"/>
      <c r="AU8" s="10"/>
      <c r="AV8" s="10"/>
      <c r="AW8" s="10"/>
      <c r="AX8" s="10"/>
    </row>
    <row r="9" spans="1:50" ht="9.75" customHeight="1" x14ac:dyDescent="0.15">
      <c r="A9" s="10"/>
      <c r="B9" s="10" t="s">
        <v>105</v>
      </c>
      <c r="C9" s="10"/>
      <c r="D9" s="10"/>
      <c r="E9" s="49"/>
      <c r="F9" s="49"/>
      <c r="G9" s="49"/>
      <c r="H9" s="49"/>
      <c r="I9" s="49"/>
      <c r="J9" s="49"/>
      <c r="K9" s="49"/>
      <c r="L9" s="115"/>
      <c r="M9" s="50">
        <v>31.4</v>
      </c>
      <c r="N9" s="49">
        <v>31.5</v>
      </c>
      <c r="O9" s="49">
        <v>33.9</v>
      </c>
      <c r="P9" s="49">
        <f t="shared" si="6"/>
        <v>28.600000000000009</v>
      </c>
      <c r="Q9" s="116">
        <v>125.4</v>
      </c>
      <c r="R9" s="117">
        <v>27.4</v>
      </c>
      <c r="S9" s="118">
        <v>40.700000000000003</v>
      </c>
      <c r="T9" s="118">
        <v>32</v>
      </c>
      <c r="U9" s="49">
        <f t="shared" si="7"/>
        <v>15.300000000000011</v>
      </c>
      <c r="V9" s="116">
        <v>115.4</v>
      </c>
      <c r="W9" s="118">
        <v>19.899999999999999</v>
      </c>
      <c r="X9" s="118">
        <v>19.8</v>
      </c>
      <c r="Y9" s="118">
        <v>25.3</v>
      </c>
      <c r="Z9" s="49">
        <f t="shared" si="8"/>
        <v>22.900000000000006</v>
      </c>
      <c r="AA9" s="118">
        <v>87.9</v>
      </c>
      <c r="AB9" s="50">
        <v>29.8</v>
      </c>
      <c r="AC9" s="49">
        <v>65.900000000000006</v>
      </c>
      <c r="AD9" s="49">
        <v>85.4</v>
      </c>
      <c r="AE9" s="49"/>
      <c r="AF9" s="119">
        <f>'Revenue Build'!AF28</f>
        <v>205.06100000000004</v>
      </c>
      <c r="AG9" s="120"/>
      <c r="AH9" s="121"/>
      <c r="AI9" s="121"/>
      <c r="AJ9" s="121"/>
      <c r="AK9" s="119">
        <f>'Revenue Build'!AK28</f>
        <v>236.75489899999999</v>
      </c>
      <c r="AL9" s="120"/>
      <c r="AM9" s="121"/>
      <c r="AN9" s="121"/>
      <c r="AO9" s="121"/>
      <c r="AP9" s="120">
        <f>'Revenue Build'!AP28</f>
        <v>283.53941429500003</v>
      </c>
      <c r="AQ9" s="120">
        <f>'Revenue Build'!AU28</f>
        <v>311.89335572450005</v>
      </c>
      <c r="AR9" s="120">
        <f>'Revenue Build'!AZ28</f>
        <v>336.84482418246006</v>
      </c>
      <c r="AS9" s="119">
        <f>'Revenue Build'!BE28</f>
        <v>360.42396187523229</v>
      </c>
      <c r="AT9" s="10"/>
      <c r="AU9" s="10"/>
      <c r="AV9" s="10"/>
      <c r="AW9" s="10"/>
      <c r="AX9" s="10"/>
    </row>
    <row r="10" spans="1:50" ht="9.75" customHeight="1" x14ac:dyDescent="0.15">
      <c r="A10" s="10"/>
      <c r="B10" s="68" t="s">
        <v>106</v>
      </c>
      <c r="C10" s="122"/>
      <c r="D10" s="71"/>
      <c r="E10" s="70"/>
      <c r="F10" s="70"/>
      <c r="G10" s="76"/>
      <c r="H10" s="123"/>
      <c r="I10" s="122"/>
      <c r="J10" s="122"/>
      <c r="K10" s="122"/>
      <c r="L10" s="71">
        <f>SUM(L9)</f>
        <v>0</v>
      </c>
      <c r="M10" s="71">
        <f t="shared" ref="M10:Q10" si="9">SUM(M8:M9)</f>
        <v>1741.8000000000002</v>
      </c>
      <c r="N10" s="70">
        <f t="shared" si="9"/>
        <v>1780.9</v>
      </c>
      <c r="O10" s="70">
        <f t="shared" si="9"/>
        <v>1785.5</v>
      </c>
      <c r="P10" s="70">
        <f t="shared" si="9"/>
        <v>2131.9</v>
      </c>
      <c r="Q10" s="75">
        <f t="shared" si="9"/>
        <v>7440.0999999999995</v>
      </c>
      <c r="R10" s="72">
        <f t="shared" ref="R10:U10" si="10">R8+R9</f>
        <v>1813.4</v>
      </c>
      <c r="S10" s="73">
        <f t="shared" si="10"/>
        <v>1888.7</v>
      </c>
      <c r="T10" s="73">
        <f t="shared" si="10"/>
        <v>1953.6</v>
      </c>
      <c r="U10" s="73">
        <f t="shared" si="10"/>
        <v>1924.5999999999992</v>
      </c>
      <c r="V10" s="75">
        <f>SUM(V8:V9)</f>
        <v>7580.2999999999993</v>
      </c>
      <c r="W10" s="73">
        <f t="shared" ref="W10:Z10" si="11">W8+W9</f>
        <v>1992.9</v>
      </c>
      <c r="X10" s="73">
        <f t="shared" si="11"/>
        <v>1913</v>
      </c>
      <c r="Y10" s="73">
        <f t="shared" si="11"/>
        <v>2012.8999999999999</v>
      </c>
      <c r="Z10" s="73">
        <f t="shared" si="11"/>
        <v>2122.7000000000012</v>
      </c>
      <c r="AA10" s="73">
        <f>SUM(AA8:AA9)</f>
        <v>8041.5</v>
      </c>
      <c r="AB10" s="72">
        <f t="shared" ref="AB10:AD10" si="12">AB8+AB9</f>
        <v>2159.5</v>
      </c>
      <c r="AC10" s="73">
        <f t="shared" si="12"/>
        <v>2298.9</v>
      </c>
      <c r="AD10" s="73">
        <f t="shared" si="12"/>
        <v>2454.3000000000002</v>
      </c>
      <c r="AE10" s="70">
        <f>'Revenue Build'!AE31</f>
        <v>2357.8122000000003</v>
      </c>
      <c r="AF10" s="77">
        <f>'Revenue Build'!AF31</f>
        <v>9269.2121999999999</v>
      </c>
      <c r="AG10" s="71">
        <f>'Revenue Build'!AG31</f>
        <v>2447.5007999999998</v>
      </c>
      <c r="AH10" s="70">
        <f>'Revenue Build'!AH31</f>
        <v>2604.4049</v>
      </c>
      <c r="AI10" s="70">
        <f>'Revenue Build'!AI31</f>
        <v>2783.9501000000005</v>
      </c>
      <c r="AJ10" s="70">
        <f>'Revenue Build'!AJ31</f>
        <v>2642.5676658000002</v>
      </c>
      <c r="AK10" s="77">
        <f>'Revenue Build'!AK31</f>
        <v>10478.423465799999</v>
      </c>
      <c r="AL10" s="71">
        <f>'Revenue Build'!AL31</f>
        <v>2802.7060738</v>
      </c>
      <c r="AM10" s="70">
        <f>'Revenue Build'!AM31</f>
        <v>2990.8540229</v>
      </c>
      <c r="AN10" s="70">
        <f>'Revenue Build'!AN31</f>
        <v>3215.4088868999997</v>
      </c>
      <c r="AO10" s="70">
        <f>'Revenue Build'!AO31</f>
        <v>3012.4438398414004</v>
      </c>
      <c r="AP10" s="71">
        <f>'Revenue Build'!AP31</f>
        <v>12021.4128234414</v>
      </c>
      <c r="AQ10" s="70">
        <f>'Revenue Build'!AU31</f>
        <v>12941.41486283176</v>
      </c>
      <c r="AR10" s="70">
        <f>'Revenue Build'!AZ31</f>
        <v>13646.446082696459</v>
      </c>
      <c r="AS10" s="76">
        <f>'Revenue Build'!BE31</f>
        <v>14106.149513417346</v>
      </c>
      <c r="AT10" s="10"/>
      <c r="AU10" s="10"/>
      <c r="AV10" s="10"/>
      <c r="AW10" s="10"/>
      <c r="AX10" s="10"/>
    </row>
    <row r="11" spans="1:50" ht="9.75" customHeight="1" x14ac:dyDescent="0.15">
      <c r="A11" s="93"/>
      <c r="B11" s="92" t="s">
        <v>107</v>
      </c>
      <c r="C11" s="124"/>
      <c r="D11" s="124"/>
      <c r="E11" s="124"/>
      <c r="F11" s="124"/>
      <c r="G11" s="124"/>
      <c r="H11" s="125" t="str">
        <f t="shared" ref="H11:K11" si="13">IFERROR(H10/D10,"")</f>
        <v/>
      </c>
      <c r="I11" s="126" t="str">
        <f t="shared" si="13"/>
        <v/>
      </c>
      <c r="J11" s="126" t="str">
        <f t="shared" si="13"/>
        <v/>
      </c>
      <c r="K11" s="126" t="str">
        <f t="shared" si="13"/>
        <v/>
      </c>
      <c r="L11" s="125" t="str">
        <f>IFERROR(L10/#REF!,"")</f>
        <v/>
      </c>
      <c r="M11" s="125" t="str">
        <f t="shared" ref="M11:Q11" si="14">IFERROR(M10/H10,"")</f>
        <v/>
      </c>
      <c r="N11" s="126" t="str">
        <f t="shared" si="14"/>
        <v/>
      </c>
      <c r="O11" s="126" t="str">
        <f t="shared" si="14"/>
        <v/>
      </c>
      <c r="P11" s="126" t="str">
        <f t="shared" si="14"/>
        <v/>
      </c>
      <c r="Q11" s="127" t="str">
        <f t="shared" si="14"/>
        <v/>
      </c>
      <c r="R11" s="125">
        <f t="shared" ref="R11:AP11" si="15">(R10/M10)-1</f>
        <v>4.1106900907107446E-2</v>
      </c>
      <c r="S11" s="126">
        <f t="shared" si="15"/>
        <v>6.0531192093885133E-2</v>
      </c>
      <c r="T11" s="126">
        <f t="shared" si="15"/>
        <v>9.4147297675720942E-2</v>
      </c>
      <c r="U11" s="126">
        <f t="shared" si="15"/>
        <v>-9.7237206247948293E-2</v>
      </c>
      <c r="V11" s="127">
        <f t="shared" si="15"/>
        <v>1.8843832744183553E-2</v>
      </c>
      <c r="W11" s="126">
        <f t="shared" si="15"/>
        <v>9.89853314216389E-2</v>
      </c>
      <c r="X11" s="126">
        <f t="shared" si="15"/>
        <v>1.286599248160103E-2</v>
      </c>
      <c r="Y11" s="126">
        <f t="shared" si="15"/>
        <v>3.0354217854217769E-2</v>
      </c>
      <c r="Z11" s="126">
        <f t="shared" si="15"/>
        <v>0.10293047906058517</v>
      </c>
      <c r="AA11" s="126">
        <f t="shared" si="15"/>
        <v>6.0841919185256721E-2</v>
      </c>
      <c r="AB11" s="125">
        <f t="shared" si="15"/>
        <v>8.3596768528275245E-2</v>
      </c>
      <c r="AC11" s="126">
        <f t="shared" si="15"/>
        <v>0.20172503920543661</v>
      </c>
      <c r="AD11" s="126">
        <f t="shared" si="15"/>
        <v>0.2192856078294998</v>
      </c>
      <c r="AE11" s="126">
        <f t="shared" si="15"/>
        <v>0.11076091769915619</v>
      </c>
      <c r="AF11" s="127">
        <f t="shared" si="15"/>
        <v>0.15267203879873148</v>
      </c>
      <c r="AG11" s="125">
        <f t="shared" si="15"/>
        <v>0.13336457513313249</v>
      </c>
      <c r="AH11" s="126">
        <f t="shared" si="15"/>
        <v>0.13289177432685184</v>
      </c>
      <c r="AI11" s="126">
        <f t="shared" si="15"/>
        <v>0.13431532412500524</v>
      </c>
      <c r="AJ11" s="126">
        <f t="shared" si="15"/>
        <v>0.12077105453945824</v>
      </c>
      <c r="AK11" s="127">
        <f t="shared" si="15"/>
        <v>0.13045458877292715</v>
      </c>
      <c r="AL11" s="125">
        <f t="shared" si="15"/>
        <v>0.14512978863990567</v>
      </c>
      <c r="AM11" s="126">
        <f t="shared" si="15"/>
        <v>0.14838288888951179</v>
      </c>
      <c r="AN11" s="126">
        <f t="shared" si="15"/>
        <v>0.15498079038844814</v>
      </c>
      <c r="AO11" s="126">
        <f t="shared" si="15"/>
        <v>0.13996847794223854</v>
      </c>
      <c r="AP11" s="125">
        <f t="shared" si="15"/>
        <v>0.14725396073917874</v>
      </c>
      <c r="AQ11" s="125">
        <f t="shared" ref="AQ11:AS11" si="16">(AQ10/AP10)-1</f>
        <v>7.653027584215244E-2</v>
      </c>
      <c r="AR11" s="125">
        <f t="shared" si="16"/>
        <v>5.4478681607648349E-2</v>
      </c>
      <c r="AS11" s="127">
        <f t="shared" si="16"/>
        <v>3.3686677684073851E-2</v>
      </c>
      <c r="AT11" s="93"/>
      <c r="AU11" s="93"/>
      <c r="AV11" s="93"/>
      <c r="AW11" s="93"/>
      <c r="AX11" s="93"/>
    </row>
    <row r="12" spans="1:50" ht="9.75" customHeight="1" x14ac:dyDescent="0.15">
      <c r="A12" s="10"/>
      <c r="B12" s="48" t="s">
        <v>108</v>
      </c>
      <c r="C12" s="49"/>
      <c r="D12" s="49"/>
      <c r="E12" s="49"/>
      <c r="F12" s="49"/>
      <c r="G12" s="49"/>
      <c r="H12" s="49"/>
      <c r="I12" s="49"/>
      <c r="J12" s="49"/>
      <c r="K12" s="49"/>
      <c r="L12" s="50"/>
      <c r="M12" s="50"/>
      <c r="N12" s="49"/>
      <c r="O12" s="49"/>
      <c r="P12" s="49"/>
      <c r="Q12" s="51"/>
      <c r="R12" s="50"/>
      <c r="S12" s="49"/>
      <c r="T12" s="49"/>
      <c r="U12" s="49"/>
      <c r="V12" s="51"/>
      <c r="W12" s="49"/>
      <c r="X12" s="49"/>
      <c r="Y12" s="49"/>
      <c r="Z12" s="49"/>
      <c r="AA12" s="49"/>
      <c r="AB12" s="50"/>
      <c r="AC12" s="49"/>
      <c r="AD12" s="49"/>
      <c r="AE12" s="49"/>
      <c r="AF12" s="51"/>
      <c r="AG12" s="50"/>
      <c r="AH12" s="49"/>
      <c r="AI12" s="49"/>
      <c r="AJ12" s="49"/>
      <c r="AK12" s="51"/>
      <c r="AL12" s="50"/>
      <c r="AM12" s="49"/>
      <c r="AN12" s="49"/>
      <c r="AO12" s="49"/>
      <c r="AP12" s="50"/>
      <c r="AQ12" s="50"/>
      <c r="AR12" s="50"/>
      <c r="AS12" s="51"/>
      <c r="AT12" s="10"/>
      <c r="AU12" s="10"/>
      <c r="AV12" s="10"/>
      <c r="AW12" s="10"/>
      <c r="AX12" s="10"/>
    </row>
    <row r="13" spans="1:50" ht="10.5" customHeight="1" x14ac:dyDescent="0.15">
      <c r="A13" s="2"/>
      <c r="B13" s="10" t="s">
        <v>109</v>
      </c>
      <c r="C13" s="10"/>
      <c r="D13" s="49"/>
      <c r="E13" s="49"/>
      <c r="F13" s="49"/>
      <c r="G13" s="49"/>
      <c r="H13" s="49"/>
      <c r="I13" s="49"/>
      <c r="J13" s="49"/>
      <c r="K13" s="49"/>
      <c r="L13" s="50"/>
      <c r="M13" s="128"/>
      <c r="N13" s="129"/>
      <c r="O13" s="129"/>
      <c r="P13" s="129"/>
      <c r="Q13" s="51"/>
      <c r="R13" s="50"/>
      <c r="S13" s="49"/>
      <c r="T13" s="49"/>
      <c r="U13" s="49"/>
      <c r="V13" s="51"/>
      <c r="W13" s="49"/>
      <c r="X13" s="49"/>
      <c r="Y13" s="49"/>
      <c r="Z13" s="49"/>
      <c r="AA13" s="49"/>
      <c r="AB13" s="50"/>
      <c r="AC13" s="49"/>
      <c r="AD13" s="49"/>
      <c r="AE13" s="49"/>
      <c r="AF13" s="51"/>
      <c r="AG13" s="50"/>
      <c r="AH13" s="49"/>
      <c r="AI13" s="49"/>
      <c r="AJ13" s="49"/>
      <c r="AK13" s="51"/>
      <c r="AL13" s="50"/>
      <c r="AM13" s="49"/>
      <c r="AN13" s="49"/>
      <c r="AO13" s="49"/>
      <c r="AP13" s="50"/>
      <c r="AQ13" s="50"/>
      <c r="AR13" s="50"/>
      <c r="AS13" s="51"/>
      <c r="AT13" s="10"/>
      <c r="AU13" s="10"/>
      <c r="AV13" s="10"/>
      <c r="AW13" s="10"/>
      <c r="AX13" s="10"/>
    </row>
    <row r="14" spans="1:50" ht="9" customHeight="1" x14ac:dyDescent="0.15">
      <c r="A14" s="2"/>
      <c r="B14" s="10" t="s">
        <v>110</v>
      </c>
      <c r="C14" s="10"/>
      <c r="D14" s="49"/>
      <c r="E14" s="49"/>
      <c r="F14" s="49"/>
      <c r="G14" s="49"/>
      <c r="H14" s="49"/>
      <c r="I14" s="49"/>
      <c r="J14" s="49"/>
      <c r="K14" s="49"/>
      <c r="L14" s="50"/>
      <c r="M14" s="130">
        <v>507.4</v>
      </c>
      <c r="N14" s="131">
        <v>547.20000000000005</v>
      </c>
      <c r="O14" s="131">
        <v>543.1</v>
      </c>
      <c r="P14" s="131">
        <f t="shared" ref="P14:P18" si="17">Q14-SUM(M14:O14)</f>
        <v>531</v>
      </c>
      <c r="Q14" s="132">
        <v>2128.6999999999998</v>
      </c>
      <c r="R14" s="130">
        <v>533</v>
      </c>
      <c r="S14" s="131">
        <v>549.4</v>
      </c>
      <c r="T14" s="131">
        <v>548</v>
      </c>
      <c r="U14" s="131">
        <f t="shared" ref="U14:U18" si="18">V14-SUM(R14:T14)</f>
        <v>543.29999999999973</v>
      </c>
      <c r="V14" s="132">
        <v>2173.6999999999998</v>
      </c>
      <c r="W14" s="131">
        <v>544.1</v>
      </c>
      <c r="X14" s="131">
        <v>530.29999999999995</v>
      </c>
      <c r="Y14" s="131">
        <v>552.1</v>
      </c>
      <c r="Z14" s="131">
        <f t="shared" ref="Z14:Z18" si="19">AA14-SUM(W14:Y14)</f>
        <v>563.09999999999991</v>
      </c>
      <c r="AA14" s="131">
        <v>2189.6</v>
      </c>
      <c r="AB14" s="130">
        <v>563.29999999999995</v>
      </c>
      <c r="AC14" s="131">
        <v>623.29999999999995</v>
      </c>
      <c r="AD14" s="131">
        <v>693.4</v>
      </c>
      <c r="AE14" s="131">
        <f>AE10*AE48</f>
        <v>613.03117200000008</v>
      </c>
      <c r="AF14" s="80">
        <f t="shared" ref="AF14:AF20" si="20">SUM(AB14:AE14)</f>
        <v>2493.031172</v>
      </c>
      <c r="AG14" s="133">
        <f t="shared" ref="AG14:AJ14" si="21">AG48*AG10</f>
        <v>626.18676117249356</v>
      </c>
      <c r="AH14" s="81">
        <f t="shared" si="21"/>
        <v>693.10941843792671</v>
      </c>
      <c r="AI14" s="81">
        <f t="shared" si="21"/>
        <v>772.61449524827856</v>
      </c>
      <c r="AJ14" s="81">
        <f t="shared" si="21"/>
        <v>673.85475477900002</v>
      </c>
      <c r="AK14" s="80">
        <f t="shared" ref="AK14:AK19" si="22">SUM(AG14:AJ14)</f>
        <v>2765.7654296376986</v>
      </c>
      <c r="AL14" s="133">
        <f t="shared" ref="AL14:AO14" si="23">AL48*AL10</f>
        <v>705.85428917536467</v>
      </c>
      <c r="AM14" s="81">
        <f t="shared" si="23"/>
        <v>783.99158017067577</v>
      </c>
      <c r="AN14" s="81">
        <f t="shared" si="23"/>
        <v>879.49326483982873</v>
      </c>
      <c r="AO14" s="81">
        <f t="shared" si="23"/>
        <v>756.12340380019145</v>
      </c>
      <c r="AP14" s="133">
        <f>SUM(AL14:AO14)</f>
        <v>3125.4625379860609</v>
      </c>
      <c r="AQ14" s="133">
        <f t="shared" ref="AQ14:AS14" si="24">AQ48*AQ10</f>
        <v>3364.7678643362578</v>
      </c>
      <c r="AR14" s="133">
        <f t="shared" si="24"/>
        <v>3616.3082119145615</v>
      </c>
      <c r="AS14" s="80">
        <f t="shared" si="24"/>
        <v>3808.6603686226836</v>
      </c>
      <c r="AT14" s="10"/>
      <c r="AU14" s="10"/>
      <c r="AV14" s="10"/>
      <c r="AW14" s="10"/>
      <c r="AX14" s="10"/>
    </row>
    <row r="15" spans="1:50" ht="9.75" customHeight="1" x14ac:dyDescent="0.15">
      <c r="A15" s="2"/>
      <c r="B15" s="10" t="s">
        <v>105</v>
      </c>
      <c r="C15" s="10"/>
      <c r="D15" s="49"/>
      <c r="E15" s="49"/>
      <c r="F15" s="49"/>
      <c r="G15" s="49"/>
      <c r="H15" s="49"/>
      <c r="I15" s="49"/>
      <c r="J15" s="49"/>
      <c r="K15" s="49"/>
      <c r="L15" s="50"/>
      <c r="M15" s="130">
        <v>12.5</v>
      </c>
      <c r="N15" s="131">
        <v>13.1</v>
      </c>
      <c r="O15" s="131">
        <v>13.6</v>
      </c>
      <c r="P15" s="131">
        <f t="shared" si="17"/>
        <v>9.8999999999999986</v>
      </c>
      <c r="Q15" s="132">
        <v>49.1</v>
      </c>
      <c r="R15" s="130">
        <v>10.4</v>
      </c>
      <c r="S15" s="131">
        <v>13.9</v>
      </c>
      <c r="T15" s="131">
        <v>11.9</v>
      </c>
      <c r="U15" s="131">
        <f t="shared" si="18"/>
        <v>6.8999999999999986</v>
      </c>
      <c r="V15" s="132">
        <v>43.1</v>
      </c>
      <c r="W15" s="131">
        <v>7.9</v>
      </c>
      <c r="X15" s="131">
        <v>9.6999999999999993</v>
      </c>
      <c r="Y15" s="131">
        <v>10.5</v>
      </c>
      <c r="Z15" s="131">
        <f t="shared" si="19"/>
        <v>9.5</v>
      </c>
      <c r="AA15" s="131">
        <v>37.6</v>
      </c>
      <c r="AB15" s="130">
        <v>11</v>
      </c>
      <c r="AC15" s="131">
        <v>24.6</v>
      </c>
      <c r="AD15" s="131">
        <v>30.9</v>
      </c>
      <c r="AE15" s="131"/>
      <c r="AF15" s="80">
        <f t="shared" si="20"/>
        <v>66.5</v>
      </c>
      <c r="AG15" s="133"/>
      <c r="AH15" s="81"/>
      <c r="AI15" s="81"/>
      <c r="AJ15" s="81"/>
      <c r="AK15" s="80">
        <f t="shared" si="22"/>
        <v>0</v>
      </c>
      <c r="AL15" s="133"/>
      <c r="AM15" s="81"/>
      <c r="AN15" s="81"/>
      <c r="AO15" s="81"/>
      <c r="AP15" s="133"/>
      <c r="AQ15" s="133"/>
      <c r="AR15" s="133"/>
      <c r="AS15" s="80"/>
      <c r="AT15" s="10"/>
      <c r="AU15" s="10"/>
      <c r="AV15" s="10"/>
      <c r="AW15" s="10"/>
      <c r="AX15" s="10"/>
    </row>
    <row r="16" spans="1:50" ht="9" customHeight="1" x14ac:dyDescent="0.15">
      <c r="A16" s="2"/>
      <c r="B16" s="10" t="s">
        <v>111</v>
      </c>
      <c r="C16" s="10"/>
      <c r="D16" s="49"/>
      <c r="E16" s="49"/>
      <c r="F16" s="49"/>
      <c r="G16" s="49"/>
      <c r="H16" s="49"/>
      <c r="I16" s="49"/>
      <c r="J16" s="49"/>
      <c r="K16" s="49"/>
      <c r="L16" s="50"/>
      <c r="M16" s="130">
        <v>446.3</v>
      </c>
      <c r="N16" s="131">
        <v>449.7</v>
      </c>
      <c r="O16" s="131">
        <v>448.9</v>
      </c>
      <c r="P16" s="131">
        <f t="shared" si="17"/>
        <v>765.90000000000009</v>
      </c>
      <c r="Q16" s="132">
        <v>2110.8000000000002</v>
      </c>
      <c r="R16" s="130">
        <v>436.9</v>
      </c>
      <c r="S16" s="131">
        <v>448.9</v>
      </c>
      <c r="T16" s="131">
        <v>442.8</v>
      </c>
      <c r="U16" s="131">
        <f t="shared" si="18"/>
        <v>449.80000000000018</v>
      </c>
      <c r="V16" s="132">
        <v>1778.4</v>
      </c>
      <c r="W16" s="131">
        <v>472.3</v>
      </c>
      <c r="X16" s="131">
        <v>454.9</v>
      </c>
      <c r="Y16" s="131">
        <v>473.9</v>
      </c>
      <c r="Z16" s="131">
        <f t="shared" si="19"/>
        <v>481.20000000000005</v>
      </c>
      <c r="AA16" s="131">
        <v>1882.3</v>
      </c>
      <c r="AB16" s="130">
        <v>522.5</v>
      </c>
      <c r="AC16" s="131">
        <v>554.79999999999995</v>
      </c>
      <c r="AD16" s="131">
        <v>611.4</v>
      </c>
      <c r="AE16" s="134">
        <v>550</v>
      </c>
      <c r="AF16" s="135">
        <f t="shared" si="20"/>
        <v>2238.6999999999998</v>
      </c>
      <c r="AG16" s="136">
        <v>550</v>
      </c>
      <c r="AH16" s="137">
        <v>550</v>
      </c>
      <c r="AI16" s="137">
        <v>550</v>
      </c>
      <c r="AJ16" s="137">
        <v>550</v>
      </c>
      <c r="AK16" s="135">
        <f t="shared" si="22"/>
        <v>2200</v>
      </c>
      <c r="AL16" s="136">
        <v>600</v>
      </c>
      <c r="AM16" s="137">
        <v>600</v>
      </c>
      <c r="AN16" s="137">
        <v>600</v>
      </c>
      <c r="AO16" s="137">
        <v>600</v>
      </c>
      <c r="AP16" s="135">
        <f t="shared" ref="AP16:AP19" si="25">SUM(AL16:AO16)</f>
        <v>2400</v>
      </c>
      <c r="AQ16" s="135">
        <v>2400</v>
      </c>
      <c r="AR16" s="135">
        <v>2450</v>
      </c>
      <c r="AS16" s="135">
        <v>2500</v>
      </c>
      <c r="AT16" s="10"/>
      <c r="AU16" s="10"/>
      <c r="AV16" s="10"/>
      <c r="AW16" s="10"/>
      <c r="AX16" s="10"/>
    </row>
    <row r="17" spans="1:50" ht="9.75" customHeight="1" x14ac:dyDescent="0.15">
      <c r="A17" s="2"/>
      <c r="B17" s="10" t="s">
        <v>112</v>
      </c>
      <c r="C17" s="10"/>
      <c r="D17" s="49"/>
      <c r="E17" s="49"/>
      <c r="F17" s="49"/>
      <c r="G17" s="49"/>
      <c r="H17" s="49"/>
      <c r="I17" s="49"/>
      <c r="J17" s="49"/>
      <c r="K17" s="49"/>
      <c r="L17" s="50"/>
      <c r="M17" s="130">
        <v>204.9</v>
      </c>
      <c r="N17" s="131">
        <v>157.9</v>
      </c>
      <c r="O17" s="131">
        <v>177.9</v>
      </c>
      <c r="P17" s="131">
        <f t="shared" si="17"/>
        <v>192.5</v>
      </c>
      <c r="Q17" s="132">
        <v>733.2</v>
      </c>
      <c r="R17" s="130">
        <v>198.1</v>
      </c>
      <c r="S17" s="131">
        <v>164.8</v>
      </c>
      <c r="T17" s="131">
        <v>187.9</v>
      </c>
      <c r="U17" s="131">
        <f t="shared" si="18"/>
        <v>179.60000000000002</v>
      </c>
      <c r="V17" s="132">
        <v>730.4</v>
      </c>
      <c r="W17" s="131">
        <v>217.8</v>
      </c>
      <c r="X17" s="131">
        <v>188.6</v>
      </c>
      <c r="Y17" s="131">
        <v>176</v>
      </c>
      <c r="Z17" s="131">
        <f t="shared" si="19"/>
        <v>196.30000000000007</v>
      </c>
      <c r="AA17" s="131">
        <v>778.7</v>
      </c>
      <c r="AB17" s="130">
        <v>182.6</v>
      </c>
      <c r="AC17" s="131">
        <v>207.2</v>
      </c>
      <c r="AD17" s="131">
        <v>205.9</v>
      </c>
      <c r="AE17" s="131">
        <f>AE10*AE53</f>
        <v>207.48747360000002</v>
      </c>
      <c r="AF17" s="80">
        <f t="shared" si="20"/>
        <v>803.18747359999998</v>
      </c>
      <c r="AG17" s="133">
        <f t="shared" ref="AG17:AJ17" si="26">AG53*AG10</f>
        <v>211.84737301931</v>
      </c>
      <c r="AH17" s="81">
        <f t="shared" si="26"/>
        <v>239.9439854405237</v>
      </c>
      <c r="AI17" s="81">
        <f t="shared" si="26"/>
        <v>239.1234254373386</v>
      </c>
      <c r="AJ17" s="81">
        <f t="shared" si="26"/>
        <v>237.83108992200002</v>
      </c>
      <c r="AK17" s="80">
        <f t="shared" si="22"/>
        <v>928.7458738191724</v>
      </c>
      <c r="AL17" s="133">
        <f t="shared" ref="AL17:AO17" si="27">AL53*AL10</f>
        <v>245.39544356332175</v>
      </c>
      <c r="AM17" s="81">
        <f t="shared" si="27"/>
        <v>278.53842119475155</v>
      </c>
      <c r="AN17" s="81">
        <f t="shared" si="27"/>
        <v>279.39837179891049</v>
      </c>
      <c r="AO17" s="81">
        <f t="shared" si="27"/>
        <v>274.13238942556745</v>
      </c>
      <c r="AP17" s="133">
        <f t="shared" si="25"/>
        <v>1077.4646259825513</v>
      </c>
      <c r="AQ17" s="80">
        <f t="shared" ref="AQ17:AS17" si="28">AQ53*AQ10</f>
        <v>1294.1414862831762</v>
      </c>
      <c r="AR17" s="80">
        <f t="shared" si="28"/>
        <v>1364.6446082696459</v>
      </c>
      <c r="AS17" s="80">
        <f t="shared" si="28"/>
        <v>1410.6149513417347</v>
      </c>
      <c r="AT17" s="10"/>
      <c r="AU17" s="10"/>
      <c r="AV17" s="10"/>
      <c r="AW17" s="10"/>
      <c r="AX17" s="10"/>
    </row>
    <row r="18" spans="1:50" ht="10.5" customHeight="1" x14ac:dyDescent="0.15">
      <c r="A18" s="2"/>
      <c r="B18" s="10" t="s">
        <v>113</v>
      </c>
      <c r="C18" s="10"/>
      <c r="D18" s="49"/>
      <c r="E18" s="49"/>
      <c r="F18" s="49"/>
      <c r="G18" s="49"/>
      <c r="H18" s="49"/>
      <c r="I18" s="49"/>
      <c r="J18" s="49"/>
      <c r="K18" s="49"/>
      <c r="L18" s="50"/>
      <c r="M18" s="130">
        <v>167.8</v>
      </c>
      <c r="N18" s="131">
        <v>67</v>
      </c>
      <c r="O18" s="131">
        <v>34.799999999999997</v>
      </c>
      <c r="P18" s="131">
        <f t="shared" si="17"/>
        <v>243.69999999999993</v>
      </c>
      <c r="Q18" s="132">
        <v>513.29999999999995</v>
      </c>
      <c r="R18" s="130">
        <v>20.100000000000001</v>
      </c>
      <c r="S18" s="131">
        <v>28.7</v>
      </c>
      <c r="T18" s="131">
        <v>34.700000000000003</v>
      </c>
      <c r="U18" s="131">
        <f t="shared" si="18"/>
        <v>82.800000000000011</v>
      </c>
      <c r="V18" s="132">
        <v>166.3</v>
      </c>
      <c r="W18" s="131">
        <v>14.2</v>
      </c>
      <c r="X18" s="131">
        <v>38.200000000000003</v>
      </c>
      <c r="Y18" s="131">
        <v>15.3</v>
      </c>
      <c r="Z18" s="131">
        <f t="shared" si="19"/>
        <v>198.10000000000002</v>
      </c>
      <c r="AA18" s="131">
        <v>265.8</v>
      </c>
      <c r="AB18" s="130">
        <v>50.4</v>
      </c>
      <c r="AC18" s="131">
        <v>39.799999999999997</v>
      </c>
      <c r="AD18" s="131">
        <v>85.2</v>
      </c>
      <c r="AE18" s="131">
        <f>AE10*AE57</f>
        <v>70.734366000000009</v>
      </c>
      <c r="AF18" s="80">
        <f t="shared" si="20"/>
        <v>246.134366</v>
      </c>
      <c r="AG18" s="133">
        <f t="shared" ref="AG18:AJ18" si="29">AG57*AG10</f>
        <v>84.963968610194343</v>
      </c>
      <c r="AH18" s="81">
        <f t="shared" si="29"/>
        <v>90.410828945116734</v>
      </c>
      <c r="AI18" s="81">
        <f t="shared" si="29"/>
        <v>96.643665615450445</v>
      </c>
      <c r="AJ18" s="81">
        <f t="shared" si="29"/>
        <v>91.735633429556287</v>
      </c>
      <c r="AK18" s="80">
        <f t="shared" si="22"/>
        <v>363.75409660031784</v>
      </c>
      <c r="AL18" s="133">
        <f t="shared" ref="AL18:AO18" si="30">AL57*AL10</f>
        <v>111.30830178559943</v>
      </c>
      <c r="AM18" s="81">
        <f t="shared" si="30"/>
        <v>118.78051904538863</v>
      </c>
      <c r="AN18" s="81">
        <f t="shared" si="30"/>
        <v>127.69862173306983</v>
      </c>
      <c r="AO18" s="81">
        <f t="shared" si="30"/>
        <v>119.63794961296541</v>
      </c>
      <c r="AP18" s="133">
        <f t="shared" si="25"/>
        <v>477.4253921770233</v>
      </c>
      <c r="AQ18" s="80">
        <f t="shared" ref="AQ18:AS18" si="31">AQ57*AQ10</f>
        <v>543.53942423893398</v>
      </c>
      <c r="AR18" s="80">
        <f t="shared" si="31"/>
        <v>607.26685067999244</v>
      </c>
      <c r="AS18" s="80">
        <f t="shared" si="31"/>
        <v>662.98902713061534</v>
      </c>
      <c r="AT18" s="10"/>
      <c r="AU18" s="10"/>
      <c r="AV18" s="10"/>
      <c r="AW18" s="10"/>
      <c r="AX18" s="10"/>
    </row>
    <row r="19" spans="1:50" ht="9.75" customHeight="1" x14ac:dyDescent="0.15">
      <c r="A19" s="10"/>
      <c r="B19" s="10" t="s">
        <v>114</v>
      </c>
      <c r="C19" s="49"/>
      <c r="D19" s="49"/>
      <c r="E19" s="49"/>
      <c r="F19" s="49"/>
      <c r="G19" s="49"/>
      <c r="H19" s="49"/>
      <c r="I19" s="49"/>
      <c r="J19" s="49"/>
      <c r="K19" s="49"/>
      <c r="L19" s="138"/>
      <c r="M19" s="130">
        <f t="shared" ref="M19:P19" si="32">SUM(M14:M18)</f>
        <v>1338.9</v>
      </c>
      <c r="N19" s="131">
        <f t="shared" si="32"/>
        <v>1234.9000000000001</v>
      </c>
      <c r="O19" s="131">
        <f t="shared" si="32"/>
        <v>1218.3</v>
      </c>
      <c r="P19" s="131">
        <f t="shared" si="32"/>
        <v>1743</v>
      </c>
      <c r="Q19" s="132">
        <v>5535.1</v>
      </c>
      <c r="R19" s="130">
        <f t="shared" ref="R19:U19" si="33">SUM(R14:R18)</f>
        <v>1198.4999999999998</v>
      </c>
      <c r="S19" s="131">
        <f t="shared" si="33"/>
        <v>1205.7</v>
      </c>
      <c r="T19" s="131">
        <f t="shared" si="33"/>
        <v>1225.3000000000002</v>
      </c>
      <c r="U19" s="131">
        <f t="shared" si="33"/>
        <v>1262.3999999999999</v>
      </c>
      <c r="V19" s="132">
        <v>4891.8999999999996</v>
      </c>
      <c r="W19" s="131">
        <f t="shared" ref="W19:Z19" si="34">SUM(W14:W18)</f>
        <v>1256.3</v>
      </c>
      <c r="X19" s="131">
        <f t="shared" si="34"/>
        <v>1221.7</v>
      </c>
      <c r="Y19" s="131">
        <f t="shared" si="34"/>
        <v>1227.8</v>
      </c>
      <c r="Z19" s="131">
        <f t="shared" si="34"/>
        <v>1448.1999999999998</v>
      </c>
      <c r="AA19" s="131">
        <v>5154</v>
      </c>
      <c r="AB19" s="130">
        <f t="shared" ref="AB19:AE19" si="35">SUM(AB14:AB18)</f>
        <v>1329.8</v>
      </c>
      <c r="AC19" s="131">
        <f t="shared" si="35"/>
        <v>1449.6999999999998</v>
      </c>
      <c r="AD19" s="131">
        <f t="shared" si="35"/>
        <v>1626.8</v>
      </c>
      <c r="AE19" s="131">
        <f t="shared" si="35"/>
        <v>1441.2530115999998</v>
      </c>
      <c r="AF19" s="80">
        <f t="shared" si="20"/>
        <v>5847.5530116</v>
      </c>
      <c r="AG19" s="117">
        <f t="shared" ref="AG19:AJ19" si="36">SUM(AG14:AG18)</f>
        <v>1472.9981028019979</v>
      </c>
      <c r="AH19" s="118">
        <f t="shared" si="36"/>
        <v>1573.464232823567</v>
      </c>
      <c r="AI19" s="118">
        <f t="shared" si="36"/>
        <v>1658.3815863010675</v>
      </c>
      <c r="AJ19" s="118">
        <f t="shared" si="36"/>
        <v>1553.4214781305564</v>
      </c>
      <c r="AK19" s="80">
        <f t="shared" si="22"/>
        <v>6258.2654000571893</v>
      </c>
      <c r="AL19" s="117">
        <f t="shared" ref="AL19:AO19" si="37">SUM(AL14:AL18)</f>
        <v>1662.5580345242859</v>
      </c>
      <c r="AM19" s="118">
        <f t="shared" si="37"/>
        <v>1781.310520410816</v>
      </c>
      <c r="AN19" s="118">
        <f t="shared" si="37"/>
        <v>1886.5902583718091</v>
      </c>
      <c r="AO19" s="118">
        <f t="shared" si="37"/>
        <v>1749.8937428387244</v>
      </c>
      <c r="AP19" s="133">
        <f t="shared" si="25"/>
        <v>7080.3525561456354</v>
      </c>
      <c r="AQ19" s="139">
        <f t="shared" ref="AQ19:AS19" si="38">SUM(AQ14:AQ18)</f>
        <v>7602.4487748583679</v>
      </c>
      <c r="AR19" s="139">
        <f t="shared" si="38"/>
        <v>8038.2196708642005</v>
      </c>
      <c r="AS19" s="139">
        <f t="shared" si="38"/>
        <v>8382.2643470950334</v>
      </c>
      <c r="AT19" s="10"/>
      <c r="AU19" s="10"/>
      <c r="AV19" s="10"/>
      <c r="AW19" s="10"/>
      <c r="AX19" s="10"/>
    </row>
    <row r="20" spans="1:50" ht="9.75" customHeight="1" x14ac:dyDescent="0.15">
      <c r="A20" s="10"/>
      <c r="B20" s="68" t="s">
        <v>115</v>
      </c>
      <c r="C20" s="70"/>
      <c r="D20" s="71"/>
      <c r="E20" s="70"/>
      <c r="F20" s="70"/>
      <c r="G20" s="70"/>
      <c r="H20" s="70"/>
      <c r="I20" s="70"/>
      <c r="J20" s="70"/>
      <c r="K20" s="70"/>
      <c r="L20" s="71" t="e">
        <f>#REF!-SUM(#REF!)</f>
        <v>#REF!</v>
      </c>
      <c r="M20" s="140">
        <f t="shared" ref="M20:AE20" si="39">M10-M19</f>
        <v>402.90000000000009</v>
      </c>
      <c r="N20" s="90">
        <f t="shared" si="39"/>
        <v>546</v>
      </c>
      <c r="O20" s="90">
        <f t="shared" si="39"/>
        <v>567.20000000000005</v>
      </c>
      <c r="P20" s="90">
        <f t="shared" si="39"/>
        <v>388.90000000000009</v>
      </c>
      <c r="Q20" s="141">
        <f t="shared" si="39"/>
        <v>1904.9999999999991</v>
      </c>
      <c r="R20" s="140">
        <f t="shared" si="39"/>
        <v>614.90000000000032</v>
      </c>
      <c r="S20" s="90">
        <f t="shared" si="39"/>
        <v>683</v>
      </c>
      <c r="T20" s="90">
        <f t="shared" si="39"/>
        <v>728.29999999999973</v>
      </c>
      <c r="U20" s="90">
        <f t="shared" si="39"/>
        <v>662.19999999999936</v>
      </c>
      <c r="V20" s="141">
        <f t="shared" si="39"/>
        <v>2688.3999999999996</v>
      </c>
      <c r="W20" s="90">
        <f t="shared" si="39"/>
        <v>736.60000000000014</v>
      </c>
      <c r="X20" s="90">
        <f t="shared" si="39"/>
        <v>691.3</v>
      </c>
      <c r="Y20" s="90">
        <f t="shared" si="39"/>
        <v>785.09999999999991</v>
      </c>
      <c r="Z20" s="90">
        <f t="shared" si="39"/>
        <v>674.50000000000136</v>
      </c>
      <c r="AA20" s="90">
        <f t="shared" si="39"/>
        <v>2887.5</v>
      </c>
      <c r="AB20" s="140">
        <f t="shared" si="39"/>
        <v>829.7</v>
      </c>
      <c r="AC20" s="90">
        <f t="shared" si="39"/>
        <v>849.20000000000027</v>
      </c>
      <c r="AD20" s="90">
        <f t="shared" si="39"/>
        <v>827.50000000000023</v>
      </c>
      <c r="AE20" s="90">
        <f t="shared" si="39"/>
        <v>916.55918840000049</v>
      </c>
      <c r="AF20" s="77">
        <f t="shared" si="20"/>
        <v>3422.959188400001</v>
      </c>
      <c r="AG20" s="140">
        <f t="shared" ref="AG20:AS20" si="40">AG10-AG19</f>
        <v>974.5026971980019</v>
      </c>
      <c r="AH20" s="90">
        <f t="shared" si="40"/>
        <v>1030.940667176433</v>
      </c>
      <c r="AI20" s="90">
        <f t="shared" si="40"/>
        <v>1125.568513698933</v>
      </c>
      <c r="AJ20" s="90">
        <f t="shared" si="40"/>
        <v>1089.1461876694439</v>
      </c>
      <c r="AK20" s="141">
        <f t="shared" si="40"/>
        <v>4220.1580657428094</v>
      </c>
      <c r="AL20" s="140">
        <f t="shared" si="40"/>
        <v>1140.1480392757142</v>
      </c>
      <c r="AM20" s="90">
        <f t="shared" si="40"/>
        <v>1209.543502489184</v>
      </c>
      <c r="AN20" s="90">
        <f t="shared" si="40"/>
        <v>1328.8186285281906</v>
      </c>
      <c r="AO20" s="90">
        <f t="shared" si="40"/>
        <v>1262.550097002676</v>
      </c>
      <c r="AP20" s="140">
        <f t="shared" si="40"/>
        <v>4941.0602672957648</v>
      </c>
      <c r="AQ20" s="71">
        <f t="shared" si="40"/>
        <v>5338.966087973392</v>
      </c>
      <c r="AR20" s="71">
        <f t="shared" si="40"/>
        <v>5608.2264118322582</v>
      </c>
      <c r="AS20" s="77">
        <f t="shared" si="40"/>
        <v>5723.8851663223122</v>
      </c>
      <c r="AT20" s="10"/>
      <c r="AU20" s="10"/>
      <c r="AV20" s="10"/>
      <c r="AW20" s="10"/>
      <c r="AX20" s="10"/>
    </row>
    <row r="21" spans="1:50" ht="9.75" customHeight="1" x14ac:dyDescent="0.15">
      <c r="A21" s="93"/>
      <c r="B21" s="92" t="s">
        <v>116</v>
      </c>
      <c r="C21" s="124"/>
      <c r="D21" s="125"/>
      <c r="E21" s="126"/>
      <c r="F21" s="126"/>
      <c r="G21" s="126"/>
      <c r="H21" s="126"/>
      <c r="I21" s="126"/>
      <c r="J21" s="126"/>
      <c r="K21" s="126"/>
      <c r="L21" s="125" t="str">
        <f>IFERROR(L20/L10,"")</f>
        <v/>
      </c>
      <c r="M21" s="125">
        <f t="shared" ref="M21:AS21" si="41">M20/M10</f>
        <v>0.23131243541164315</v>
      </c>
      <c r="N21" s="126">
        <f t="shared" si="41"/>
        <v>0.30658655735863888</v>
      </c>
      <c r="O21" s="126">
        <f t="shared" si="41"/>
        <v>0.31767012041444975</v>
      </c>
      <c r="P21" s="126">
        <f t="shared" si="41"/>
        <v>0.18241943805994656</v>
      </c>
      <c r="Q21" s="127">
        <f t="shared" si="41"/>
        <v>0.25604494563245106</v>
      </c>
      <c r="R21" s="125">
        <f t="shared" si="41"/>
        <v>0.33908679827947519</v>
      </c>
      <c r="S21" s="126">
        <f t="shared" si="41"/>
        <v>0.36162439773389105</v>
      </c>
      <c r="T21" s="126">
        <f t="shared" si="41"/>
        <v>0.37279893529893515</v>
      </c>
      <c r="U21" s="126">
        <f t="shared" si="41"/>
        <v>0.34407149537566228</v>
      </c>
      <c r="V21" s="127">
        <f t="shared" si="41"/>
        <v>0.35465614817355512</v>
      </c>
      <c r="W21" s="126">
        <f t="shared" si="41"/>
        <v>0.36961212303678065</v>
      </c>
      <c r="X21" s="126">
        <f t="shared" si="41"/>
        <v>0.36136957658128593</v>
      </c>
      <c r="Y21" s="126">
        <f t="shared" si="41"/>
        <v>0.39003427890108794</v>
      </c>
      <c r="Z21" s="126">
        <f t="shared" si="41"/>
        <v>0.31775568850991709</v>
      </c>
      <c r="AA21" s="126">
        <f t="shared" si="41"/>
        <v>0.35907479947770937</v>
      </c>
      <c r="AB21" s="142">
        <f t="shared" si="41"/>
        <v>0.38420930771011813</v>
      </c>
      <c r="AC21" s="143">
        <f t="shared" si="41"/>
        <v>0.36939405802775249</v>
      </c>
      <c r="AD21" s="143">
        <f t="shared" si="41"/>
        <v>0.33716334596422615</v>
      </c>
      <c r="AE21" s="143">
        <f t="shared" si="41"/>
        <v>0.38873290603891197</v>
      </c>
      <c r="AF21" s="127">
        <f t="shared" si="41"/>
        <v>0.36928264393386107</v>
      </c>
      <c r="AG21" s="142">
        <f t="shared" si="41"/>
        <v>0.39816236104928016</v>
      </c>
      <c r="AH21" s="143">
        <f t="shared" si="41"/>
        <v>0.3958450036614633</v>
      </c>
      <c r="AI21" s="143">
        <f t="shared" si="41"/>
        <v>0.40430628181838918</v>
      </c>
      <c r="AJ21" s="143">
        <f t="shared" si="41"/>
        <v>0.41215451235748024</v>
      </c>
      <c r="AK21" s="127">
        <f t="shared" si="41"/>
        <v>0.40274742469769159</v>
      </c>
      <c r="AL21" s="142">
        <f t="shared" si="41"/>
        <v>0.40680257196212671</v>
      </c>
      <c r="AM21" s="143">
        <f t="shared" si="41"/>
        <v>0.40441408815946928</v>
      </c>
      <c r="AN21" s="143">
        <f t="shared" si="41"/>
        <v>0.4132658318952756</v>
      </c>
      <c r="AO21" s="143">
        <f t="shared" si="41"/>
        <v>0.4191115798756756</v>
      </c>
      <c r="AP21" s="125">
        <f t="shared" si="41"/>
        <v>0.4110215945384425</v>
      </c>
      <c r="AQ21" s="125">
        <f t="shared" si="41"/>
        <v>0.41254887078128588</v>
      </c>
      <c r="AR21" s="125">
        <f t="shared" si="41"/>
        <v>0.4109660770171823</v>
      </c>
      <c r="AS21" s="127">
        <f t="shared" si="41"/>
        <v>0.40577233077516472</v>
      </c>
      <c r="AT21" s="93"/>
      <c r="AU21" s="93"/>
      <c r="AV21" s="93"/>
      <c r="AW21" s="93"/>
      <c r="AX21" s="93"/>
    </row>
    <row r="22" spans="1:50" ht="9" customHeight="1" x14ac:dyDescent="0.15">
      <c r="A22" s="10"/>
      <c r="B22" s="10" t="s">
        <v>117</v>
      </c>
      <c r="C22" s="10"/>
      <c r="D22" s="10"/>
      <c r="E22" s="59"/>
      <c r="F22" s="59"/>
      <c r="G22" s="59"/>
      <c r="H22" s="59"/>
      <c r="I22" s="59"/>
      <c r="J22" s="59"/>
      <c r="K22" s="59"/>
      <c r="L22" s="144"/>
      <c r="M22" s="130">
        <v>0</v>
      </c>
      <c r="N22" s="131">
        <v>-3.4</v>
      </c>
      <c r="O22" s="131">
        <v>0.6</v>
      </c>
      <c r="P22" s="131">
        <v>0</v>
      </c>
      <c r="Q22" s="132">
        <v>-0.1</v>
      </c>
      <c r="R22" s="130">
        <v>0</v>
      </c>
      <c r="S22" s="131">
        <v>0</v>
      </c>
      <c r="T22" s="131">
        <v>0</v>
      </c>
      <c r="U22" s="131">
        <v>0</v>
      </c>
      <c r="V22" s="132">
        <v>0</v>
      </c>
      <c r="W22" s="131">
        <v>0</v>
      </c>
      <c r="X22" s="131">
        <v>0</v>
      </c>
      <c r="Y22" s="131">
        <v>0</v>
      </c>
      <c r="Z22" s="131">
        <v>0</v>
      </c>
      <c r="AA22" s="131">
        <v>0</v>
      </c>
      <c r="AB22" s="130">
        <v>0</v>
      </c>
      <c r="AC22" s="131">
        <v>0</v>
      </c>
      <c r="AD22" s="131">
        <v>0</v>
      </c>
      <c r="AE22" s="131"/>
      <c r="AF22" s="145"/>
      <c r="AG22" s="146"/>
      <c r="AH22" s="147"/>
      <c r="AI22" s="147"/>
      <c r="AJ22" s="147"/>
      <c r="AK22" s="145"/>
      <c r="AL22" s="146"/>
      <c r="AM22" s="147"/>
      <c r="AN22" s="147"/>
      <c r="AO22" s="147"/>
      <c r="AP22" s="146"/>
      <c r="AQ22" s="50"/>
      <c r="AR22" s="50"/>
      <c r="AS22" s="51"/>
      <c r="AT22" s="10"/>
      <c r="AU22" s="10"/>
      <c r="AV22" s="10"/>
      <c r="AW22" s="10"/>
      <c r="AX22" s="10"/>
    </row>
    <row r="23" spans="1:50" ht="9.75" customHeight="1" x14ac:dyDescent="0.15">
      <c r="A23" s="10"/>
      <c r="B23" s="10" t="s">
        <v>118</v>
      </c>
      <c r="C23" s="10"/>
      <c r="D23" s="10"/>
      <c r="E23" s="59"/>
      <c r="F23" s="59"/>
      <c r="G23" s="59"/>
      <c r="H23" s="59"/>
      <c r="I23" s="59"/>
      <c r="J23" s="59"/>
      <c r="K23" s="59"/>
      <c r="L23" s="50"/>
      <c r="M23" s="130">
        <f>2.7+15.4</f>
        <v>18.100000000000001</v>
      </c>
      <c r="N23" s="131">
        <v>18.399999999999999</v>
      </c>
      <c r="O23" s="131">
        <v>10.1</v>
      </c>
      <c r="P23" s="131">
        <f t="shared" ref="P23:P24" si="42">Q23-SUM(M23:O23)</f>
        <v>8.1000000000000014</v>
      </c>
      <c r="Q23" s="132">
        <v>54.7</v>
      </c>
      <c r="R23" s="130">
        <v>12.4</v>
      </c>
      <c r="S23" s="131">
        <v>11.7</v>
      </c>
      <c r="T23" s="131">
        <v>12.2</v>
      </c>
      <c r="U23" s="131">
        <f t="shared" ref="U23:U24" si="43">V23-SUM(R23:T23)</f>
        <v>10.5</v>
      </c>
      <c r="V23" s="132">
        <v>46.8</v>
      </c>
      <c r="W23" s="131">
        <v>10.1</v>
      </c>
      <c r="X23" s="131">
        <v>8.4</v>
      </c>
      <c r="Y23" s="131">
        <v>9.6999999999999993</v>
      </c>
      <c r="Z23" s="131">
        <f t="shared" ref="Z23:Z24" si="44">AA23-SUM(W23:Y23)</f>
        <v>11.500000000000004</v>
      </c>
      <c r="AA23" s="131">
        <v>39.700000000000003</v>
      </c>
      <c r="AB23" s="130">
        <v>11.4</v>
      </c>
      <c r="AC23" s="131">
        <v>7.6</v>
      </c>
      <c r="AD23" s="131">
        <v>9.4</v>
      </c>
      <c r="AE23" s="131"/>
      <c r="AF23" s="80">
        <f t="shared" ref="AF23:AF28" si="45">SUM(AB23:AE23)</f>
        <v>28.4</v>
      </c>
      <c r="AG23" s="117"/>
      <c r="AH23" s="118"/>
      <c r="AI23" s="118"/>
      <c r="AJ23" s="118"/>
      <c r="AK23" s="80">
        <f t="shared" ref="AK23:AK28" si="46">SUM(AG23:AJ23)</f>
        <v>0</v>
      </c>
      <c r="AL23" s="117"/>
      <c r="AM23" s="118"/>
      <c r="AN23" s="118"/>
      <c r="AO23" s="118"/>
      <c r="AP23" s="133"/>
      <c r="AQ23" s="117"/>
      <c r="AR23" s="117"/>
      <c r="AS23" s="116"/>
      <c r="AT23" s="45"/>
      <c r="AU23" s="10"/>
      <c r="AV23" s="10"/>
      <c r="AW23" s="10"/>
      <c r="AX23" s="10"/>
    </row>
    <row r="24" spans="1:50" ht="9.75" customHeight="1" x14ac:dyDescent="0.15">
      <c r="A24" s="10"/>
      <c r="B24" s="10" t="s">
        <v>119</v>
      </c>
      <c r="C24" s="10"/>
      <c r="D24" s="10"/>
      <c r="E24" s="59"/>
      <c r="F24" s="59"/>
      <c r="G24" s="59"/>
      <c r="H24" s="59"/>
      <c r="I24" s="59"/>
      <c r="J24" s="59"/>
      <c r="K24" s="59"/>
      <c r="L24" s="50"/>
      <c r="M24" s="130">
        <v>-199.6</v>
      </c>
      <c r="N24" s="131">
        <v>-207.9</v>
      </c>
      <c r="O24" s="131">
        <v>-209.2</v>
      </c>
      <c r="P24" s="131">
        <f t="shared" si="42"/>
        <v>-208.79999999999995</v>
      </c>
      <c r="Q24" s="132">
        <v>-825.5</v>
      </c>
      <c r="R24" s="130">
        <v>-207.5</v>
      </c>
      <c r="S24" s="131">
        <v>-204.5</v>
      </c>
      <c r="T24" s="131">
        <v>-201.3</v>
      </c>
      <c r="U24" s="131">
        <f t="shared" si="43"/>
        <v>-200.90000000000009</v>
      </c>
      <c r="V24" s="132">
        <v>-814.2</v>
      </c>
      <c r="W24" s="131">
        <v>-208.8</v>
      </c>
      <c r="X24" s="131">
        <v>-197.7</v>
      </c>
      <c r="Y24" s="131">
        <v>-190.9</v>
      </c>
      <c r="Z24" s="131">
        <f t="shared" si="44"/>
        <v>-196.10000000000002</v>
      </c>
      <c r="AA24" s="131">
        <v>-793.5</v>
      </c>
      <c r="AB24" s="130">
        <v>-207</v>
      </c>
      <c r="AC24" s="131">
        <v>-213.7</v>
      </c>
      <c r="AD24" s="131">
        <v>-226.1</v>
      </c>
      <c r="AE24" s="131">
        <f>AE62*AE10</f>
        <v>-212.20309800000001</v>
      </c>
      <c r="AF24" s="80">
        <f t="shared" si="45"/>
        <v>-859.00309799999991</v>
      </c>
      <c r="AG24" s="117">
        <f t="shared" ref="AG24:AJ24" si="47">AG10*AG62</f>
        <v>-225.47363031414247</v>
      </c>
      <c r="AH24" s="118">
        <f t="shared" si="47"/>
        <v>-239.92826789308558</v>
      </c>
      <c r="AI24" s="118">
        <f t="shared" si="47"/>
        <v>-256.46869478466368</v>
      </c>
      <c r="AJ24" s="118">
        <f t="shared" si="47"/>
        <v>-243.44397556834127</v>
      </c>
      <c r="AK24" s="80">
        <f t="shared" si="46"/>
        <v>-965.31456856023306</v>
      </c>
      <c r="AL24" s="117">
        <f t="shared" ref="AL24:AO24" si="48">AL10*AL62</f>
        <v>-272.21010099450621</v>
      </c>
      <c r="AM24" s="118">
        <f t="shared" si="48"/>
        <v>-285.99750648946832</v>
      </c>
      <c r="AN24" s="118">
        <f t="shared" si="48"/>
        <v>-328.3705046812845</v>
      </c>
      <c r="AO24" s="118">
        <f t="shared" si="48"/>
        <v>-318.18645013070841</v>
      </c>
      <c r="AP24" s="133">
        <f>SUM(AL24:AO24)</f>
        <v>-1204.7645622959674</v>
      </c>
      <c r="AQ24" s="116">
        <f t="shared" ref="AQ24:AS24" si="49">AQ10*AQ62</f>
        <v>1358.8485605973347</v>
      </c>
      <c r="AR24" s="116">
        <f t="shared" si="49"/>
        <v>1501.1090690966105</v>
      </c>
      <c r="AS24" s="116">
        <f t="shared" si="49"/>
        <v>1622.2071940429948</v>
      </c>
      <c r="AT24" s="45"/>
      <c r="AU24" s="10"/>
      <c r="AV24" s="10"/>
      <c r="AW24" s="10"/>
      <c r="AX24" s="10"/>
    </row>
    <row r="25" spans="1:50" ht="9.75" customHeight="1" x14ac:dyDescent="0.15">
      <c r="A25" s="10"/>
      <c r="B25" s="10" t="s">
        <v>120</v>
      </c>
      <c r="C25" s="10"/>
      <c r="D25" s="10"/>
      <c r="E25" s="59"/>
      <c r="F25" s="59"/>
      <c r="G25" s="59"/>
      <c r="H25" s="59"/>
      <c r="I25" s="59"/>
      <c r="J25" s="59"/>
      <c r="K25" s="59"/>
      <c r="L25" s="50"/>
      <c r="M25" s="130">
        <v>0</v>
      </c>
      <c r="N25" s="131">
        <v>0</v>
      </c>
      <c r="O25" s="131">
        <v>0</v>
      </c>
      <c r="P25" s="131">
        <v>-3</v>
      </c>
      <c r="Q25" s="132">
        <v>-3.3</v>
      </c>
      <c r="R25" s="130">
        <v>0</v>
      </c>
      <c r="S25" s="131">
        <v>-22.1</v>
      </c>
      <c r="T25" s="131">
        <v>0</v>
      </c>
      <c r="U25" s="131">
        <v>0</v>
      </c>
      <c r="V25" s="132">
        <v>-22.2</v>
      </c>
      <c r="W25" s="131">
        <v>-34.6</v>
      </c>
      <c r="X25" s="131">
        <v>0</v>
      </c>
      <c r="Y25" s="131">
        <v>-37</v>
      </c>
      <c r="Z25" s="131">
        <v>0</v>
      </c>
      <c r="AA25" s="131">
        <v>-71.8</v>
      </c>
      <c r="AB25" s="130">
        <v>-25.7</v>
      </c>
      <c r="AC25" s="131">
        <v>0</v>
      </c>
      <c r="AD25" s="131">
        <v>0</v>
      </c>
      <c r="AE25" s="131"/>
      <c r="AF25" s="80">
        <f t="shared" si="45"/>
        <v>-25.7</v>
      </c>
      <c r="AG25" s="117"/>
      <c r="AH25" s="118"/>
      <c r="AI25" s="118"/>
      <c r="AJ25" s="118"/>
      <c r="AK25" s="80">
        <f t="shared" si="46"/>
        <v>0</v>
      </c>
      <c r="AL25" s="117"/>
      <c r="AM25" s="118"/>
      <c r="AN25" s="118"/>
      <c r="AO25" s="118"/>
      <c r="AP25" s="133"/>
      <c r="AQ25" s="117"/>
      <c r="AR25" s="117"/>
      <c r="AS25" s="117"/>
      <c r="AT25" s="45"/>
      <c r="AU25" s="97"/>
      <c r="AV25" s="10"/>
      <c r="AW25" s="10"/>
      <c r="AX25" s="10"/>
    </row>
    <row r="26" spans="1:50" ht="8.25" customHeight="1" x14ac:dyDescent="0.15">
      <c r="A26" s="10"/>
      <c r="B26" s="10" t="s">
        <v>121</v>
      </c>
      <c r="C26" s="10"/>
      <c r="D26" s="10"/>
      <c r="E26" s="59"/>
      <c r="F26" s="59"/>
      <c r="G26" s="59"/>
      <c r="H26" s="59"/>
      <c r="I26" s="59"/>
      <c r="J26" s="59"/>
      <c r="K26" s="59"/>
      <c r="L26" s="50"/>
      <c r="M26" s="130">
        <v>27.8</v>
      </c>
      <c r="N26" s="131">
        <v>-34.799999999999997</v>
      </c>
      <c r="O26" s="131">
        <v>21.1</v>
      </c>
      <c r="P26" s="131"/>
      <c r="Q26" s="132">
        <v>23.8</v>
      </c>
      <c r="R26" s="130">
        <v>21.9</v>
      </c>
      <c r="S26" s="131">
        <v>-5.0999999999999996</v>
      </c>
      <c r="T26" s="131">
        <v>2.8</v>
      </c>
      <c r="U26" s="131">
        <f>V26-SUM(R26:T26)</f>
        <v>-1.9999999999999964</v>
      </c>
      <c r="V26" s="132">
        <v>17.600000000000001</v>
      </c>
      <c r="W26" s="131">
        <v>-63.8</v>
      </c>
      <c r="X26" s="131">
        <v>-42.5</v>
      </c>
      <c r="Y26" s="131">
        <v>-64.5</v>
      </c>
      <c r="Z26" s="131">
        <f>AA26-SUM(W26:Y26)</f>
        <v>-70</v>
      </c>
      <c r="AA26" s="131">
        <v>-240.8</v>
      </c>
      <c r="AB26" s="130">
        <v>95.2</v>
      </c>
      <c r="AC26" s="131">
        <v>177.6</v>
      </c>
      <c r="AD26" s="131">
        <v>166.8</v>
      </c>
      <c r="AE26" s="131"/>
      <c r="AF26" s="80">
        <f t="shared" si="45"/>
        <v>439.6</v>
      </c>
      <c r="AG26" s="117"/>
      <c r="AH26" s="118"/>
      <c r="AI26" s="118"/>
      <c r="AJ26" s="118"/>
      <c r="AK26" s="80">
        <f t="shared" si="46"/>
        <v>0</v>
      </c>
      <c r="AL26" s="117"/>
      <c r="AM26" s="118"/>
      <c r="AN26" s="118"/>
      <c r="AO26" s="118"/>
      <c r="AP26" s="133"/>
      <c r="AQ26" s="117"/>
      <c r="AR26" s="117"/>
      <c r="AS26" s="117"/>
      <c r="AT26" s="45"/>
      <c r="AU26" s="97"/>
      <c r="AV26" s="10"/>
      <c r="AW26" s="10"/>
      <c r="AX26" s="10"/>
    </row>
    <row r="27" spans="1:50" ht="9.75" customHeight="1" x14ac:dyDescent="0.15">
      <c r="A27" s="58"/>
      <c r="B27" s="10" t="s">
        <v>122</v>
      </c>
      <c r="C27" s="10"/>
      <c r="D27" s="10"/>
      <c r="E27" s="59"/>
      <c r="F27" s="59"/>
      <c r="G27" s="59"/>
      <c r="H27" s="59"/>
      <c r="I27" s="59"/>
      <c r="J27" s="59"/>
      <c r="K27" s="59"/>
      <c r="L27" s="144" t="e">
        <f>L20+SUM(L23:L25)</f>
        <v>#REF!</v>
      </c>
      <c r="M27" s="130">
        <f t="shared" ref="M27:Z27" si="50">SUM(M22:M26)</f>
        <v>-153.69999999999999</v>
      </c>
      <c r="N27" s="131">
        <f t="shared" si="50"/>
        <v>-227.7</v>
      </c>
      <c r="O27" s="131">
        <f t="shared" si="50"/>
        <v>-177.4</v>
      </c>
      <c r="P27" s="131">
        <f t="shared" si="50"/>
        <v>-203.69999999999996</v>
      </c>
      <c r="Q27" s="132">
        <f t="shared" si="50"/>
        <v>-750.4</v>
      </c>
      <c r="R27" s="130">
        <f t="shared" si="50"/>
        <v>-173.2</v>
      </c>
      <c r="S27" s="131">
        <f t="shared" si="50"/>
        <v>-220</v>
      </c>
      <c r="T27" s="131">
        <f t="shared" si="50"/>
        <v>-186.3</v>
      </c>
      <c r="U27" s="131">
        <f t="shared" si="50"/>
        <v>-192.40000000000009</v>
      </c>
      <c r="V27" s="132">
        <f t="shared" si="50"/>
        <v>-772.00000000000011</v>
      </c>
      <c r="W27" s="131">
        <f t="shared" si="50"/>
        <v>-297.10000000000002</v>
      </c>
      <c r="X27" s="131">
        <f t="shared" si="50"/>
        <v>-231.79999999999998</v>
      </c>
      <c r="Y27" s="131">
        <f t="shared" si="50"/>
        <v>-282.70000000000005</v>
      </c>
      <c r="Z27" s="131">
        <f t="shared" si="50"/>
        <v>-254.60000000000002</v>
      </c>
      <c r="AA27" s="131">
        <f>-SUM(AA23:AA26)</f>
        <v>1066.3999999999999</v>
      </c>
      <c r="AB27" s="130">
        <f t="shared" ref="AB27:AE27" si="51">SUM(AB23:AB26)</f>
        <v>-126.09999999999998</v>
      </c>
      <c r="AC27" s="131">
        <f t="shared" si="51"/>
        <v>-28.5</v>
      </c>
      <c r="AD27" s="131">
        <f t="shared" si="51"/>
        <v>-49.899999999999977</v>
      </c>
      <c r="AE27" s="131">
        <f t="shared" si="51"/>
        <v>-212.20309800000001</v>
      </c>
      <c r="AF27" s="80">
        <f t="shared" si="45"/>
        <v>-416.70309799999995</v>
      </c>
      <c r="AG27" s="130">
        <f t="shared" ref="AG27:AJ27" si="52">SUM(AG23:AG26)</f>
        <v>-225.47363031414247</v>
      </c>
      <c r="AH27" s="131">
        <f t="shared" si="52"/>
        <v>-239.92826789308558</v>
      </c>
      <c r="AI27" s="131">
        <f t="shared" si="52"/>
        <v>-256.46869478466368</v>
      </c>
      <c r="AJ27" s="131">
        <f t="shared" si="52"/>
        <v>-243.44397556834127</v>
      </c>
      <c r="AK27" s="80">
        <f t="shared" si="46"/>
        <v>-965.31456856023306</v>
      </c>
      <c r="AL27" s="130">
        <f t="shared" ref="AL27:AO27" si="53">SUM(AL23:AL26)</f>
        <v>-272.21010099450621</v>
      </c>
      <c r="AM27" s="131">
        <f t="shared" si="53"/>
        <v>-285.99750648946832</v>
      </c>
      <c r="AN27" s="131">
        <f t="shared" si="53"/>
        <v>-328.3705046812845</v>
      </c>
      <c r="AO27" s="131">
        <f t="shared" si="53"/>
        <v>-318.18645013070841</v>
      </c>
      <c r="AP27" s="133">
        <f t="shared" ref="AP27:AP28" si="54">SUM(AL27:AO27)</f>
        <v>-1204.7645622959674</v>
      </c>
      <c r="AQ27" s="117">
        <f t="shared" ref="AQ27:AS27" si="55">-SUM(AQ23:AQ26)</f>
        <v>-1358.8485605973347</v>
      </c>
      <c r="AR27" s="117">
        <f t="shared" si="55"/>
        <v>-1501.1090690966105</v>
      </c>
      <c r="AS27" s="117">
        <f t="shared" si="55"/>
        <v>-1622.2071940429948</v>
      </c>
      <c r="AT27" s="64"/>
      <c r="AU27" s="148"/>
      <c r="AV27" s="58"/>
      <c r="AW27" s="58"/>
      <c r="AX27" s="58"/>
    </row>
    <row r="28" spans="1:50" ht="9.75" customHeight="1" x14ac:dyDescent="0.15">
      <c r="A28" s="10"/>
      <c r="B28" s="10" t="s">
        <v>123</v>
      </c>
      <c r="C28" s="59"/>
      <c r="D28" s="59"/>
      <c r="E28" s="59"/>
      <c r="F28" s="59"/>
      <c r="G28" s="59"/>
      <c r="H28" s="59"/>
      <c r="I28" s="59"/>
      <c r="J28" s="59"/>
      <c r="K28" s="59"/>
      <c r="L28" s="144"/>
      <c r="M28" s="130">
        <f t="shared" ref="M28:Z28" si="56">M20+M27</f>
        <v>249.2000000000001</v>
      </c>
      <c r="N28" s="131">
        <f t="shared" si="56"/>
        <v>318.3</v>
      </c>
      <c r="O28" s="131">
        <f t="shared" si="56"/>
        <v>389.80000000000007</v>
      </c>
      <c r="P28" s="131">
        <f t="shared" si="56"/>
        <v>185.20000000000013</v>
      </c>
      <c r="Q28" s="132">
        <f t="shared" si="56"/>
        <v>1154.599999999999</v>
      </c>
      <c r="R28" s="130">
        <f t="shared" si="56"/>
        <v>441.70000000000033</v>
      </c>
      <c r="S28" s="131">
        <f t="shared" si="56"/>
        <v>463</v>
      </c>
      <c r="T28" s="131">
        <f t="shared" si="56"/>
        <v>541.99999999999977</v>
      </c>
      <c r="U28" s="131">
        <f t="shared" si="56"/>
        <v>469.79999999999927</v>
      </c>
      <c r="V28" s="132">
        <f t="shared" si="56"/>
        <v>1916.3999999999996</v>
      </c>
      <c r="W28" s="131">
        <f t="shared" si="56"/>
        <v>439.50000000000011</v>
      </c>
      <c r="X28" s="131">
        <f t="shared" si="56"/>
        <v>459.5</v>
      </c>
      <c r="Y28" s="131">
        <f t="shared" si="56"/>
        <v>502.39999999999986</v>
      </c>
      <c r="Z28" s="131">
        <f t="shared" si="56"/>
        <v>419.90000000000134</v>
      </c>
      <c r="AA28" s="131">
        <f>AA20-AA27</f>
        <v>1821.1000000000001</v>
      </c>
      <c r="AB28" s="130">
        <f t="shared" ref="AB28:AE28" si="57">AB20+AB27</f>
        <v>703.6</v>
      </c>
      <c r="AC28" s="131">
        <f t="shared" si="57"/>
        <v>820.70000000000027</v>
      </c>
      <c r="AD28" s="131">
        <f t="shared" si="57"/>
        <v>777.60000000000025</v>
      </c>
      <c r="AE28" s="131">
        <f t="shared" si="57"/>
        <v>704.35609040000054</v>
      </c>
      <c r="AF28" s="80">
        <f t="shared" si="45"/>
        <v>3006.2560904000011</v>
      </c>
      <c r="AG28" s="130">
        <f t="shared" ref="AG28:AJ28" si="58">AG20+AG27</f>
        <v>749.0290668838594</v>
      </c>
      <c r="AH28" s="131">
        <f t="shared" si="58"/>
        <v>791.01239928334735</v>
      </c>
      <c r="AI28" s="131">
        <f t="shared" si="58"/>
        <v>869.09981891426924</v>
      </c>
      <c r="AJ28" s="131">
        <f t="shared" si="58"/>
        <v>845.70221210110253</v>
      </c>
      <c r="AK28" s="80">
        <f t="shared" si="46"/>
        <v>3254.8434971825782</v>
      </c>
      <c r="AL28" s="130">
        <f t="shared" ref="AL28:AO28" si="59">AL20+AL27</f>
        <v>867.93793828120795</v>
      </c>
      <c r="AM28" s="131">
        <f t="shared" si="59"/>
        <v>923.54599599971561</v>
      </c>
      <c r="AN28" s="131">
        <f t="shared" si="59"/>
        <v>1000.4481238469061</v>
      </c>
      <c r="AO28" s="131">
        <f t="shared" si="59"/>
        <v>944.3636468719676</v>
      </c>
      <c r="AP28" s="133">
        <f t="shared" si="54"/>
        <v>3736.2957049997976</v>
      </c>
      <c r="AQ28" s="117">
        <f t="shared" ref="AQ28:AS28" si="60">AQ20+AQ27</f>
        <v>3980.1175273760573</v>
      </c>
      <c r="AR28" s="117">
        <f t="shared" si="60"/>
        <v>4107.117342735648</v>
      </c>
      <c r="AS28" s="117">
        <f t="shared" si="60"/>
        <v>4101.6779722793171</v>
      </c>
      <c r="AT28" s="45"/>
      <c r="AU28" s="97"/>
      <c r="AV28" s="10"/>
      <c r="AW28" s="10"/>
      <c r="AX28" s="10"/>
    </row>
    <row r="29" spans="1:50" ht="9.75" customHeight="1" x14ac:dyDescent="0.15">
      <c r="A29" s="10"/>
      <c r="B29" s="10" t="s">
        <v>124</v>
      </c>
      <c r="C29" s="59"/>
      <c r="D29" s="59"/>
      <c r="E29" s="59"/>
      <c r="F29" s="59"/>
      <c r="G29" s="59"/>
      <c r="H29" s="59"/>
      <c r="I29" s="59"/>
      <c r="J29" s="59"/>
      <c r="K29" s="59"/>
      <c r="L29" s="144"/>
      <c r="M29" s="130">
        <v>31.1</v>
      </c>
      <c r="N29" s="131">
        <v>-3.9</v>
      </c>
      <c r="O29" s="131">
        <v>-12.5</v>
      </c>
      <c r="P29" s="131">
        <f>Q29-SUM(M29:O29)</f>
        <v>95.399999999999991</v>
      </c>
      <c r="Q29" s="132">
        <v>110.1</v>
      </c>
      <c r="R29" s="130">
        <v>-34</v>
      </c>
      <c r="S29" s="131">
        <v>-29.6</v>
      </c>
      <c r="T29" s="131">
        <v>-36.700000000000003</v>
      </c>
      <c r="U29" s="131">
        <f>V29-SUM(R29:T29)</f>
        <v>100.50000000000001</v>
      </c>
      <c r="V29" s="132">
        <v>0.2</v>
      </c>
      <c r="W29" s="131">
        <v>-21.1</v>
      </c>
      <c r="X29" s="131">
        <v>-11.1</v>
      </c>
      <c r="Y29" s="131">
        <v>-39.299999999999997</v>
      </c>
      <c r="Z29" s="131">
        <f>AA29-SUM(W29:Y29)</f>
        <v>-58.099999999999994</v>
      </c>
      <c r="AA29" s="131">
        <v>-129.6</v>
      </c>
      <c r="AB29" s="130">
        <v>-50.3</v>
      </c>
      <c r="AC29" s="131">
        <v>-72.8</v>
      </c>
      <c r="AD29" s="131">
        <v>-51.4</v>
      </c>
      <c r="AE29" s="131"/>
      <c r="AF29" s="116">
        <v>100</v>
      </c>
      <c r="AG29" s="117"/>
      <c r="AH29" s="118"/>
      <c r="AI29" s="118"/>
      <c r="AJ29" s="118"/>
      <c r="AK29" s="116"/>
      <c r="AL29" s="117"/>
      <c r="AM29" s="118"/>
      <c r="AN29" s="118"/>
      <c r="AO29" s="118"/>
      <c r="AP29" s="133"/>
      <c r="AQ29" s="117"/>
      <c r="AR29" s="117"/>
      <c r="AS29" s="117"/>
      <c r="AT29" s="45"/>
      <c r="AU29" s="10"/>
      <c r="AV29" s="10"/>
      <c r="AW29" s="10"/>
      <c r="AX29" s="10"/>
    </row>
    <row r="30" spans="1:50" ht="9.75" customHeight="1" x14ac:dyDescent="0.15">
      <c r="A30" s="92"/>
      <c r="B30" s="92" t="s">
        <v>125</v>
      </c>
      <c r="C30" s="149"/>
      <c r="D30" s="150"/>
      <c r="E30" s="151"/>
      <c r="F30" s="151"/>
      <c r="G30" s="152"/>
      <c r="H30" s="150" t="str">
        <f t="shared" ref="H30:K30" si="61">IFERROR(H28/H27,"")</f>
        <v/>
      </c>
      <c r="I30" s="151" t="str">
        <f t="shared" si="61"/>
        <v/>
      </c>
      <c r="J30" s="151" t="str">
        <f t="shared" si="61"/>
        <v/>
      </c>
      <c r="K30" s="151" t="str">
        <f t="shared" si="61"/>
        <v/>
      </c>
      <c r="L30" s="153" t="e">
        <f>L28/L27</f>
        <v>#REF!</v>
      </c>
      <c r="M30" s="153">
        <f t="shared" ref="M30:U30" si="62">M29/M28</f>
        <v>0.12479935794542532</v>
      </c>
      <c r="N30" s="154">
        <f t="shared" si="62"/>
        <v>-1.2252591894439207E-2</v>
      </c>
      <c r="O30" s="154">
        <f t="shared" si="62"/>
        <v>-3.2067727039507436E-2</v>
      </c>
      <c r="P30" s="154">
        <f t="shared" si="62"/>
        <v>0.5151187904967599</v>
      </c>
      <c r="Q30" s="155">
        <f t="shared" si="62"/>
        <v>9.5357699636237733E-2</v>
      </c>
      <c r="R30" s="153">
        <f t="shared" si="62"/>
        <v>-7.6975322617160918E-2</v>
      </c>
      <c r="S30" s="154">
        <f t="shared" si="62"/>
        <v>-6.3930885529157669E-2</v>
      </c>
      <c r="T30" s="154">
        <f t="shared" si="62"/>
        <v>-6.7712177121771258E-2</v>
      </c>
      <c r="U30" s="154">
        <f t="shared" si="62"/>
        <v>0.2139208173690936</v>
      </c>
      <c r="V30" s="155">
        <f>V29/V20</f>
        <v>7.4393691414968022E-5</v>
      </c>
      <c r="W30" s="154">
        <f t="shared" ref="W30:Z30" si="63">W29/W28</f>
        <v>-4.8009101251422062E-2</v>
      </c>
      <c r="X30" s="154">
        <f t="shared" si="63"/>
        <v>-2.4156692056583242E-2</v>
      </c>
      <c r="Y30" s="154">
        <f t="shared" si="63"/>
        <v>-7.8224522292993648E-2</v>
      </c>
      <c r="Z30" s="154">
        <f t="shared" si="63"/>
        <v>-0.13836627768516269</v>
      </c>
      <c r="AA30" s="154">
        <f>AA29/AA20</f>
        <v>-4.4883116883116879E-2</v>
      </c>
      <c r="AB30" s="153">
        <f>AB27/AB28</f>
        <v>-0.17922114837976119</v>
      </c>
      <c r="AC30" s="154">
        <f t="shared" ref="AC30:AD30" si="64">AC29/AC28</f>
        <v>-8.8704764225660981E-2</v>
      </c>
      <c r="AD30" s="154">
        <f t="shared" si="64"/>
        <v>-6.6100823045267473E-2</v>
      </c>
      <c r="AE30" s="156"/>
      <c r="AF30" s="157">
        <v>0.08</v>
      </c>
      <c r="AG30" s="157">
        <v>0.08</v>
      </c>
      <c r="AH30" s="157">
        <v>0.08</v>
      </c>
      <c r="AI30" s="157">
        <v>0.08</v>
      </c>
      <c r="AJ30" s="157">
        <v>0.08</v>
      </c>
      <c r="AK30" s="157">
        <v>0.08</v>
      </c>
      <c r="AL30" s="157">
        <v>0.08</v>
      </c>
      <c r="AM30" s="157">
        <v>0.08</v>
      </c>
      <c r="AN30" s="157">
        <v>0.08</v>
      </c>
      <c r="AO30" s="157">
        <v>0.08</v>
      </c>
      <c r="AP30" s="157">
        <v>0.08</v>
      </c>
      <c r="AQ30" s="157">
        <v>0.08</v>
      </c>
      <c r="AR30" s="157">
        <v>0.08</v>
      </c>
      <c r="AS30" s="157">
        <v>0.08</v>
      </c>
      <c r="AT30" s="158"/>
      <c r="AU30" s="92"/>
      <c r="AV30" s="92"/>
      <c r="AW30" s="92"/>
      <c r="AX30" s="92"/>
    </row>
    <row r="31" spans="1:50" ht="4.5" customHeight="1" x14ac:dyDescent="0.15">
      <c r="A31" s="10"/>
      <c r="B31" s="10"/>
      <c r="C31" s="49"/>
      <c r="D31" s="49"/>
      <c r="E31" s="49"/>
      <c r="F31" s="49"/>
      <c r="G31" s="49"/>
      <c r="H31" s="49"/>
      <c r="I31" s="49"/>
      <c r="J31" s="49"/>
      <c r="K31" s="49"/>
      <c r="L31" s="50"/>
      <c r="M31" s="50"/>
      <c r="N31" s="49"/>
      <c r="O31" s="49"/>
      <c r="P31" s="49"/>
      <c r="Q31" s="51"/>
      <c r="R31" s="50"/>
      <c r="S31" s="49"/>
      <c r="T31" s="49"/>
      <c r="U31" s="49"/>
      <c r="V31" s="51"/>
      <c r="W31" s="49"/>
      <c r="X31" s="49"/>
      <c r="Y31" s="49"/>
      <c r="Z31" s="49"/>
      <c r="AA31" s="49"/>
      <c r="AB31" s="50"/>
      <c r="AC31" s="49"/>
      <c r="AD31" s="49"/>
      <c r="AE31" s="49"/>
      <c r="AF31" s="51"/>
      <c r="AG31" s="50"/>
      <c r="AH31" s="49"/>
      <c r="AI31" s="49"/>
      <c r="AJ31" s="49"/>
      <c r="AK31" s="51"/>
      <c r="AL31" s="50"/>
      <c r="AM31" s="49"/>
      <c r="AN31" s="49"/>
      <c r="AO31" s="49"/>
      <c r="AP31" s="50"/>
      <c r="AQ31" s="50"/>
      <c r="AR31" s="50"/>
      <c r="AS31" s="51"/>
      <c r="AT31" s="10"/>
      <c r="AU31" s="10"/>
      <c r="AV31" s="10"/>
      <c r="AW31" s="10"/>
      <c r="AX31" s="10"/>
    </row>
    <row r="32" spans="1:50" ht="9.75" customHeight="1" x14ac:dyDescent="0.15">
      <c r="A32" s="10"/>
      <c r="B32" s="68" t="s">
        <v>126</v>
      </c>
      <c r="C32" s="70"/>
      <c r="D32" s="70"/>
      <c r="E32" s="70"/>
      <c r="F32" s="70"/>
      <c r="G32" s="70"/>
      <c r="H32" s="70"/>
      <c r="I32" s="70"/>
      <c r="J32" s="70"/>
      <c r="K32" s="70"/>
      <c r="L32" s="71" t="e">
        <f>L27-L28</f>
        <v>#REF!</v>
      </c>
      <c r="M32" s="71">
        <f t="shared" ref="M32:U32" si="65">M28+M29</f>
        <v>280.30000000000013</v>
      </c>
      <c r="N32" s="70">
        <f t="shared" si="65"/>
        <v>314.40000000000003</v>
      </c>
      <c r="O32" s="70">
        <f t="shared" si="65"/>
        <v>377.30000000000007</v>
      </c>
      <c r="P32" s="70">
        <f t="shared" si="65"/>
        <v>280.60000000000014</v>
      </c>
      <c r="Q32" s="77">
        <f t="shared" si="65"/>
        <v>1264.6999999999989</v>
      </c>
      <c r="R32" s="71">
        <f t="shared" si="65"/>
        <v>407.70000000000033</v>
      </c>
      <c r="S32" s="70">
        <f t="shared" si="65"/>
        <v>433.4</v>
      </c>
      <c r="T32" s="70">
        <f t="shared" si="65"/>
        <v>505.29999999999978</v>
      </c>
      <c r="U32" s="70">
        <f t="shared" si="65"/>
        <v>570.29999999999927</v>
      </c>
      <c r="V32" s="75">
        <v>1916.6</v>
      </c>
      <c r="W32" s="70">
        <f t="shared" ref="W32:Z32" si="66">W28+W29</f>
        <v>418.40000000000009</v>
      </c>
      <c r="X32" s="70">
        <f t="shared" si="66"/>
        <v>448.4</v>
      </c>
      <c r="Y32" s="70">
        <f t="shared" si="66"/>
        <v>463.09999999999985</v>
      </c>
      <c r="Z32" s="70">
        <f t="shared" si="66"/>
        <v>361.80000000000132</v>
      </c>
      <c r="AA32" s="73">
        <v>1691.5</v>
      </c>
      <c r="AB32" s="71">
        <f t="shared" ref="AB32:AD32" si="67">AB28+AB29</f>
        <v>653.30000000000007</v>
      </c>
      <c r="AC32" s="70">
        <f t="shared" si="67"/>
        <v>747.90000000000032</v>
      </c>
      <c r="AD32" s="70">
        <f t="shared" si="67"/>
        <v>726.20000000000027</v>
      </c>
      <c r="AE32" s="70">
        <f>AE20+AE24+AE28</f>
        <v>1408.7121808000011</v>
      </c>
      <c r="AF32" s="77">
        <f>SUM(AB32:AE32)</f>
        <v>3536.1121808000016</v>
      </c>
      <c r="AG32" s="71">
        <f t="shared" ref="AG32:AJ32" si="68">AG28+AG29</f>
        <v>749.0290668838594</v>
      </c>
      <c r="AH32" s="70">
        <f t="shared" si="68"/>
        <v>791.01239928334735</v>
      </c>
      <c r="AI32" s="70">
        <f t="shared" si="68"/>
        <v>869.09981891426924</v>
      </c>
      <c r="AJ32" s="70">
        <f t="shared" si="68"/>
        <v>845.70221210110253</v>
      </c>
      <c r="AK32" s="77">
        <f>SUM(AG32:AJ32)</f>
        <v>3254.8434971825782</v>
      </c>
      <c r="AL32" s="71">
        <f t="shared" ref="AL32:AO32" si="69">AL28+AL29</f>
        <v>867.93793828120795</v>
      </c>
      <c r="AM32" s="70">
        <f t="shared" si="69"/>
        <v>923.54599599971561</v>
      </c>
      <c r="AN32" s="70">
        <f t="shared" si="69"/>
        <v>1000.4481238469061</v>
      </c>
      <c r="AO32" s="70">
        <f t="shared" si="69"/>
        <v>944.3636468719676</v>
      </c>
      <c r="AP32" s="71">
        <f>SUM(AL32:AO32)</f>
        <v>3736.2957049997976</v>
      </c>
      <c r="AQ32" s="71">
        <f t="shared" ref="AQ32:AS32" si="70">AQ28-AQ29</f>
        <v>3980.1175273760573</v>
      </c>
      <c r="AR32" s="71">
        <f t="shared" si="70"/>
        <v>4107.117342735648</v>
      </c>
      <c r="AS32" s="77">
        <f t="shared" si="70"/>
        <v>4101.6779722793171</v>
      </c>
      <c r="AT32" s="10"/>
      <c r="AU32" s="10"/>
      <c r="AV32" s="10"/>
      <c r="AW32" s="10"/>
      <c r="AX32" s="10"/>
    </row>
    <row r="33" spans="1:50" ht="9.75" customHeight="1" x14ac:dyDescent="0.15">
      <c r="A33" s="93"/>
      <c r="B33" s="92" t="s">
        <v>127</v>
      </c>
      <c r="C33" s="124"/>
      <c r="D33" s="125"/>
      <c r="E33" s="126"/>
      <c r="F33" s="126"/>
      <c r="G33" s="159"/>
      <c r="H33" s="125" t="str">
        <f t="shared" ref="H33:Q33" si="71">IFERROR(H32/H10,"")</f>
        <v/>
      </c>
      <c r="I33" s="126" t="str">
        <f t="shared" si="71"/>
        <v/>
      </c>
      <c r="J33" s="126" t="str">
        <f t="shared" si="71"/>
        <v/>
      </c>
      <c r="K33" s="159" t="str">
        <f t="shared" si="71"/>
        <v/>
      </c>
      <c r="L33" s="125" t="str">
        <f t="shared" si="71"/>
        <v/>
      </c>
      <c r="M33" s="125">
        <f t="shared" si="71"/>
        <v>0.16092547938913773</v>
      </c>
      <c r="N33" s="126">
        <f t="shared" si="71"/>
        <v>0.17653995170980966</v>
      </c>
      <c r="O33" s="126">
        <f t="shared" si="71"/>
        <v>0.21131335760291239</v>
      </c>
      <c r="P33" s="126">
        <f t="shared" si="71"/>
        <v>0.13161968197382623</v>
      </c>
      <c r="Q33" s="127">
        <f t="shared" si="71"/>
        <v>0.16998427440491379</v>
      </c>
      <c r="R33" s="125">
        <f t="shared" ref="R33:U33" si="72">R32/R10</f>
        <v>0.22482629315098726</v>
      </c>
      <c r="S33" s="126">
        <f t="shared" si="72"/>
        <v>0.22947000582411181</v>
      </c>
      <c r="T33" s="126">
        <f t="shared" si="72"/>
        <v>0.25865069615069602</v>
      </c>
      <c r="U33" s="126">
        <f t="shared" si="72"/>
        <v>0.29632131351969215</v>
      </c>
      <c r="V33" s="160">
        <f>IFERROR(V32/AA10,"")</f>
        <v>0.23833861841696199</v>
      </c>
      <c r="W33" s="161">
        <f t="shared" ref="W33:AC33" si="73">W32/W10</f>
        <v>0.20994530583571683</v>
      </c>
      <c r="X33" s="161">
        <f t="shared" si="73"/>
        <v>0.23439623627809722</v>
      </c>
      <c r="Y33" s="161">
        <f t="shared" si="73"/>
        <v>0.2300660738238362</v>
      </c>
      <c r="Z33" s="161">
        <f t="shared" si="73"/>
        <v>0.17044330334008626</v>
      </c>
      <c r="AA33" s="161">
        <f t="shared" si="73"/>
        <v>0.21034632842131443</v>
      </c>
      <c r="AB33" s="162">
        <f t="shared" si="73"/>
        <v>0.30252373234545038</v>
      </c>
      <c r="AC33" s="161">
        <f t="shared" si="73"/>
        <v>0.32532950541563371</v>
      </c>
      <c r="AD33" s="161">
        <f t="shared" ref="AD33:AS33" si="74">IFERROR(AD32/AD10,"")</f>
        <v>0.29588884814407374</v>
      </c>
      <c r="AE33" s="161">
        <f t="shared" si="74"/>
        <v>0.59746581207782401</v>
      </c>
      <c r="AF33" s="160">
        <f t="shared" si="74"/>
        <v>0.38149004516263008</v>
      </c>
      <c r="AG33" s="162">
        <f t="shared" si="74"/>
        <v>0.30603833383174356</v>
      </c>
      <c r="AH33" s="161">
        <f t="shared" si="74"/>
        <v>0.3037209764439267</v>
      </c>
      <c r="AI33" s="161">
        <f t="shared" si="74"/>
        <v>0.31218225460085264</v>
      </c>
      <c r="AJ33" s="161">
        <f t="shared" si="74"/>
        <v>0.32003048513994364</v>
      </c>
      <c r="AK33" s="160">
        <f t="shared" si="74"/>
        <v>0.31062339748015516</v>
      </c>
      <c r="AL33" s="162">
        <f t="shared" si="74"/>
        <v>0.30967854474459017</v>
      </c>
      <c r="AM33" s="161">
        <f t="shared" si="74"/>
        <v>0.30879006094193273</v>
      </c>
      <c r="AN33" s="161">
        <f t="shared" si="74"/>
        <v>0.31114180467773905</v>
      </c>
      <c r="AO33" s="161">
        <f t="shared" si="74"/>
        <v>0.31348755265813905</v>
      </c>
      <c r="AP33" s="162">
        <f t="shared" si="74"/>
        <v>0.31080337726312263</v>
      </c>
      <c r="AQ33" s="162">
        <f t="shared" si="74"/>
        <v>0.30754887078128584</v>
      </c>
      <c r="AR33" s="162">
        <f t="shared" si="74"/>
        <v>0.30096607701718231</v>
      </c>
      <c r="AS33" s="160">
        <f t="shared" si="74"/>
        <v>0.29077233077516473</v>
      </c>
      <c r="AT33" s="93"/>
      <c r="AU33" s="93"/>
      <c r="AV33" s="93"/>
      <c r="AW33" s="93"/>
      <c r="AX33" s="93"/>
    </row>
    <row r="34" spans="1:50" ht="9.75" customHeight="1" x14ac:dyDescent="0.15">
      <c r="A34" s="93"/>
      <c r="B34" s="10" t="s">
        <v>128</v>
      </c>
      <c r="C34" s="10"/>
      <c r="D34" s="10"/>
      <c r="E34" s="126"/>
      <c r="F34" s="126"/>
      <c r="G34" s="126"/>
      <c r="H34" s="126"/>
      <c r="I34" s="126"/>
      <c r="J34" s="126"/>
      <c r="K34" s="126"/>
      <c r="L34" s="125"/>
      <c r="M34" s="163">
        <v>4.9000000000000004</v>
      </c>
      <c r="N34" s="164">
        <v>-7.7</v>
      </c>
      <c r="O34" s="164">
        <v>-10.4</v>
      </c>
      <c r="P34" s="131">
        <f t="shared" ref="P34:P36" si="75">Q34-SUM(M34:O34)</f>
        <v>-15.100000000000001</v>
      </c>
      <c r="Q34" s="132">
        <v>-28.3</v>
      </c>
      <c r="R34" s="130">
        <v>-10.199999999999999</v>
      </c>
      <c r="S34" s="131">
        <v>-5.2</v>
      </c>
      <c r="T34" s="131">
        <v>-6.7</v>
      </c>
      <c r="U34" s="131">
        <v>0</v>
      </c>
      <c r="V34" s="132">
        <v>-28.8</v>
      </c>
      <c r="W34" s="131">
        <v>-3.6</v>
      </c>
      <c r="X34" s="131">
        <v>-2.2999999999999998</v>
      </c>
      <c r="Y34" s="131">
        <v>1.5</v>
      </c>
      <c r="Z34" s="131">
        <v>-28.8</v>
      </c>
      <c r="AA34" s="131">
        <v>-0.9</v>
      </c>
      <c r="AB34" s="163">
        <v>-7.3</v>
      </c>
      <c r="AC34" s="164">
        <v>-1.6</v>
      </c>
      <c r="AD34" s="164">
        <v>-3.2</v>
      </c>
      <c r="AE34" s="164"/>
      <c r="AF34" s="160"/>
      <c r="AG34" s="162"/>
      <c r="AH34" s="161"/>
      <c r="AI34" s="161"/>
      <c r="AJ34" s="161"/>
      <c r="AK34" s="160"/>
      <c r="AL34" s="162"/>
      <c r="AM34" s="161"/>
      <c r="AN34" s="161"/>
      <c r="AO34" s="161"/>
      <c r="AP34" s="162"/>
      <c r="AQ34" s="162"/>
      <c r="AR34" s="162"/>
      <c r="AS34" s="160"/>
      <c r="AT34" s="93"/>
      <c r="AU34" s="93"/>
      <c r="AV34" s="93"/>
      <c r="AW34" s="93"/>
      <c r="AX34" s="93"/>
    </row>
    <row r="35" spans="1:50" ht="9.75" customHeight="1" x14ac:dyDescent="0.15">
      <c r="A35" s="93"/>
      <c r="B35" s="10" t="s">
        <v>129</v>
      </c>
      <c r="C35" s="10"/>
      <c r="D35" s="10"/>
      <c r="E35" s="126"/>
      <c r="F35" s="126"/>
      <c r="G35" s="126"/>
      <c r="H35" s="126"/>
      <c r="I35" s="126"/>
      <c r="J35" s="126"/>
      <c r="K35" s="126"/>
      <c r="L35" s="125"/>
      <c r="M35" s="163">
        <f>M32+M34</f>
        <v>285.2000000000001</v>
      </c>
      <c r="N35" s="164">
        <v>306.7</v>
      </c>
      <c r="O35" s="164">
        <v>366.9</v>
      </c>
      <c r="P35" s="131">
        <f t="shared" si="75"/>
        <v>277.60000000000002</v>
      </c>
      <c r="Q35" s="132">
        <v>1236.4000000000001</v>
      </c>
      <c r="R35" s="130">
        <f t="shared" ref="R35:U35" si="76">R32+R34</f>
        <v>397.50000000000034</v>
      </c>
      <c r="S35" s="131">
        <f t="shared" si="76"/>
        <v>428.2</v>
      </c>
      <c r="T35" s="131">
        <f t="shared" si="76"/>
        <v>498.5999999999998</v>
      </c>
      <c r="U35" s="131">
        <f t="shared" si="76"/>
        <v>570.29999999999927</v>
      </c>
      <c r="V35" s="132">
        <v>1887.8</v>
      </c>
      <c r="W35" s="131">
        <v>415</v>
      </c>
      <c r="X35" s="131">
        <v>446.1</v>
      </c>
      <c r="Y35" s="131">
        <v>464.4</v>
      </c>
      <c r="Z35" s="131">
        <v>1887.8</v>
      </c>
      <c r="AA35" s="131">
        <v>1690.6</v>
      </c>
      <c r="AB35" s="163">
        <v>645</v>
      </c>
      <c r="AC35" s="164">
        <v>746.3</v>
      </c>
      <c r="AD35" s="164">
        <v>723</v>
      </c>
      <c r="AE35" s="164"/>
      <c r="AF35" s="160"/>
      <c r="AG35" s="162"/>
      <c r="AH35" s="161"/>
      <c r="AI35" s="161"/>
      <c r="AJ35" s="161"/>
      <c r="AK35" s="160"/>
      <c r="AL35" s="162"/>
      <c r="AM35" s="161"/>
      <c r="AN35" s="161"/>
      <c r="AO35" s="161"/>
      <c r="AP35" s="162"/>
      <c r="AQ35" s="162"/>
      <c r="AR35" s="162"/>
      <c r="AS35" s="160"/>
      <c r="AT35" s="93"/>
      <c r="AU35" s="93"/>
      <c r="AV35" s="93"/>
      <c r="AW35" s="93"/>
      <c r="AX35" s="93"/>
    </row>
    <row r="36" spans="1:50" ht="9.75" customHeight="1" x14ac:dyDescent="0.15">
      <c r="A36" s="93"/>
      <c r="B36" s="10" t="s">
        <v>130</v>
      </c>
      <c r="C36" s="10"/>
      <c r="D36" s="10"/>
      <c r="E36" s="126"/>
      <c r="F36" s="126"/>
      <c r="G36" s="126"/>
      <c r="H36" s="126"/>
      <c r="I36" s="126"/>
      <c r="J36" s="126"/>
      <c r="K36" s="126"/>
      <c r="L36" s="125"/>
      <c r="M36" s="163">
        <v>-9.4</v>
      </c>
      <c r="N36" s="164">
        <v>0</v>
      </c>
      <c r="O36" s="164">
        <v>0</v>
      </c>
      <c r="P36" s="131">
        <f t="shared" si="75"/>
        <v>0</v>
      </c>
      <c r="Q36" s="132">
        <v>-9.4</v>
      </c>
      <c r="R36" s="130">
        <v>0</v>
      </c>
      <c r="S36" s="131">
        <v>0</v>
      </c>
      <c r="T36" s="131">
        <v>0</v>
      </c>
      <c r="U36" s="131">
        <v>0</v>
      </c>
      <c r="V36" s="132" t="s">
        <v>131</v>
      </c>
      <c r="W36" s="131">
        <v>0</v>
      </c>
      <c r="X36" s="131">
        <v>0</v>
      </c>
      <c r="Y36" s="131">
        <v>0</v>
      </c>
      <c r="Z36" s="131" t="s">
        <v>131</v>
      </c>
      <c r="AA36" s="131" t="s">
        <v>131</v>
      </c>
      <c r="AB36" s="163">
        <v>0</v>
      </c>
      <c r="AC36" s="164">
        <v>0</v>
      </c>
      <c r="AD36" s="164">
        <v>0</v>
      </c>
      <c r="AE36" s="164"/>
      <c r="AF36" s="160"/>
      <c r="AG36" s="162"/>
      <c r="AH36" s="161"/>
      <c r="AI36" s="161"/>
      <c r="AJ36" s="161"/>
      <c r="AK36" s="160"/>
      <c r="AL36" s="162"/>
      <c r="AM36" s="161"/>
      <c r="AN36" s="161"/>
      <c r="AO36" s="161"/>
      <c r="AP36" s="162"/>
      <c r="AQ36" s="162"/>
      <c r="AR36" s="162"/>
      <c r="AS36" s="160"/>
      <c r="AT36" s="93"/>
      <c r="AU36" s="93"/>
      <c r="AV36" s="93"/>
      <c r="AW36" s="93"/>
      <c r="AX36" s="93"/>
    </row>
    <row r="37" spans="1:50" ht="10.5" customHeight="1" x14ac:dyDescent="0.15">
      <c r="A37" s="10"/>
      <c r="B37" s="10" t="s">
        <v>132</v>
      </c>
      <c r="C37" s="10"/>
      <c r="D37" s="10"/>
      <c r="E37" s="59"/>
      <c r="F37" s="59"/>
      <c r="G37" s="59"/>
      <c r="H37" s="59"/>
      <c r="I37" s="59"/>
      <c r="J37" s="59"/>
      <c r="K37" s="59"/>
      <c r="L37" s="144"/>
      <c r="M37" s="130">
        <f t="shared" ref="M37:P37" si="77">M35+M36</f>
        <v>275.80000000000013</v>
      </c>
      <c r="N37" s="131">
        <f t="shared" si="77"/>
        <v>306.7</v>
      </c>
      <c r="O37" s="131">
        <f t="shared" si="77"/>
        <v>366.9</v>
      </c>
      <c r="P37" s="131">
        <f t="shared" si="77"/>
        <v>277.60000000000002</v>
      </c>
      <c r="Q37" s="132">
        <v>1227</v>
      </c>
      <c r="R37" s="130">
        <v>397.4</v>
      </c>
      <c r="S37" s="131">
        <v>429</v>
      </c>
      <c r="T37" s="131">
        <v>498.6</v>
      </c>
      <c r="U37" s="131">
        <f>V37-SUM(R37:T37)</f>
        <v>562.79999999999995</v>
      </c>
      <c r="V37" s="132">
        <v>1887.8</v>
      </c>
      <c r="W37" s="131">
        <v>415</v>
      </c>
      <c r="X37" s="131">
        <v>446.1</v>
      </c>
      <c r="Y37" s="131">
        <v>464.4</v>
      </c>
      <c r="Z37" s="131">
        <v>1887.8</v>
      </c>
      <c r="AA37" s="131">
        <v>1690.6</v>
      </c>
      <c r="AB37" s="130">
        <v>645</v>
      </c>
      <c r="AC37" s="131">
        <v>746.3</v>
      </c>
      <c r="AD37" s="131">
        <v>723</v>
      </c>
      <c r="AE37" s="131"/>
      <c r="AF37" s="165"/>
      <c r="AG37" s="144"/>
      <c r="AH37" s="59"/>
      <c r="AI37" s="59"/>
      <c r="AJ37" s="59"/>
      <c r="AK37" s="165"/>
      <c r="AL37" s="144"/>
      <c r="AM37" s="59"/>
      <c r="AN37" s="59"/>
      <c r="AO37" s="59"/>
      <c r="AP37" s="144"/>
      <c r="AQ37" s="144"/>
      <c r="AR37" s="144"/>
      <c r="AS37" s="165"/>
      <c r="AT37" s="45"/>
      <c r="AU37" s="10"/>
      <c r="AV37" s="10"/>
      <c r="AW37" s="10"/>
      <c r="AX37" s="10"/>
    </row>
    <row r="38" spans="1:50" ht="9.75" customHeight="1" x14ac:dyDescent="0.15">
      <c r="A38" s="10"/>
      <c r="B38" s="10" t="s">
        <v>133</v>
      </c>
      <c r="C38" s="10"/>
      <c r="D38" s="55"/>
      <c r="E38" s="55"/>
      <c r="F38" s="55"/>
      <c r="G38" s="55"/>
      <c r="H38" s="10"/>
      <c r="I38" s="10"/>
      <c r="J38" s="10"/>
      <c r="K38" s="10"/>
      <c r="L38" s="54"/>
      <c r="M38" s="166">
        <v>435124</v>
      </c>
      <c r="N38" s="97">
        <v>441497</v>
      </c>
      <c r="O38" s="97">
        <v>440889</v>
      </c>
      <c r="P38" s="55">
        <v>439606</v>
      </c>
      <c r="Q38" s="116">
        <v>439606</v>
      </c>
      <c r="R38" s="117">
        <v>441351</v>
      </c>
      <c r="S38" s="118">
        <v>442203</v>
      </c>
      <c r="T38" s="118">
        <v>442763</v>
      </c>
      <c r="U38" s="118">
        <v>442319</v>
      </c>
      <c r="V38" s="116">
        <v>442319</v>
      </c>
      <c r="W38" s="118">
        <v>443055</v>
      </c>
      <c r="X38" s="118">
        <v>443436</v>
      </c>
      <c r="Y38" s="118">
        <v>443766</v>
      </c>
      <c r="Z38" s="118">
        <v>442319</v>
      </c>
      <c r="AA38" s="118">
        <v>443640</v>
      </c>
      <c r="AB38" s="117">
        <v>444486</v>
      </c>
      <c r="AC38" s="118">
        <v>450617</v>
      </c>
      <c r="AD38" s="118">
        <v>455224</v>
      </c>
      <c r="AE38" s="118">
        <v>450000</v>
      </c>
      <c r="AF38" s="116">
        <v>443640</v>
      </c>
      <c r="AG38" s="117">
        <v>443640</v>
      </c>
      <c r="AH38" s="118">
        <v>443640</v>
      </c>
      <c r="AI38" s="118">
        <v>443640</v>
      </c>
      <c r="AJ38" s="118">
        <v>443640</v>
      </c>
      <c r="AK38" s="116">
        <v>443640</v>
      </c>
      <c r="AL38" s="117">
        <v>443640</v>
      </c>
      <c r="AM38" s="118">
        <v>443640</v>
      </c>
      <c r="AN38" s="118">
        <v>443640</v>
      </c>
      <c r="AO38" s="118">
        <v>443640</v>
      </c>
      <c r="AP38" s="117">
        <v>443640</v>
      </c>
      <c r="AQ38" s="117">
        <v>443640</v>
      </c>
      <c r="AR38" s="117">
        <v>443640</v>
      </c>
      <c r="AS38" s="116">
        <v>443640</v>
      </c>
      <c r="AT38" s="45"/>
      <c r="AU38" s="10"/>
      <c r="AV38" s="10"/>
      <c r="AW38" s="10"/>
      <c r="AX38" s="10"/>
    </row>
    <row r="39" spans="1:50" ht="9.75" customHeight="1" x14ac:dyDescent="0.15">
      <c r="A39" s="10"/>
      <c r="B39" s="68" t="s">
        <v>134</v>
      </c>
      <c r="C39" s="69"/>
      <c r="D39" s="167"/>
      <c r="E39" s="168"/>
      <c r="F39" s="168"/>
      <c r="G39" s="74"/>
      <c r="H39" s="167"/>
      <c r="I39" s="168"/>
      <c r="J39" s="168"/>
      <c r="K39" s="74"/>
      <c r="L39" s="167"/>
      <c r="M39" s="140">
        <v>0.63</v>
      </c>
      <c r="N39" s="90">
        <v>0.69</v>
      </c>
      <c r="O39" s="90">
        <v>0.83</v>
      </c>
      <c r="P39" s="90">
        <v>0.63</v>
      </c>
      <c r="Q39" s="141">
        <v>2.79</v>
      </c>
      <c r="R39" s="140">
        <v>0.9</v>
      </c>
      <c r="S39" s="90">
        <v>0.97</v>
      </c>
      <c r="T39" s="90">
        <v>1.1299999999999999</v>
      </c>
      <c r="U39" s="90">
        <f>V39-SUM(R39:T39)</f>
        <v>1.2699999999999996</v>
      </c>
      <c r="V39" s="141">
        <v>4.2699999999999996</v>
      </c>
      <c r="W39" s="90">
        <v>0.94</v>
      </c>
      <c r="X39" s="90">
        <v>1.01</v>
      </c>
      <c r="Y39" s="90">
        <v>1.05</v>
      </c>
      <c r="Z39" s="90">
        <f>AA39-SUM(W39:Y39)</f>
        <v>0.81</v>
      </c>
      <c r="AA39" s="90">
        <v>3.81</v>
      </c>
      <c r="AB39" s="140">
        <v>1.45</v>
      </c>
      <c r="AC39" s="90">
        <v>1.66</v>
      </c>
      <c r="AD39" s="90">
        <v>1.59</v>
      </c>
      <c r="AE39" s="90">
        <f>(AE32*1000)/AE38</f>
        <v>3.1304715128888914</v>
      </c>
      <c r="AF39" s="141">
        <f>SUM(AB39:AE39)</f>
        <v>7.8304715128888915</v>
      </c>
      <c r="AG39" s="140">
        <f t="shared" ref="AG39:AJ39" si="78">(AG32*1000)/AG38</f>
        <v>1.6883713526369566</v>
      </c>
      <c r="AH39" s="90">
        <f t="shared" si="78"/>
        <v>1.7830051376867444</v>
      </c>
      <c r="AI39" s="90">
        <f t="shared" si="78"/>
        <v>1.9590204195164305</v>
      </c>
      <c r="AJ39" s="90">
        <f t="shared" si="78"/>
        <v>1.9062803446512997</v>
      </c>
      <c r="AK39" s="141">
        <f>SUM(AG39:AJ39)</f>
        <v>7.3366772544914305</v>
      </c>
      <c r="AL39" s="140">
        <f t="shared" ref="AL39:AO39" si="79">(AL32*1000)/AL38</f>
        <v>1.9564014477531511</v>
      </c>
      <c r="AM39" s="90">
        <f t="shared" si="79"/>
        <v>2.0817464520776205</v>
      </c>
      <c r="AN39" s="90">
        <f t="shared" si="79"/>
        <v>2.2550899915402267</v>
      </c>
      <c r="AO39" s="90">
        <f t="shared" si="79"/>
        <v>2.1286711001532046</v>
      </c>
      <c r="AP39" s="140">
        <f>SUM(AL39:AO39)</f>
        <v>8.4219089915242034</v>
      </c>
      <c r="AQ39" s="140">
        <f t="shared" ref="AQ39:AS39" si="80">(AQ32*1000)/AQ38</f>
        <v>8.9715028567668771</v>
      </c>
      <c r="AR39" s="140">
        <f t="shared" si="80"/>
        <v>9.2577705859157167</v>
      </c>
      <c r="AS39" s="141">
        <f t="shared" si="80"/>
        <v>9.2455098103852613</v>
      </c>
      <c r="AT39" s="45"/>
      <c r="AU39" s="10"/>
      <c r="AV39" s="10"/>
      <c r="AW39" s="10"/>
      <c r="AX39" s="10"/>
    </row>
    <row r="40" spans="1:50" ht="4.5" customHeight="1" x14ac:dyDescent="0.1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45"/>
      <c r="M40" s="45"/>
      <c r="N40" s="10"/>
      <c r="O40" s="10"/>
      <c r="P40" s="10"/>
      <c r="Q40" s="145"/>
      <c r="R40" s="146"/>
      <c r="S40" s="147"/>
      <c r="T40" s="147"/>
      <c r="U40" s="147"/>
      <c r="V40" s="145"/>
      <c r="W40" s="147"/>
      <c r="X40" s="147"/>
      <c r="Y40" s="147"/>
      <c r="Z40" s="147"/>
      <c r="AA40" s="147"/>
      <c r="AB40" s="146"/>
      <c r="AC40" s="147"/>
      <c r="AD40" s="147"/>
      <c r="AE40" s="147"/>
      <c r="AF40" s="145"/>
      <c r="AG40" s="146"/>
      <c r="AH40" s="147"/>
      <c r="AI40" s="147"/>
      <c r="AJ40" s="147"/>
      <c r="AK40" s="145"/>
      <c r="AL40" s="146"/>
      <c r="AM40" s="147"/>
      <c r="AN40" s="147"/>
      <c r="AO40" s="147"/>
      <c r="AP40" s="146"/>
      <c r="AQ40" s="45"/>
      <c r="AR40" s="45"/>
      <c r="AS40" s="47"/>
      <c r="AT40" s="45"/>
      <c r="AU40" s="10"/>
      <c r="AV40" s="10"/>
      <c r="AW40" s="10"/>
      <c r="AX40" s="10"/>
    </row>
    <row r="41" spans="1:50" ht="9.75" customHeight="1" x14ac:dyDescent="0.15">
      <c r="A41" s="10"/>
      <c r="B41" s="10" t="s">
        <v>135</v>
      </c>
      <c r="C41" s="10"/>
      <c r="D41" s="55"/>
      <c r="E41" s="55"/>
      <c r="F41" s="55"/>
      <c r="G41" s="55"/>
      <c r="H41" s="10"/>
      <c r="I41" s="10"/>
      <c r="J41" s="10"/>
      <c r="K41" s="10"/>
      <c r="L41" s="54"/>
      <c r="M41" s="166">
        <v>438520</v>
      </c>
      <c r="N41" s="97">
        <v>444362</v>
      </c>
      <c r="O41" s="97">
        <v>444121</v>
      </c>
      <c r="P41" s="55">
        <v>442960</v>
      </c>
      <c r="Q41" s="116">
        <v>442960</v>
      </c>
      <c r="R41" s="117">
        <v>441351</v>
      </c>
      <c r="S41" s="118">
        <v>445337</v>
      </c>
      <c r="T41" s="118">
        <v>445829</v>
      </c>
      <c r="U41" s="118">
        <v>445520</v>
      </c>
      <c r="V41" s="116">
        <v>445520</v>
      </c>
      <c r="W41" s="118">
        <v>445832</v>
      </c>
      <c r="X41" s="118">
        <v>445867</v>
      </c>
      <c r="Y41" s="118">
        <v>446156</v>
      </c>
      <c r="Z41" s="118">
        <v>446104</v>
      </c>
      <c r="AA41" s="118">
        <v>446104</v>
      </c>
      <c r="AB41" s="117">
        <v>446294</v>
      </c>
      <c r="AC41" s="118">
        <v>452354</v>
      </c>
      <c r="AD41" s="118">
        <v>456977</v>
      </c>
      <c r="AE41" s="118">
        <v>446104</v>
      </c>
      <c r="AF41" s="116">
        <v>446104</v>
      </c>
      <c r="AG41" s="117">
        <v>446104</v>
      </c>
      <c r="AH41" s="118">
        <v>446104</v>
      </c>
      <c r="AI41" s="118">
        <v>446104</v>
      </c>
      <c r="AJ41" s="118">
        <v>446104</v>
      </c>
      <c r="AK41" s="116">
        <v>446104</v>
      </c>
      <c r="AL41" s="117">
        <v>446104</v>
      </c>
      <c r="AM41" s="118">
        <v>446104</v>
      </c>
      <c r="AN41" s="118">
        <v>446104</v>
      </c>
      <c r="AO41" s="118">
        <v>446104</v>
      </c>
      <c r="AP41" s="117">
        <v>446104</v>
      </c>
      <c r="AQ41" s="117">
        <v>446104</v>
      </c>
      <c r="AR41" s="117">
        <v>446104</v>
      </c>
      <c r="AS41" s="116">
        <v>446104</v>
      </c>
      <c r="AT41" s="45"/>
      <c r="AU41" s="10"/>
      <c r="AV41" s="10"/>
      <c r="AW41" s="10"/>
      <c r="AX41" s="10"/>
    </row>
    <row r="42" spans="1:50" ht="4.5" customHeight="1" x14ac:dyDescent="0.1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45"/>
      <c r="M42" s="45"/>
      <c r="N42" s="10"/>
      <c r="O42" s="10"/>
      <c r="P42" s="10"/>
      <c r="Q42" s="47"/>
      <c r="R42" s="45"/>
      <c r="S42" s="10"/>
      <c r="T42" s="10"/>
      <c r="U42" s="10"/>
      <c r="V42" s="47"/>
      <c r="W42" s="10"/>
      <c r="X42" s="10"/>
      <c r="Y42" s="10"/>
      <c r="Z42" s="10"/>
      <c r="AA42" s="10"/>
      <c r="AB42" s="45"/>
      <c r="AC42" s="10"/>
      <c r="AD42" s="10"/>
      <c r="AE42" s="10"/>
      <c r="AF42" s="47"/>
      <c r="AG42" s="45"/>
      <c r="AH42" s="10"/>
      <c r="AI42" s="10"/>
      <c r="AJ42" s="10"/>
      <c r="AK42" s="47"/>
      <c r="AL42" s="45"/>
      <c r="AM42" s="10"/>
      <c r="AN42" s="10"/>
      <c r="AO42" s="10"/>
      <c r="AP42" s="45"/>
      <c r="AQ42" s="45"/>
      <c r="AR42" s="45"/>
      <c r="AS42" s="47"/>
      <c r="AT42" s="45"/>
      <c r="AU42" s="10"/>
      <c r="AV42" s="10"/>
      <c r="AW42" s="10"/>
      <c r="AX42" s="10"/>
    </row>
    <row r="43" spans="1:50" ht="9.75" customHeight="1" x14ac:dyDescent="0.15">
      <c r="A43" s="10"/>
      <c r="B43" s="68" t="s">
        <v>136</v>
      </c>
      <c r="C43" s="69"/>
      <c r="D43" s="167"/>
      <c r="E43" s="168"/>
      <c r="F43" s="168"/>
      <c r="G43" s="74"/>
      <c r="H43" s="167"/>
      <c r="I43" s="168"/>
      <c r="J43" s="168"/>
      <c r="K43" s="74"/>
      <c r="L43" s="167"/>
      <c r="M43" s="140">
        <v>0.63</v>
      </c>
      <c r="N43" s="90">
        <v>0.69</v>
      </c>
      <c r="O43" s="90">
        <v>0.83</v>
      </c>
      <c r="P43" s="90">
        <v>0.62</v>
      </c>
      <c r="Q43" s="141">
        <v>2.77</v>
      </c>
      <c r="R43" s="140">
        <v>0.89</v>
      </c>
      <c r="S43" s="90">
        <v>0.96</v>
      </c>
      <c r="T43" s="90">
        <v>1.1200000000000001</v>
      </c>
      <c r="U43" s="90">
        <f>V43-SUM(R43:T43)</f>
        <v>1.27</v>
      </c>
      <c r="V43" s="141">
        <v>4.24</v>
      </c>
      <c r="W43" s="90">
        <v>0.93</v>
      </c>
      <c r="X43" s="90">
        <v>1</v>
      </c>
      <c r="Y43" s="90">
        <v>1.04</v>
      </c>
      <c r="Z43" s="90">
        <f>AA43-SUM(W43:Y43)</f>
        <v>0.81999999999999984</v>
      </c>
      <c r="AA43" s="90">
        <v>3.79</v>
      </c>
      <c r="AB43" s="140">
        <v>1.45</v>
      </c>
      <c r="AC43" s="90">
        <v>1.65</v>
      </c>
      <c r="AD43" s="90">
        <v>1.58</v>
      </c>
      <c r="AE43" s="90">
        <f>(AE32*1000)/AE41</f>
        <v>3.1578111400032305</v>
      </c>
      <c r="AF43" s="141">
        <f>SUM(AB43:AE43)</f>
        <v>7.8378111400032306</v>
      </c>
      <c r="AG43" s="169">
        <f t="shared" ref="AG43:AJ43" si="81">(AG32*1000)/AG41</f>
        <v>1.679045843309765</v>
      </c>
      <c r="AH43" s="170">
        <f t="shared" si="81"/>
        <v>1.7731569304093828</v>
      </c>
      <c r="AI43" s="170">
        <f t="shared" si="81"/>
        <v>1.9482000137059279</v>
      </c>
      <c r="AJ43" s="170">
        <f t="shared" si="81"/>
        <v>1.8957512420895186</v>
      </c>
      <c r="AK43" s="171">
        <f>SUM(AG43:AJ43)</f>
        <v>7.2961540295145948</v>
      </c>
      <c r="AL43" s="169">
        <f t="shared" ref="AL43:AO43" si="82">(AL32*1000)/AL41</f>
        <v>1.9455955075076841</v>
      </c>
      <c r="AM43" s="170">
        <f t="shared" si="82"/>
        <v>2.0702481842792615</v>
      </c>
      <c r="AN43" s="170">
        <f t="shared" si="82"/>
        <v>2.2426342822456338</v>
      </c>
      <c r="AO43" s="170">
        <f t="shared" si="82"/>
        <v>2.1169136498932257</v>
      </c>
      <c r="AP43" s="140">
        <f>SUM(AL43:AO43)</f>
        <v>8.3753916239258039</v>
      </c>
      <c r="AQ43" s="140">
        <f t="shared" ref="AQ43:AS43" si="83">(AQ32*1000)/AQ41</f>
        <v>8.9219498757600402</v>
      </c>
      <c r="AR43" s="140">
        <f t="shared" si="83"/>
        <v>9.2066364406856884</v>
      </c>
      <c r="AS43" s="141">
        <f t="shared" si="83"/>
        <v>9.1944433860250463</v>
      </c>
      <c r="AT43" s="45"/>
      <c r="AU43" s="10"/>
      <c r="AV43" s="10"/>
      <c r="AW43" s="10"/>
      <c r="AX43" s="10"/>
    </row>
    <row r="44" spans="1:50" ht="9.75" customHeight="1" x14ac:dyDescent="0.1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97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</row>
    <row r="45" spans="1:50" ht="9.75" customHeight="1" x14ac:dyDescent="0.1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</row>
    <row r="46" spans="1:50" ht="9.75" customHeight="1" x14ac:dyDescent="0.15">
      <c r="A46" s="10"/>
      <c r="B46" s="10" t="s">
        <v>137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72">
        <f t="shared" ref="M46:AD46" si="84">M14</f>
        <v>507.4</v>
      </c>
      <c r="N46" s="172">
        <f t="shared" si="84"/>
        <v>547.20000000000005</v>
      </c>
      <c r="O46" s="172">
        <f t="shared" si="84"/>
        <v>543.1</v>
      </c>
      <c r="P46" s="172">
        <f t="shared" si="84"/>
        <v>531</v>
      </c>
      <c r="Q46" s="118">
        <f t="shared" si="84"/>
        <v>2128.6999999999998</v>
      </c>
      <c r="R46" s="172">
        <f t="shared" si="84"/>
        <v>533</v>
      </c>
      <c r="S46" s="172">
        <f t="shared" si="84"/>
        <v>549.4</v>
      </c>
      <c r="T46" s="172">
        <f t="shared" si="84"/>
        <v>548</v>
      </c>
      <c r="U46" s="172">
        <f t="shared" si="84"/>
        <v>543.29999999999973</v>
      </c>
      <c r="V46" s="118">
        <f t="shared" si="84"/>
        <v>2173.6999999999998</v>
      </c>
      <c r="W46" s="172">
        <f t="shared" si="84"/>
        <v>544.1</v>
      </c>
      <c r="X46" s="172">
        <f t="shared" si="84"/>
        <v>530.29999999999995</v>
      </c>
      <c r="Y46" s="172">
        <f t="shared" si="84"/>
        <v>552.1</v>
      </c>
      <c r="Z46" s="172">
        <f t="shared" si="84"/>
        <v>563.09999999999991</v>
      </c>
      <c r="AA46" s="118">
        <f t="shared" si="84"/>
        <v>2189.6</v>
      </c>
      <c r="AB46" s="172">
        <f t="shared" si="84"/>
        <v>563.29999999999995</v>
      </c>
      <c r="AC46" s="172">
        <f t="shared" si="84"/>
        <v>623.29999999999995</v>
      </c>
      <c r="AD46" s="172">
        <f t="shared" si="84"/>
        <v>693.4</v>
      </c>
      <c r="AE46" s="173">
        <f>AE10*AE48</f>
        <v>613.03117200000008</v>
      </c>
      <c r="AF46" s="55">
        <f>AF47*AF48</f>
        <v>2595.3794160000002</v>
      </c>
      <c r="AG46" s="55"/>
      <c r="AH46" s="55"/>
      <c r="AI46" s="55"/>
      <c r="AJ46" s="55"/>
      <c r="AK46" s="55">
        <f>AK14</f>
        <v>2765.7654296376986</v>
      </c>
      <c r="AL46" s="55"/>
      <c r="AM46" s="55"/>
      <c r="AN46" s="55"/>
      <c r="AO46" s="55"/>
      <c r="AP46" s="55">
        <f>AP14</f>
        <v>3125.4625379860609</v>
      </c>
      <c r="AQ46" s="55"/>
      <c r="AR46" s="55"/>
      <c r="AS46" s="55"/>
      <c r="AT46" s="10"/>
      <c r="AU46" s="10"/>
      <c r="AV46" s="10"/>
      <c r="AW46" s="10"/>
      <c r="AX46" s="10"/>
    </row>
    <row r="47" spans="1:50" ht="9.75" customHeight="1" x14ac:dyDescent="0.15">
      <c r="A47" s="10"/>
      <c r="B47" s="10" t="s">
        <v>71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49">
        <f t="shared" ref="M47:AF47" si="85">M10</f>
        <v>1741.8000000000002</v>
      </c>
      <c r="N47" s="49">
        <f t="shared" si="85"/>
        <v>1780.9</v>
      </c>
      <c r="O47" s="49">
        <f t="shared" si="85"/>
        <v>1785.5</v>
      </c>
      <c r="P47" s="49">
        <f t="shared" si="85"/>
        <v>2131.9</v>
      </c>
      <c r="Q47" s="55">
        <f t="shared" si="85"/>
        <v>7440.0999999999995</v>
      </c>
      <c r="R47" s="49">
        <f t="shared" si="85"/>
        <v>1813.4</v>
      </c>
      <c r="S47" s="49">
        <f t="shared" si="85"/>
        <v>1888.7</v>
      </c>
      <c r="T47" s="49">
        <f t="shared" si="85"/>
        <v>1953.6</v>
      </c>
      <c r="U47" s="49">
        <f t="shared" si="85"/>
        <v>1924.5999999999992</v>
      </c>
      <c r="V47" s="55">
        <f t="shared" si="85"/>
        <v>7580.2999999999993</v>
      </c>
      <c r="W47" s="49">
        <f t="shared" si="85"/>
        <v>1992.9</v>
      </c>
      <c r="X47" s="49">
        <f t="shared" si="85"/>
        <v>1913</v>
      </c>
      <c r="Y47" s="49">
        <f t="shared" si="85"/>
        <v>2012.8999999999999</v>
      </c>
      <c r="Z47" s="49">
        <f t="shared" si="85"/>
        <v>2122.7000000000012</v>
      </c>
      <c r="AA47" s="55">
        <f t="shared" si="85"/>
        <v>8041.5</v>
      </c>
      <c r="AB47" s="49">
        <f t="shared" si="85"/>
        <v>2159.5</v>
      </c>
      <c r="AC47" s="49">
        <f t="shared" si="85"/>
        <v>2298.9</v>
      </c>
      <c r="AD47" s="49">
        <f t="shared" si="85"/>
        <v>2454.3000000000002</v>
      </c>
      <c r="AE47" s="55">
        <f t="shared" si="85"/>
        <v>2357.8122000000003</v>
      </c>
      <c r="AF47" s="55">
        <f t="shared" si="85"/>
        <v>9269.2121999999999</v>
      </c>
      <c r="AG47" s="55"/>
      <c r="AH47" s="55"/>
      <c r="AI47" s="55"/>
      <c r="AJ47" s="55"/>
      <c r="AK47" s="55">
        <f>AK10</f>
        <v>10478.423465799999</v>
      </c>
      <c r="AL47" s="55"/>
      <c r="AM47" s="55"/>
      <c r="AN47" s="55"/>
      <c r="AO47" s="55"/>
      <c r="AP47" s="55">
        <f>AP10</f>
        <v>12021.4128234414</v>
      </c>
      <c r="AQ47" s="55"/>
      <c r="AR47" s="55"/>
      <c r="AS47" s="55"/>
      <c r="AT47" s="10"/>
      <c r="AU47" s="10"/>
      <c r="AV47" s="10"/>
      <c r="AW47" s="10"/>
      <c r="AX47" s="10"/>
    </row>
    <row r="48" spans="1:50" ht="9.75" customHeight="1" x14ac:dyDescent="0.15">
      <c r="A48" s="10"/>
      <c r="B48" s="10" t="s">
        <v>138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43">
        <f t="shared" ref="M48:AD48" si="86">M46/M47</f>
        <v>0.29130784246182106</v>
      </c>
      <c r="N48" s="143">
        <f t="shared" si="86"/>
        <v>0.30726037396821831</v>
      </c>
      <c r="O48" s="143">
        <f t="shared" si="86"/>
        <v>0.304172500700084</v>
      </c>
      <c r="P48" s="143">
        <f t="shared" si="86"/>
        <v>0.24907359632252918</v>
      </c>
      <c r="Q48" s="143">
        <f t="shared" si="86"/>
        <v>0.28611174580986815</v>
      </c>
      <c r="R48" s="143">
        <f t="shared" si="86"/>
        <v>0.29392301753611999</v>
      </c>
      <c r="S48" s="143">
        <f t="shared" si="86"/>
        <v>0.29088791232064382</v>
      </c>
      <c r="T48" s="143">
        <f t="shared" si="86"/>
        <v>0.28050778050778052</v>
      </c>
      <c r="U48" s="143">
        <f t="shared" si="86"/>
        <v>0.28229242439987529</v>
      </c>
      <c r="V48" s="143">
        <f t="shared" si="86"/>
        <v>0.28675646082608869</v>
      </c>
      <c r="W48" s="143">
        <f t="shared" si="86"/>
        <v>0.27301921822469766</v>
      </c>
      <c r="X48" s="143">
        <f t="shared" si="86"/>
        <v>0.27720857292211182</v>
      </c>
      <c r="Y48" s="143">
        <f t="shared" si="86"/>
        <v>0.27428088827065433</v>
      </c>
      <c r="Z48" s="143">
        <f t="shared" si="86"/>
        <v>0.26527535685683307</v>
      </c>
      <c r="AA48" s="143">
        <f t="shared" si="86"/>
        <v>0.27228750854939998</v>
      </c>
      <c r="AB48" s="143">
        <f t="shared" si="86"/>
        <v>0.26084741838388514</v>
      </c>
      <c r="AC48" s="143">
        <f t="shared" si="86"/>
        <v>0.27112967071207966</v>
      </c>
      <c r="AD48" s="143">
        <f t="shared" si="86"/>
        <v>0.28252454875117139</v>
      </c>
      <c r="AE48" s="156">
        <v>0.26</v>
      </c>
      <c r="AF48" s="156">
        <v>0.28000000000000003</v>
      </c>
      <c r="AG48" s="156">
        <f t="shared" ref="AG48:AJ48" si="87">AB48-0.005</f>
        <v>0.25584741838388514</v>
      </c>
      <c r="AH48" s="156">
        <f t="shared" si="87"/>
        <v>0.26612967071207966</v>
      </c>
      <c r="AI48" s="156">
        <f t="shared" si="87"/>
        <v>0.27752454875117138</v>
      </c>
      <c r="AJ48" s="156">
        <f t="shared" si="87"/>
        <v>0.255</v>
      </c>
      <c r="AK48" s="156">
        <f>AK46/AK47</f>
        <v>0.26394862153307141</v>
      </c>
      <c r="AL48" s="156">
        <f t="shared" ref="AL48:AO48" si="88">AG48-0.004</f>
        <v>0.25184741838388514</v>
      </c>
      <c r="AM48" s="156">
        <f t="shared" si="88"/>
        <v>0.26212967071207965</v>
      </c>
      <c r="AN48" s="156">
        <f t="shared" si="88"/>
        <v>0.27352454875117138</v>
      </c>
      <c r="AO48" s="156">
        <f t="shared" si="88"/>
        <v>0.251</v>
      </c>
      <c r="AP48" s="156">
        <f>AP46/AP47</f>
        <v>0.25999128254638265</v>
      </c>
      <c r="AQ48" s="156">
        <v>0.26</v>
      </c>
      <c r="AR48" s="156">
        <v>0.26500000000000001</v>
      </c>
      <c r="AS48" s="156">
        <v>0.27</v>
      </c>
      <c r="AT48" s="10"/>
      <c r="AU48" s="10"/>
      <c r="AV48" s="10"/>
      <c r="AW48" s="10"/>
      <c r="AX48" s="10"/>
    </row>
    <row r="49" spans="1:50" ht="9.75" customHeight="1" x14ac:dyDescent="0.15">
      <c r="A49" s="10"/>
      <c r="B49" s="173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</row>
    <row r="50" spans="1:50" ht="9.75" customHeight="1" x14ac:dyDescent="0.15">
      <c r="A50" s="10"/>
      <c r="B50" s="58" t="s">
        <v>139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</row>
    <row r="51" spans="1:50" ht="9.75" customHeight="1" x14ac:dyDescent="0.15">
      <c r="A51" s="10"/>
      <c r="B51" s="10" t="s">
        <v>140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72">
        <f t="shared" ref="M51:AD51" si="89">M17</f>
        <v>204.9</v>
      </c>
      <c r="N51" s="172">
        <f t="shared" si="89"/>
        <v>157.9</v>
      </c>
      <c r="O51" s="172">
        <f t="shared" si="89"/>
        <v>177.9</v>
      </c>
      <c r="P51" s="172">
        <f t="shared" si="89"/>
        <v>192.5</v>
      </c>
      <c r="Q51" s="118">
        <f t="shared" si="89"/>
        <v>733.2</v>
      </c>
      <c r="R51" s="172">
        <f t="shared" si="89"/>
        <v>198.1</v>
      </c>
      <c r="S51" s="172">
        <f t="shared" si="89"/>
        <v>164.8</v>
      </c>
      <c r="T51" s="172">
        <f t="shared" si="89"/>
        <v>187.9</v>
      </c>
      <c r="U51" s="172">
        <f t="shared" si="89"/>
        <v>179.60000000000002</v>
      </c>
      <c r="V51" s="118">
        <f t="shared" si="89"/>
        <v>730.4</v>
      </c>
      <c r="W51" s="172">
        <f t="shared" si="89"/>
        <v>217.8</v>
      </c>
      <c r="X51" s="172">
        <f t="shared" si="89"/>
        <v>188.6</v>
      </c>
      <c r="Y51" s="172">
        <f t="shared" si="89"/>
        <v>176</v>
      </c>
      <c r="Z51" s="172">
        <f t="shared" si="89"/>
        <v>196.30000000000007</v>
      </c>
      <c r="AA51" s="118">
        <f t="shared" si="89"/>
        <v>778.7</v>
      </c>
      <c r="AB51" s="172">
        <f t="shared" si="89"/>
        <v>182.6</v>
      </c>
      <c r="AC51" s="172">
        <f t="shared" si="89"/>
        <v>207.2</v>
      </c>
      <c r="AD51" s="172">
        <f t="shared" si="89"/>
        <v>205.9</v>
      </c>
      <c r="AE51" s="173">
        <f>AE10*AE53</f>
        <v>207.48747360000002</v>
      </c>
      <c r="AF51" s="55">
        <f>AF52*AF53</f>
        <v>926.92122000000006</v>
      </c>
      <c r="AG51" s="55"/>
      <c r="AH51" s="55"/>
      <c r="AI51" s="55"/>
      <c r="AJ51" s="55"/>
      <c r="AK51" s="55">
        <f>AK17</f>
        <v>928.7458738191724</v>
      </c>
      <c r="AL51" s="55"/>
      <c r="AM51" s="55"/>
      <c r="AN51" s="55"/>
      <c r="AO51" s="55"/>
      <c r="AP51" s="55">
        <f>AP17</f>
        <v>1077.4646259825513</v>
      </c>
      <c r="AQ51" s="55"/>
      <c r="AR51" s="55"/>
      <c r="AS51" s="55"/>
      <c r="AT51" s="10"/>
      <c r="AU51" s="10"/>
      <c r="AV51" s="10"/>
      <c r="AW51" s="10"/>
      <c r="AX51" s="10"/>
    </row>
    <row r="52" spans="1:50" ht="9.75" customHeight="1" x14ac:dyDescent="0.15">
      <c r="A52" s="10"/>
      <c r="B52" s="10" t="s">
        <v>71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49">
        <f t="shared" ref="M52:AF52" si="90">M10</f>
        <v>1741.8000000000002</v>
      </c>
      <c r="N52" s="49">
        <f t="shared" si="90"/>
        <v>1780.9</v>
      </c>
      <c r="O52" s="49">
        <f t="shared" si="90"/>
        <v>1785.5</v>
      </c>
      <c r="P52" s="49">
        <f t="shared" si="90"/>
        <v>2131.9</v>
      </c>
      <c r="Q52" s="55">
        <f t="shared" si="90"/>
        <v>7440.0999999999995</v>
      </c>
      <c r="R52" s="49">
        <f t="shared" si="90"/>
        <v>1813.4</v>
      </c>
      <c r="S52" s="49">
        <f t="shared" si="90"/>
        <v>1888.7</v>
      </c>
      <c r="T52" s="49">
        <f t="shared" si="90"/>
        <v>1953.6</v>
      </c>
      <c r="U52" s="49">
        <f t="shared" si="90"/>
        <v>1924.5999999999992</v>
      </c>
      <c r="V52" s="55">
        <f t="shared" si="90"/>
        <v>7580.2999999999993</v>
      </c>
      <c r="W52" s="49">
        <f t="shared" si="90"/>
        <v>1992.9</v>
      </c>
      <c r="X52" s="49">
        <f t="shared" si="90"/>
        <v>1913</v>
      </c>
      <c r="Y52" s="49">
        <f t="shared" si="90"/>
        <v>2012.8999999999999</v>
      </c>
      <c r="Z52" s="49">
        <f t="shared" si="90"/>
        <v>2122.7000000000012</v>
      </c>
      <c r="AA52" s="55">
        <f t="shared" si="90"/>
        <v>8041.5</v>
      </c>
      <c r="AB52" s="49">
        <f t="shared" si="90"/>
        <v>2159.5</v>
      </c>
      <c r="AC52" s="49">
        <f t="shared" si="90"/>
        <v>2298.9</v>
      </c>
      <c r="AD52" s="49">
        <f t="shared" si="90"/>
        <v>2454.3000000000002</v>
      </c>
      <c r="AE52" s="55">
        <f t="shared" si="90"/>
        <v>2357.8122000000003</v>
      </c>
      <c r="AF52" s="55">
        <f t="shared" si="90"/>
        <v>9269.2121999999999</v>
      </c>
      <c r="AG52" s="55"/>
      <c r="AH52" s="55"/>
      <c r="AI52" s="55"/>
      <c r="AJ52" s="55"/>
      <c r="AK52" s="55">
        <f>AK10</f>
        <v>10478.423465799999</v>
      </c>
      <c r="AL52" s="55"/>
      <c r="AM52" s="55"/>
      <c r="AN52" s="55"/>
      <c r="AO52" s="55"/>
      <c r="AP52" s="55">
        <f>AP10</f>
        <v>12021.4128234414</v>
      </c>
      <c r="AQ52" s="55"/>
      <c r="AR52" s="55"/>
      <c r="AS52" s="55"/>
      <c r="AT52" s="10"/>
      <c r="AU52" s="10"/>
      <c r="AV52" s="10"/>
      <c r="AW52" s="10"/>
      <c r="AX52" s="10"/>
    </row>
    <row r="53" spans="1:50" ht="9.75" customHeight="1" x14ac:dyDescent="0.15">
      <c r="A53" s="10"/>
      <c r="B53" s="93" t="s">
        <v>141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43">
        <f t="shared" ref="M53:P53" si="91">M17/M10</f>
        <v>0.11763692731656905</v>
      </c>
      <c r="N53" s="143">
        <f t="shared" si="91"/>
        <v>8.8663035543826152E-2</v>
      </c>
      <c r="O53" s="143">
        <f t="shared" si="91"/>
        <v>9.9635956314757773E-2</v>
      </c>
      <c r="P53" s="143">
        <f t="shared" si="91"/>
        <v>9.0295041981331203E-2</v>
      </c>
      <c r="Q53" s="143">
        <f>Q51/Q52</f>
        <v>9.8547062539482005E-2</v>
      </c>
      <c r="R53" s="143">
        <f t="shared" ref="R53:U53" si="92">R17/R10</f>
        <v>0.10924230726811514</v>
      </c>
      <c r="S53" s="143">
        <f t="shared" si="92"/>
        <v>8.7255784401969613E-2</v>
      </c>
      <c r="T53" s="143">
        <f t="shared" si="92"/>
        <v>9.6181408681408689E-2</v>
      </c>
      <c r="U53" s="143">
        <f t="shared" si="92"/>
        <v>9.3318092071079758E-2</v>
      </c>
      <c r="V53" s="143">
        <f>V51/V52</f>
        <v>9.6355025526694199E-2</v>
      </c>
      <c r="W53" s="143">
        <f t="shared" ref="W53:Z53" si="93">W17/W10</f>
        <v>0.10928797230167094</v>
      </c>
      <c r="X53" s="143">
        <f t="shared" si="93"/>
        <v>9.858860428646106E-2</v>
      </c>
      <c r="Y53" s="143">
        <f t="shared" si="93"/>
        <v>8.7436037557752505E-2</v>
      </c>
      <c r="Z53" s="143">
        <f t="shared" si="93"/>
        <v>9.2476562868045398E-2</v>
      </c>
      <c r="AA53" s="143">
        <f>AA51/AA52</f>
        <v>9.6835167568239761E-2</v>
      </c>
      <c r="AB53" s="143">
        <f t="shared" ref="AB53:AD53" si="94">AB17/AB10</f>
        <v>8.4556610326464457E-2</v>
      </c>
      <c r="AC53" s="143">
        <f t="shared" si="94"/>
        <v>9.0130062203662611E-2</v>
      </c>
      <c r="AD53" s="143">
        <f t="shared" si="94"/>
        <v>8.3893574542639446E-2</v>
      </c>
      <c r="AE53" s="156">
        <v>8.7999999999999995E-2</v>
      </c>
      <c r="AF53" s="156">
        <v>0.1</v>
      </c>
      <c r="AG53" s="156">
        <f t="shared" ref="AG53:AJ53" si="95">AB53+0.002</f>
        <v>8.6556610326464459E-2</v>
      </c>
      <c r="AH53" s="156">
        <f t="shared" si="95"/>
        <v>9.2130062203662613E-2</v>
      </c>
      <c r="AI53" s="156">
        <f t="shared" si="95"/>
        <v>8.5893574542639448E-2</v>
      </c>
      <c r="AJ53" s="156">
        <f t="shared" si="95"/>
        <v>0.09</v>
      </c>
      <c r="AK53" s="156">
        <f>AK51/AK52</f>
        <v>8.8634122952795283E-2</v>
      </c>
      <c r="AL53" s="156">
        <f t="shared" ref="AL53:AO53" si="96">AG53+0.001</f>
        <v>8.755661032646446E-2</v>
      </c>
      <c r="AM53" s="156">
        <f t="shared" si="96"/>
        <v>9.3130062203662614E-2</v>
      </c>
      <c r="AN53" s="156">
        <f t="shared" si="96"/>
        <v>8.6893574542639448E-2</v>
      </c>
      <c r="AO53" s="156">
        <f t="shared" si="96"/>
        <v>9.0999999999999998E-2</v>
      </c>
      <c r="AP53" s="156">
        <f>AP51/AP52</f>
        <v>8.962878505274581E-2</v>
      </c>
      <c r="AQ53" s="156">
        <v>0.1</v>
      </c>
      <c r="AR53" s="156">
        <v>0.1</v>
      </c>
      <c r="AS53" s="156">
        <v>0.1</v>
      </c>
      <c r="AT53" s="10"/>
      <c r="AU53" s="10"/>
      <c r="AV53" s="10"/>
      <c r="AW53" s="10"/>
      <c r="AX53" s="10"/>
    </row>
    <row r="54" spans="1:50" ht="9.75" customHeight="1" x14ac:dyDescent="0.1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</row>
    <row r="55" spans="1:50" ht="9.75" customHeight="1" x14ac:dyDescent="0.15">
      <c r="A55" s="10"/>
      <c r="B55" s="10" t="s">
        <v>142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72">
        <f t="shared" ref="M55:AD55" si="97">M18</f>
        <v>167.8</v>
      </c>
      <c r="N55" s="172">
        <f t="shared" si="97"/>
        <v>67</v>
      </c>
      <c r="O55" s="172">
        <f t="shared" si="97"/>
        <v>34.799999999999997</v>
      </c>
      <c r="P55" s="172">
        <f t="shared" si="97"/>
        <v>243.69999999999993</v>
      </c>
      <c r="Q55" s="118">
        <f t="shared" si="97"/>
        <v>513.29999999999995</v>
      </c>
      <c r="R55" s="172">
        <f t="shared" si="97"/>
        <v>20.100000000000001</v>
      </c>
      <c r="S55" s="172">
        <f t="shared" si="97"/>
        <v>28.7</v>
      </c>
      <c r="T55" s="172">
        <f t="shared" si="97"/>
        <v>34.700000000000003</v>
      </c>
      <c r="U55" s="172">
        <f t="shared" si="97"/>
        <v>82.800000000000011</v>
      </c>
      <c r="V55" s="118">
        <f t="shared" si="97"/>
        <v>166.3</v>
      </c>
      <c r="W55" s="172">
        <f t="shared" si="97"/>
        <v>14.2</v>
      </c>
      <c r="X55" s="172">
        <f t="shared" si="97"/>
        <v>38.200000000000003</v>
      </c>
      <c r="Y55" s="172">
        <f t="shared" si="97"/>
        <v>15.3</v>
      </c>
      <c r="Z55" s="172">
        <f t="shared" si="97"/>
        <v>198.10000000000002</v>
      </c>
      <c r="AA55" s="118">
        <f t="shared" si="97"/>
        <v>265.8</v>
      </c>
      <c r="AB55" s="172">
        <f t="shared" si="97"/>
        <v>50.4</v>
      </c>
      <c r="AC55" s="172">
        <f t="shared" si="97"/>
        <v>39.799999999999997</v>
      </c>
      <c r="AD55" s="172">
        <f t="shared" si="97"/>
        <v>85.2</v>
      </c>
      <c r="AE55" s="173">
        <f>AE10*AE57</f>
        <v>70.734366000000009</v>
      </c>
      <c r="AF55" s="97">
        <f>AF56*AF57</f>
        <v>463.46061000000003</v>
      </c>
      <c r="AG55" s="97"/>
      <c r="AH55" s="97"/>
      <c r="AI55" s="97"/>
      <c r="AJ55" s="97"/>
      <c r="AK55" s="97">
        <f>AK18</f>
        <v>363.75409660031784</v>
      </c>
      <c r="AL55" s="97"/>
      <c r="AM55" s="97"/>
      <c r="AN55" s="97"/>
      <c r="AO55" s="97"/>
      <c r="AP55" s="97">
        <f>AP18</f>
        <v>477.4253921770233</v>
      </c>
      <c r="AQ55" s="97"/>
      <c r="AR55" s="97"/>
      <c r="AS55" s="97"/>
      <c r="AT55" s="10"/>
      <c r="AU55" s="10"/>
      <c r="AV55" s="10"/>
      <c r="AW55" s="10"/>
      <c r="AX55" s="10"/>
    </row>
    <row r="56" spans="1:50" ht="9.75" customHeight="1" x14ac:dyDescent="0.15">
      <c r="A56" s="10"/>
      <c r="B56" s="10" t="s">
        <v>71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49">
        <f t="shared" ref="M56:P56" si="98">M10</f>
        <v>1741.8000000000002</v>
      </c>
      <c r="N56" s="49">
        <f t="shared" si="98"/>
        <v>1780.9</v>
      </c>
      <c r="O56" s="49">
        <f t="shared" si="98"/>
        <v>1785.5</v>
      </c>
      <c r="P56" s="49">
        <f t="shared" si="98"/>
        <v>2131.9</v>
      </c>
      <c r="Q56" s="55">
        <f>Q52</f>
        <v>7440.0999999999995</v>
      </c>
      <c r="R56" s="49">
        <f t="shared" ref="R56:U56" si="99">R10</f>
        <v>1813.4</v>
      </c>
      <c r="S56" s="49">
        <f t="shared" si="99"/>
        <v>1888.7</v>
      </c>
      <c r="T56" s="49">
        <f t="shared" si="99"/>
        <v>1953.6</v>
      </c>
      <c r="U56" s="49">
        <f t="shared" si="99"/>
        <v>1924.5999999999992</v>
      </c>
      <c r="V56" s="55">
        <f>V52</f>
        <v>7580.2999999999993</v>
      </c>
      <c r="W56" s="49">
        <f t="shared" ref="W56:Z56" si="100">W10</f>
        <v>1992.9</v>
      </c>
      <c r="X56" s="49">
        <f t="shared" si="100"/>
        <v>1913</v>
      </c>
      <c r="Y56" s="49">
        <f t="shared" si="100"/>
        <v>2012.8999999999999</v>
      </c>
      <c r="Z56" s="49">
        <f t="shared" si="100"/>
        <v>2122.7000000000012</v>
      </c>
      <c r="AA56" s="55">
        <f>AA52</f>
        <v>8041.5</v>
      </c>
      <c r="AB56" s="49">
        <f t="shared" ref="AB56:AD56" si="101">AB10</f>
        <v>2159.5</v>
      </c>
      <c r="AC56" s="49">
        <f t="shared" si="101"/>
        <v>2298.9</v>
      </c>
      <c r="AD56" s="49">
        <f t="shared" si="101"/>
        <v>2454.3000000000002</v>
      </c>
      <c r="AE56" s="55">
        <f t="shared" ref="AE56:AF56" si="102">AE52</f>
        <v>2357.8122000000003</v>
      </c>
      <c r="AF56" s="55">
        <f t="shared" si="102"/>
        <v>9269.2121999999999</v>
      </c>
      <c r="AG56" s="55"/>
      <c r="AH56" s="55"/>
      <c r="AI56" s="55"/>
      <c r="AJ56" s="55"/>
      <c r="AK56" s="55">
        <f>AK10</f>
        <v>10478.423465799999</v>
      </c>
      <c r="AL56" s="55"/>
      <c r="AM56" s="55"/>
      <c r="AN56" s="55"/>
      <c r="AO56" s="55"/>
      <c r="AP56" s="55">
        <f>AP52</f>
        <v>12021.4128234414</v>
      </c>
      <c r="AQ56" s="55"/>
      <c r="AR56" s="55"/>
      <c r="AS56" s="55"/>
      <c r="AT56" s="10"/>
      <c r="AU56" s="10"/>
      <c r="AV56" s="10"/>
      <c r="AW56" s="10"/>
      <c r="AX56" s="10"/>
    </row>
    <row r="57" spans="1:50" ht="9.75" customHeight="1" x14ac:dyDescent="0.15">
      <c r="A57" s="10"/>
      <c r="B57" s="10" t="s">
        <v>143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43">
        <f t="shared" ref="M57:AD57" si="103">M55/M56</f>
        <v>9.6337122516936505E-2</v>
      </c>
      <c r="N57" s="143">
        <f t="shared" si="103"/>
        <v>3.7621427368184621E-2</v>
      </c>
      <c r="O57" s="143">
        <f t="shared" si="103"/>
        <v>1.9490338840660877E-2</v>
      </c>
      <c r="P57" s="143">
        <f t="shared" si="103"/>
        <v>0.11431117782259952</v>
      </c>
      <c r="Q57" s="143">
        <f t="shared" si="103"/>
        <v>6.8991008185373848E-2</v>
      </c>
      <c r="R57" s="143">
        <f t="shared" si="103"/>
        <v>1.1084151317966251E-2</v>
      </c>
      <c r="S57" s="143">
        <f t="shared" si="103"/>
        <v>1.51956372107799E-2</v>
      </c>
      <c r="T57" s="143">
        <f t="shared" si="103"/>
        <v>1.7762080262080263E-2</v>
      </c>
      <c r="U57" s="143">
        <f t="shared" si="103"/>
        <v>4.3021926634105812E-2</v>
      </c>
      <c r="V57" s="143">
        <f t="shared" si="103"/>
        <v>2.1938445707953516E-2</v>
      </c>
      <c r="W57" s="143">
        <f t="shared" si="103"/>
        <v>7.1252947965276727E-3</v>
      </c>
      <c r="X57" s="143">
        <f t="shared" si="103"/>
        <v>1.9968635650810248E-2</v>
      </c>
      <c r="Y57" s="143">
        <f t="shared" si="103"/>
        <v>7.6009737195091671E-3</v>
      </c>
      <c r="Z57" s="143">
        <f t="shared" si="103"/>
        <v>9.3324539501578138E-2</v>
      </c>
      <c r="AA57" s="143">
        <f t="shared" si="103"/>
        <v>3.3053534788285772E-2</v>
      </c>
      <c r="AB57" s="143">
        <f t="shared" si="103"/>
        <v>2.3338735818476498E-2</v>
      </c>
      <c r="AC57" s="143">
        <f t="shared" si="103"/>
        <v>1.7312627778502759E-2</v>
      </c>
      <c r="AD57" s="143">
        <f t="shared" si="103"/>
        <v>3.4714582569368047E-2</v>
      </c>
      <c r="AE57" s="156">
        <v>0.03</v>
      </c>
      <c r="AF57" s="156">
        <v>0.05</v>
      </c>
      <c r="AG57" s="156">
        <f t="shared" ref="AG57:AJ57" si="104">$AD$57</f>
        <v>3.4714582569368047E-2</v>
      </c>
      <c r="AH57" s="156">
        <f t="shared" si="104"/>
        <v>3.4714582569368047E-2</v>
      </c>
      <c r="AI57" s="156">
        <f t="shared" si="104"/>
        <v>3.4714582569368047E-2</v>
      </c>
      <c r="AJ57" s="156">
        <f t="shared" si="104"/>
        <v>3.4714582569368047E-2</v>
      </c>
      <c r="AK57" s="156">
        <f>AK55/AK56</f>
        <v>3.4714582569368053E-2</v>
      </c>
      <c r="AL57" s="156">
        <f t="shared" ref="AL57:AO57" si="105">AG57+0.005</f>
        <v>3.9714582569368044E-2</v>
      </c>
      <c r="AM57" s="156">
        <f t="shared" si="105"/>
        <v>3.9714582569368044E-2</v>
      </c>
      <c r="AN57" s="156">
        <f t="shared" si="105"/>
        <v>3.9714582569368044E-2</v>
      </c>
      <c r="AO57" s="156">
        <f t="shared" si="105"/>
        <v>3.9714582569368044E-2</v>
      </c>
      <c r="AP57" s="156">
        <f>AP55/AP56</f>
        <v>3.9714582569368044E-2</v>
      </c>
      <c r="AQ57" s="156">
        <v>4.2000000000000003E-2</v>
      </c>
      <c r="AR57" s="156">
        <f t="shared" ref="AR57:AS57" si="106">AQ57+0.0025</f>
        <v>4.4500000000000005E-2</v>
      </c>
      <c r="AS57" s="156">
        <f t="shared" si="106"/>
        <v>4.7000000000000007E-2</v>
      </c>
      <c r="AT57" s="10"/>
      <c r="AU57" s="10"/>
      <c r="AV57" s="10"/>
      <c r="AW57" s="10"/>
      <c r="AX57" s="10"/>
    </row>
    <row r="58" spans="1:50" ht="9.75" customHeight="1" x14ac:dyDescent="0.1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</row>
    <row r="59" spans="1:50" ht="9.75" customHeight="1" x14ac:dyDescent="0.1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</row>
    <row r="60" spans="1:50" ht="9.75" customHeight="1" x14ac:dyDescent="0.15">
      <c r="A60" s="10"/>
      <c r="B60" s="10" t="s">
        <v>144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72">
        <f t="shared" ref="M60:AD60" si="107">M24</f>
        <v>-199.6</v>
      </c>
      <c r="N60" s="172">
        <f t="shared" si="107"/>
        <v>-207.9</v>
      </c>
      <c r="O60" s="172">
        <f t="shared" si="107"/>
        <v>-209.2</v>
      </c>
      <c r="P60" s="172">
        <f t="shared" si="107"/>
        <v>-208.79999999999995</v>
      </c>
      <c r="Q60" s="118">
        <f t="shared" si="107"/>
        <v>-825.5</v>
      </c>
      <c r="R60" s="172">
        <f t="shared" si="107"/>
        <v>-207.5</v>
      </c>
      <c r="S60" s="172">
        <f t="shared" si="107"/>
        <v>-204.5</v>
      </c>
      <c r="T60" s="172">
        <f t="shared" si="107"/>
        <v>-201.3</v>
      </c>
      <c r="U60" s="172">
        <f t="shared" si="107"/>
        <v>-200.90000000000009</v>
      </c>
      <c r="V60" s="118">
        <f t="shared" si="107"/>
        <v>-814.2</v>
      </c>
      <c r="W60" s="172">
        <f t="shared" si="107"/>
        <v>-208.8</v>
      </c>
      <c r="X60" s="172">
        <f t="shared" si="107"/>
        <v>-197.7</v>
      </c>
      <c r="Y60" s="172">
        <f t="shared" si="107"/>
        <v>-190.9</v>
      </c>
      <c r="Z60" s="172">
        <f t="shared" si="107"/>
        <v>-196.10000000000002</v>
      </c>
      <c r="AA60" s="118">
        <f t="shared" si="107"/>
        <v>-793.5</v>
      </c>
      <c r="AB60" s="172">
        <f t="shared" si="107"/>
        <v>-207</v>
      </c>
      <c r="AC60" s="172">
        <f t="shared" si="107"/>
        <v>-213.7</v>
      </c>
      <c r="AD60" s="172">
        <f t="shared" si="107"/>
        <v>-226.1</v>
      </c>
      <c r="AE60" s="10"/>
      <c r="AF60" s="55">
        <f>AF61*-AF62</f>
        <v>-1019.613342</v>
      </c>
      <c r="AG60" s="55"/>
      <c r="AH60" s="55"/>
      <c r="AI60" s="55"/>
      <c r="AJ60" s="55"/>
      <c r="AK60" s="97">
        <f>AK24</f>
        <v>-965.31456856023306</v>
      </c>
      <c r="AL60" s="55"/>
      <c r="AM60" s="55"/>
      <c r="AN60" s="55"/>
      <c r="AO60" s="55"/>
      <c r="AP60" s="55">
        <f>AP27</f>
        <v>-1204.7645622959674</v>
      </c>
      <c r="AQ60" s="55"/>
      <c r="AR60" s="55"/>
      <c r="AS60" s="55"/>
      <c r="AT60" s="10"/>
      <c r="AU60" s="10"/>
      <c r="AV60" s="10"/>
      <c r="AW60" s="10"/>
      <c r="AX60" s="10"/>
    </row>
    <row r="61" spans="1:50" ht="9.75" customHeight="1" x14ac:dyDescent="0.15">
      <c r="A61" s="10"/>
      <c r="B61" s="10" t="s">
        <v>71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49">
        <f t="shared" ref="M61:P61" si="108">M10</f>
        <v>1741.8000000000002</v>
      </c>
      <c r="N61" s="49">
        <f t="shared" si="108"/>
        <v>1780.9</v>
      </c>
      <c r="O61" s="49">
        <f t="shared" si="108"/>
        <v>1785.5</v>
      </c>
      <c r="P61" s="49">
        <f t="shared" si="108"/>
        <v>2131.9</v>
      </c>
      <c r="Q61" s="55">
        <f>Q47</f>
        <v>7440.0999999999995</v>
      </c>
      <c r="R61" s="49">
        <f t="shared" ref="R61:U61" si="109">R10</f>
        <v>1813.4</v>
      </c>
      <c r="S61" s="49">
        <f t="shared" si="109"/>
        <v>1888.7</v>
      </c>
      <c r="T61" s="49">
        <f t="shared" si="109"/>
        <v>1953.6</v>
      </c>
      <c r="U61" s="49">
        <f t="shared" si="109"/>
        <v>1924.5999999999992</v>
      </c>
      <c r="V61" s="55">
        <f>V47</f>
        <v>7580.2999999999993</v>
      </c>
      <c r="W61" s="49">
        <f t="shared" ref="W61:Z61" si="110">W10</f>
        <v>1992.9</v>
      </c>
      <c r="X61" s="49">
        <f t="shared" si="110"/>
        <v>1913</v>
      </c>
      <c r="Y61" s="49">
        <f t="shared" si="110"/>
        <v>2012.8999999999999</v>
      </c>
      <c r="Z61" s="49">
        <f t="shared" si="110"/>
        <v>2122.7000000000012</v>
      </c>
      <c r="AA61" s="55">
        <f>AA47</f>
        <v>8041.5</v>
      </c>
      <c r="AB61" s="49">
        <f t="shared" ref="AB61:AD61" si="111">AB10</f>
        <v>2159.5</v>
      </c>
      <c r="AC61" s="49">
        <f t="shared" si="111"/>
        <v>2298.9</v>
      </c>
      <c r="AD61" s="49">
        <f t="shared" si="111"/>
        <v>2454.3000000000002</v>
      </c>
      <c r="AE61" s="55">
        <f t="shared" ref="AE61:AF61" si="112">AE47</f>
        <v>2357.8122000000003</v>
      </c>
      <c r="AF61" s="55">
        <f t="shared" si="112"/>
        <v>9269.2121999999999</v>
      </c>
      <c r="AG61" s="55"/>
      <c r="AH61" s="55"/>
      <c r="AI61" s="55"/>
      <c r="AJ61" s="55"/>
      <c r="AK61" s="55">
        <f>AK10</f>
        <v>10478.423465799999</v>
      </c>
      <c r="AL61" s="55"/>
      <c r="AM61" s="55"/>
      <c r="AN61" s="55"/>
      <c r="AO61" s="55"/>
      <c r="AP61" s="55">
        <f>AP47</f>
        <v>12021.4128234414</v>
      </c>
      <c r="AQ61" s="55"/>
      <c r="AR61" s="55"/>
      <c r="AS61" s="55"/>
      <c r="AT61" s="10"/>
      <c r="AU61" s="10"/>
      <c r="AV61" s="10"/>
      <c r="AW61" s="10"/>
      <c r="AX61" s="10"/>
    </row>
    <row r="62" spans="1:50" ht="9.75" customHeight="1" x14ac:dyDescent="0.15">
      <c r="A62" s="10"/>
      <c r="B62" s="10" t="s">
        <v>143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43">
        <f t="shared" ref="M62:P62" si="113">M60/M61</f>
        <v>-0.11459409805947869</v>
      </c>
      <c r="N62" s="143">
        <f t="shared" si="113"/>
        <v>-0.11673872760963558</v>
      </c>
      <c r="O62" s="143">
        <f t="shared" si="113"/>
        <v>-0.11716605992719126</v>
      </c>
      <c r="P62" s="143">
        <f t="shared" si="113"/>
        <v>-9.7940803977672478E-2</v>
      </c>
      <c r="Q62" s="143">
        <f>-Q60/Q61</f>
        <v>0.11095280977406219</v>
      </c>
      <c r="R62" s="143">
        <f t="shared" ref="R62:U62" si="114">R60/R61</f>
        <v>-0.11442594022278592</v>
      </c>
      <c r="S62" s="143">
        <f t="shared" si="114"/>
        <v>-0.10827553343569651</v>
      </c>
      <c r="T62" s="143">
        <f t="shared" si="114"/>
        <v>-0.10304054054054056</v>
      </c>
      <c r="U62" s="143">
        <f t="shared" si="114"/>
        <v>-0.10438532682115773</v>
      </c>
      <c r="V62" s="143">
        <f>-V60/V61</f>
        <v>0.10740999696581931</v>
      </c>
      <c r="W62" s="143">
        <f t="shared" ref="W62:Z62" si="115">W60/W61</f>
        <v>-0.10477194038837874</v>
      </c>
      <c r="X62" s="143">
        <f t="shared" si="115"/>
        <v>-0.10334553058024046</v>
      </c>
      <c r="Y62" s="143">
        <f t="shared" si="115"/>
        <v>-9.4838293010084965E-2</v>
      </c>
      <c r="Z62" s="143">
        <f t="shared" si="115"/>
        <v>-9.2382343242097292E-2</v>
      </c>
      <c r="AA62" s="143">
        <f>-AA60/AA61</f>
        <v>9.8675620220108187E-2</v>
      </c>
      <c r="AB62" s="143">
        <f t="shared" ref="AB62:AD62" si="116">AB60/AB61</f>
        <v>-9.5855522111599908E-2</v>
      </c>
      <c r="AC62" s="143">
        <f t="shared" si="116"/>
        <v>-9.2957501413719598E-2</v>
      </c>
      <c r="AD62" s="143">
        <f t="shared" si="116"/>
        <v>-9.2124027217536555E-2</v>
      </c>
      <c r="AE62" s="156">
        <v>-0.09</v>
      </c>
      <c r="AF62" s="156">
        <v>0.11</v>
      </c>
      <c r="AG62" s="156">
        <f t="shared" ref="AG62:AJ62" si="117">$AD$62</f>
        <v>-9.2124027217536555E-2</v>
      </c>
      <c r="AH62" s="156">
        <f t="shared" si="117"/>
        <v>-9.2124027217536555E-2</v>
      </c>
      <c r="AI62" s="156">
        <f t="shared" si="117"/>
        <v>-9.2124027217536555E-2</v>
      </c>
      <c r="AJ62" s="156">
        <f t="shared" si="117"/>
        <v>-9.2124027217536555E-2</v>
      </c>
      <c r="AK62" s="156">
        <f>AK60/AK61</f>
        <v>-9.2124027217536583E-2</v>
      </c>
      <c r="AL62" s="156">
        <f>AG62-0.005</f>
        <v>-9.712402721753656E-2</v>
      </c>
      <c r="AM62" s="156">
        <f>AH62-0.0035</f>
        <v>-9.5624027217536559E-2</v>
      </c>
      <c r="AN62" s="156">
        <f>AI62-0.01</f>
        <v>-0.10212402721753655</v>
      </c>
      <c r="AO62" s="156">
        <f>AJ62-0.0135</f>
        <v>-0.10562402721753655</v>
      </c>
      <c r="AP62" s="156">
        <f>AP60/AP61</f>
        <v>-0.10021821727531992</v>
      </c>
      <c r="AQ62" s="156">
        <v>0.105</v>
      </c>
      <c r="AR62" s="156">
        <v>0.11</v>
      </c>
      <c r="AS62" s="156">
        <v>0.115</v>
      </c>
      <c r="AT62" s="10"/>
      <c r="AU62" s="10"/>
      <c r="AV62" s="10"/>
      <c r="AW62" s="10"/>
      <c r="AX62" s="10"/>
    </row>
    <row r="63" spans="1:50" ht="9.75" customHeight="1" x14ac:dyDescent="0.1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</row>
    <row r="64" spans="1:50" ht="9.75" customHeight="1" x14ac:dyDescent="0.15">
      <c r="A64" s="10"/>
      <c r="B64" s="10" t="s">
        <v>41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 t="s">
        <v>145</v>
      </c>
      <c r="N64" s="10" t="s">
        <v>145</v>
      </c>
      <c r="O64" s="10" t="s">
        <v>145</v>
      </c>
      <c r="P64" s="10" t="s">
        <v>145</v>
      </c>
      <c r="Q64" s="10" t="s">
        <v>145</v>
      </c>
      <c r="R64" s="10" t="s">
        <v>145</v>
      </c>
      <c r="S64" s="10" t="s">
        <v>145</v>
      </c>
      <c r="T64" s="10" t="s">
        <v>145</v>
      </c>
      <c r="U64" s="10" t="s">
        <v>145</v>
      </c>
      <c r="V64" s="10" t="s">
        <v>145</v>
      </c>
      <c r="W64" s="10" t="s">
        <v>145</v>
      </c>
      <c r="X64" s="10" t="s">
        <v>145</v>
      </c>
      <c r="Y64" s="10" t="s">
        <v>145</v>
      </c>
      <c r="Z64" s="10" t="s">
        <v>145</v>
      </c>
      <c r="AA64" s="10" t="s">
        <v>145</v>
      </c>
      <c r="AB64" s="10" t="s">
        <v>145</v>
      </c>
      <c r="AC64" s="10" t="s">
        <v>145</v>
      </c>
      <c r="AD64" s="10" t="s">
        <v>145</v>
      </c>
      <c r="AE64" s="10" t="s">
        <v>145</v>
      </c>
      <c r="AF64" s="10" t="s">
        <v>145</v>
      </c>
      <c r="AG64" s="10" t="s">
        <v>145</v>
      </c>
      <c r="AH64" s="10" t="s">
        <v>145</v>
      </c>
      <c r="AI64" s="10" t="s">
        <v>145</v>
      </c>
      <c r="AJ64" s="10" t="s">
        <v>145</v>
      </c>
      <c r="AK64" s="10" t="s">
        <v>145</v>
      </c>
      <c r="AL64" s="10" t="s">
        <v>145</v>
      </c>
      <c r="AM64" s="10" t="s">
        <v>145</v>
      </c>
      <c r="AN64" s="10" t="s">
        <v>145</v>
      </c>
      <c r="AO64" s="10" t="s">
        <v>145</v>
      </c>
      <c r="AP64" s="10"/>
      <c r="AQ64" s="10"/>
      <c r="AR64" s="10"/>
      <c r="AS64" s="10"/>
      <c r="AT64" s="10"/>
      <c r="AU64" s="10"/>
      <c r="AV64" s="10"/>
      <c r="AW64" s="10"/>
      <c r="AX64" s="10"/>
    </row>
    <row r="65" spans="1:50" ht="9.75" customHeight="1" x14ac:dyDescent="0.15">
      <c r="A65" s="10"/>
      <c r="B65" s="10" t="s">
        <v>146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31">
        <f t="shared" ref="M65:AD65" si="118">M16</f>
        <v>446.3</v>
      </c>
      <c r="N65" s="131">
        <f t="shared" si="118"/>
        <v>449.7</v>
      </c>
      <c r="O65" s="131">
        <f t="shared" si="118"/>
        <v>448.9</v>
      </c>
      <c r="P65" s="131">
        <f t="shared" si="118"/>
        <v>765.90000000000009</v>
      </c>
      <c r="Q65" s="131">
        <f t="shared" si="118"/>
        <v>2110.8000000000002</v>
      </c>
      <c r="R65" s="131">
        <f t="shared" si="118"/>
        <v>436.9</v>
      </c>
      <c r="S65" s="131">
        <f t="shared" si="118"/>
        <v>448.9</v>
      </c>
      <c r="T65" s="131">
        <f t="shared" si="118"/>
        <v>442.8</v>
      </c>
      <c r="U65" s="131">
        <f t="shared" si="118"/>
        <v>449.80000000000018</v>
      </c>
      <c r="V65" s="131">
        <f t="shared" si="118"/>
        <v>1778.4</v>
      </c>
      <c r="W65" s="131">
        <f t="shared" si="118"/>
        <v>472.3</v>
      </c>
      <c r="X65" s="131">
        <f t="shared" si="118"/>
        <v>454.9</v>
      </c>
      <c r="Y65" s="131">
        <f t="shared" si="118"/>
        <v>473.9</v>
      </c>
      <c r="Z65" s="131">
        <f t="shared" si="118"/>
        <v>481.20000000000005</v>
      </c>
      <c r="AA65" s="131">
        <f t="shared" si="118"/>
        <v>1882.3</v>
      </c>
      <c r="AB65" s="131">
        <f t="shared" si="118"/>
        <v>522.5</v>
      </c>
      <c r="AC65" s="131">
        <f t="shared" si="118"/>
        <v>554.79999999999995</v>
      </c>
      <c r="AD65" s="131">
        <f t="shared" si="118"/>
        <v>611.4</v>
      </c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</row>
    <row r="66" spans="1:50" ht="9.75" customHeight="1" x14ac:dyDescent="0.15">
      <c r="A66" s="10"/>
      <c r="B66" s="10" t="s">
        <v>147</v>
      </c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74" t="e">
        <f t="shared" ref="M66:AD66" si="119">M65/M64</f>
        <v>#VALUE!</v>
      </c>
      <c r="N66" s="174" t="e">
        <f t="shared" si="119"/>
        <v>#VALUE!</v>
      </c>
      <c r="O66" s="174" t="e">
        <f t="shared" si="119"/>
        <v>#VALUE!</v>
      </c>
      <c r="P66" s="174" t="e">
        <f t="shared" si="119"/>
        <v>#VALUE!</v>
      </c>
      <c r="Q66" s="174" t="e">
        <f t="shared" si="119"/>
        <v>#VALUE!</v>
      </c>
      <c r="R66" s="174" t="e">
        <f t="shared" si="119"/>
        <v>#VALUE!</v>
      </c>
      <c r="S66" s="174" t="e">
        <f t="shared" si="119"/>
        <v>#VALUE!</v>
      </c>
      <c r="T66" s="174" t="e">
        <f t="shared" si="119"/>
        <v>#VALUE!</v>
      </c>
      <c r="U66" s="174" t="e">
        <f t="shared" si="119"/>
        <v>#VALUE!</v>
      </c>
      <c r="V66" s="174" t="e">
        <f t="shared" si="119"/>
        <v>#VALUE!</v>
      </c>
      <c r="W66" s="174" t="e">
        <f t="shared" si="119"/>
        <v>#VALUE!</v>
      </c>
      <c r="X66" s="174" t="e">
        <f t="shared" si="119"/>
        <v>#VALUE!</v>
      </c>
      <c r="Y66" s="174" t="e">
        <f t="shared" si="119"/>
        <v>#VALUE!</v>
      </c>
      <c r="Z66" s="174" t="e">
        <f t="shared" si="119"/>
        <v>#VALUE!</v>
      </c>
      <c r="AA66" s="174" t="e">
        <f t="shared" si="119"/>
        <v>#VALUE!</v>
      </c>
      <c r="AB66" s="174" t="e">
        <f t="shared" si="119"/>
        <v>#VALUE!</v>
      </c>
      <c r="AC66" s="174" t="e">
        <f t="shared" si="119"/>
        <v>#VALUE!</v>
      </c>
      <c r="AD66" s="174" t="e">
        <f t="shared" si="119"/>
        <v>#VALUE!</v>
      </c>
      <c r="AE66" s="156" t="e">
        <f>AB66</f>
        <v>#VALUE!</v>
      </c>
      <c r="AF66" s="156"/>
      <c r="AG66" s="156" t="e">
        <f t="shared" ref="AG66:AJ66" si="120">$AD$66</f>
        <v>#VALUE!</v>
      </c>
      <c r="AH66" s="156" t="e">
        <f t="shared" si="120"/>
        <v>#VALUE!</v>
      </c>
      <c r="AI66" s="156" t="e">
        <f t="shared" si="120"/>
        <v>#VALUE!</v>
      </c>
      <c r="AJ66" s="156" t="e">
        <f t="shared" si="120"/>
        <v>#VALUE!</v>
      </c>
      <c r="AK66" s="156"/>
      <c r="AL66" s="156" t="e">
        <f t="shared" ref="AL66:AO66" si="121">AG66+0.002</f>
        <v>#VALUE!</v>
      </c>
      <c r="AM66" s="156" t="e">
        <f t="shared" si="121"/>
        <v>#VALUE!</v>
      </c>
      <c r="AN66" s="156" t="e">
        <f t="shared" si="121"/>
        <v>#VALUE!</v>
      </c>
      <c r="AO66" s="156" t="e">
        <f t="shared" si="121"/>
        <v>#VALUE!</v>
      </c>
      <c r="AP66" s="156"/>
      <c r="AQ66" s="156"/>
      <c r="AR66" s="156"/>
      <c r="AS66" s="156"/>
      <c r="AT66" s="10"/>
      <c r="AU66" s="10"/>
      <c r="AV66" s="10"/>
      <c r="AW66" s="10"/>
      <c r="AX66" s="10"/>
    </row>
    <row r="67" spans="1:50" ht="9.75" customHeight="1" x14ac:dyDescent="0.1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</row>
    <row r="68" spans="1:50" ht="9.75" customHeight="1" x14ac:dyDescent="0.1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</row>
    <row r="69" spans="1:50" ht="9.75" customHeight="1" x14ac:dyDescent="0.1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</row>
    <row r="70" spans="1:50" ht="9.75" customHeight="1" x14ac:dyDescent="0.1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</row>
    <row r="71" spans="1:50" ht="9.75" customHeight="1" x14ac:dyDescent="0.1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</row>
    <row r="72" spans="1:50" ht="9.75" customHeight="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</row>
    <row r="73" spans="1:50" ht="9.75" customHeight="1" x14ac:dyDescent="0.1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</row>
    <row r="74" spans="1:50" ht="9.75" customHeight="1" x14ac:dyDescent="0.1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</row>
    <row r="75" spans="1:50" ht="9.75" customHeight="1" x14ac:dyDescent="0.1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</row>
    <row r="76" spans="1:50" ht="9.75" customHeight="1" x14ac:dyDescent="0.1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</row>
    <row r="77" spans="1:50" ht="9.75" customHeight="1" x14ac:dyDescent="0.1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</row>
    <row r="78" spans="1:50" ht="9.75" customHeight="1" x14ac:dyDescent="0.1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</row>
    <row r="79" spans="1:50" ht="9.75" customHeight="1" x14ac:dyDescent="0.1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</row>
    <row r="80" spans="1:50" ht="9.75" customHeight="1" x14ac:dyDescent="0.1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</row>
    <row r="81" spans="1:50" ht="9.75" customHeight="1" x14ac:dyDescent="0.1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</row>
    <row r="82" spans="1:50" ht="9.75" customHeight="1" x14ac:dyDescent="0.1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</row>
    <row r="83" spans="1:50" ht="9.75" customHeight="1" x14ac:dyDescent="0.1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</row>
    <row r="84" spans="1:50" ht="9.75" customHeight="1" x14ac:dyDescent="0.1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</row>
    <row r="85" spans="1:50" ht="9.75" customHeight="1" x14ac:dyDescent="0.1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</row>
    <row r="86" spans="1:50" ht="9.75" customHeight="1" x14ac:dyDescent="0.1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</row>
    <row r="87" spans="1:50" ht="9.75" customHeight="1" x14ac:dyDescent="0.1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</row>
    <row r="88" spans="1:50" ht="9.75" customHeight="1" x14ac:dyDescent="0.1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</row>
    <row r="89" spans="1:50" ht="9.75" customHeight="1" x14ac:dyDescent="0.1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</row>
    <row r="90" spans="1:50" ht="9.75" customHeight="1" x14ac:dyDescent="0.1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</row>
    <row r="91" spans="1:50" ht="9.75" customHeight="1" x14ac:dyDescent="0.1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</row>
    <row r="92" spans="1:50" ht="9.75" customHeight="1" x14ac:dyDescent="0.1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</row>
    <row r="93" spans="1:50" ht="9.7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</row>
    <row r="94" spans="1:50" ht="9.75" customHeight="1" x14ac:dyDescent="0.1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</row>
    <row r="95" spans="1:50" ht="9.75" customHeight="1" x14ac:dyDescent="0.1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</row>
    <row r="96" spans="1:50" ht="9.75" customHeight="1" x14ac:dyDescent="0.1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</row>
    <row r="97" spans="1:50" ht="9.75" customHeight="1" x14ac:dyDescent="0.1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</row>
    <row r="98" spans="1:50" ht="9.75" customHeight="1" x14ac:dyDescent="0.1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</row>
    <row r="99" spans="1:50" ht="9.75" customHeight="1" x14ac:dyDescent="0.1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</row>
    <row r="100" spans="1:50" ht="9.75" customHeight="1" x14ac:dyDescent="0.1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</row>
    <row r="101" spans="1:50" ht="9.75" customHeight="1" x14ac:dyDescent="0.1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</row>
    <row r="102" spans="1:50" ht="9.75" customHeight="1" x14ac:dyDescent="0.1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</row>
    <row r="103" spans="1:50" ht="9.75" customHeight="1" x14ac:dyDescent="0.1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</row>
    <row r="104" spans="1:50" ht="9.75" customHeight="1" x14ac:dyDescent="0.1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</row>
    <row r="105" spans="1:50" ht="9.75" customHeight="1" x14ac:dyDescent="0.1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</row>
    <row r="106" spans="1:50" ht="9.75" customHeight="1" x14ac:dyDescent="0.1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</row>
    <row r="107" spans="1:50" ht="9.75" customHeight="1" x14ac:dyDescent="0.1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</row>
    <row r="108" spans="1:50" ht="9.75" customHeight="1" x14ac:dyDescent="0.1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</row>
    <row r="109" spans="1:50" ht="9.75" customHeight="1" x14ac:dyDescent="0.1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</row>
    <row r="110" spans="1:50" ht="9.75" customHeight="1" x14ac:dyDescent="0.1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</row>
    <row r="111" spans="1:50" ht="9.75" customHeight="1" x14ac:dyDescent="0.1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</row>
    <row r="112" spans="1:50" ht="9.75" customHeight="1" x14ac:dyDescent="0.1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</row>
    <row r="113" spans="1:50" ht="9.75" customHeight="1" x14ac:dyDescent="0.1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</row>
    <row r="114" spans="1:50" ht="9.75" customHeight="1" x14ac:dyDescent="0.1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</row>
    <row r="115" spans="1:50" ht="9.75" customHeight="1" x14ac:dyDescent="0.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</row>
    <row r="116" spans="1:50" ht="9.75" customHeight="1" x14ac:dyDescent="0.1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</row>
    <row r="117" spans="1:50" ht="9.75" customHeight="1" x14ac:dyDescent="0.1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</row>
    <row r="118" spans="1:50" ht="9.75" customHeight="1" x14ac:dyDescent="0.1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</row>
    <row r="119" spans="1:50" ht="9.75" customHeight="1" x14ac:dyDescent="0.1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</row>
    <row r="120" spans="1:50" ht="9.75" customHeight="1" x14ac:dyDescent="0.1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</row>
    <row r="121" spans="1:50" ht="9.75" customHeight="1" x14ac:dyDescent="0.1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</row>
    <row r="122" spans="1:50" ht="9.75" customHeight="1" x14ac:dyDescent="0.1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</row>
    <row r="123" spans="1:50" ht="9.75" customHeight="1" x14ac:dyDescent="0.1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</row>
    <row r="124" spans="1:50" ht="9.75" customHeight="1" x14ac:dyDescent="0.1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</row>
    <row r="125" spans="1:50" ht="9.75" customHeight="1" x14ac:dyDescent="0.1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</row>
    <row r="126" spans="1:50" ht="9.75" customHeight="1" x14ac:dyDescent="0.1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</row>
    <row r="127" spans="1:50" ht="9.75" customHeight="1" x14ac:dyDescent="0.1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</row>
    <row r="128" spans="1:50" ht="9.75" customHeight="1" x14ac:dyDescent="0.1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</row>
    <row r="129" spans="1:50" ht="9.75" customHeight="1" x14ac:dyDescent="0.1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</row>
    <row r="130" spans="1:50" ht="9.75" customHeight="1" x14ac:dyDescent="0.1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</row>
    <row r="131" spans="1:50" ht="9.75" customHeight="1" x14ac:dyDescent="0.1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</row>
    <row r="132" spans="1:50" ht="9.75" customHeight="1" x14ac:dyDescent="0.1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</row>
    <row r="133" spans="1:50" ht="9.75" customHeight="1" x14ac:dyDescent="0.1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</row>
    <row r="134" spans="1:50" ht="9.75" customHeight="1" x14ac:dyDescent="0.1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</row>
    <row r="135" spans="1:50" ht="9.75" customHeight="1" x14ac:dyDescent="0.1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</row>
    <row r="136" spans="1:50" ht="9.75" customHeight="1" x14ac:dyDescent="0.1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</row>
    <row r="137" spans="1:50" ht="9.75" customHeight="1" x14ac:dyDescent="0.1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</row>
    <row r="138" spans="1:50" ht="9.75" customHeight="1" x14ac:dyDescent="0.1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</row>
    <row r="139" spans="1:50" ht="9.75" customHeight="1" x14ac:dyDescent="0.1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</row>
    <row r="140" spans="1:50" ht="9.75" customHeight="1" x14ac:dyDescent="0.1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</row>
    <row r="141" spans="1:50" ht="9.75" customHeight="1" x14ac:dyDescent="0.1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</row>
    <row r="142" spans="1:50" ht="9.75" customHeight="1" x14ac:dyDescent="0.1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</row>
    <row r="143" spans="1:50" ht="9.75" customHeight="1" x14ac:dyDescent="0.1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</row>
    <row r="144" spans="1:50" ht="9.75" customHeight="1" x14ac:dyDescent="0.1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</row>
    <row r="145" spans="1:50" ht="9.75" customHeight="1" x14ac:dyDescent="0.1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</row>
    <row r="146" spans="1:50" ht="9.75" customHeight="1" x14ac:dyDescent="0.1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</row>
    <row r="147" spans="1:50" ht="9.75" customHeight="1" x14ac:dyDescent="0.1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</row>
    <row r="148" spans="1:50" ht="9.75" customHeight="1" x14ac:dyDescent="0.1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</row>
    <row r="149" spans="1:50" ht="9.75" customHeight="1" x14ac:dyDescent="0.1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</row>
    <row r="150" spans="1:50" ht="9.75" customHeight="1" x14ac:dyDescent="0.1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</row>
    <row r="151" spans="1:50" ht="9.75" customHeight="1" x14ac:dyDescent="0.1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</row>
    <row r="152" spans="1:50" ht="9.75" customHeight="1" x14ac:dyDescent="0.1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</row>
    <row r="153" spans="1:50" ht="9.75" customHeight="1" x14ac:dyDescent="0.1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</row>
    <row r="154" spans="1:50" ht="9.75" customHeight="1" x14ac:dyDescent="0.1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</row>
    <row r="155" spans="1:50" ht="9.75" customHeight="1" x14ac:dyDescent="0.1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</row>
    <row r="156" spans="1:50" ht="9.75" customHeight="1" x14ac:dyDescent="0.1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</row>
    <row r="157" spans="1:50" ht="9.75" customHeight="1" x14ac:dyDescent="0.1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</row>
    <row r="158" spans="1:50" ht="9.75" customHeight="1" x14ac:dyDescent="0.1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</row>
    <row r="159" spans="1:50" ht="9.75" customHeight="1" x14ac:dyDescent="0.1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</row>
    <row r="160" spans="1:50" ht="9.75" customHeight="1" x14ac:dyDescent="0.1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</row>
    <row r="161" spans="1:50" ht="9.75" customHeight="1" x14ac:dyDescent="0.1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</row>
    <row r="162" spans="1:50" ht="9.75" customHeight="1" x14ac:dyDescent="0.1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</row>
    <row r="163" spans="1:50" ht="9.75" customHeight="1" x14ac:dyDescent="0.1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</row>
    <row r="164" spans="1:50" ht="9.75" customHeight="1" x14ac:dyDescent="0.1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</row>
    <row r="165" spans="1:50" ht="9.75" customHeight="1" x14ac:dyDescent="0.1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</row>
    <row r="166" spans="1:50" ht="9.75" customHeight="1" x14ac:dyDescent="0.1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</row>
    <row r="167" spans="1:50" ht="9.75" customHeight="1" x14ac:dyDescent="0.1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</row>
    <row r="168" spans="1:50" ht="9.75" customHeight="1" x14ac:dyDescent="0.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</row>
    <row r="169" spans="1:50" ht="9.75" customHeight="1" x14ac:dyDescent="0.1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</row>
    <row r="170" spans="1:50" ht="9.75" customHeight="1" x14ac:dyDescent="0.1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</row>
    <row r="171" spans="1:50" ht="9.75" customHeight="1" x14ac:dyDescent="0.1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</row>
    <row r="172" spans="1:50" ht="9.75" customHeight="1" x14ac:dyDescent="0.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</row>
    <row r="173" spans="1:50" ht="9.75" customHeight="1" x14ac:dyDescent="0.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</row>
    <row r="174" spans="1:50" ht="9.75" customHeight="1" x14ac:dyDescent="0.1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</row>
    <row r="175" spans="1:50" ht="9.75" customHeight="1" x14ac:dyDescent="0.1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</row>
    <row r="176" spans="1:50" ht="9.75" customHeight="1" x14ac:dyDescent="0.1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</row>
    <row r="177" spans="1:50" ht="9.75" customHeight="1" x14ac:dyDescent="0.1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</row>
    <row r="178" spans="1:50" ht="9.75" customHeight="1" x14ac:dyDescent="0.1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</row>
    <row r="179" spans="1:50" ht="9.75" customHeight="1" x14ac:dyDescent="0.1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</row>
    <row r="180" spans="1:50" ht="9.75" customHeight="1" x14ac:dyDescent="0.1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</row>
    <row r="181" spans="1:50" ht="9.75" customHeight="1" x14ac:dyDescent="0.1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</row>
    <row r="182" spans="1:50" ht="9.75" customHeight="1" x14ac:dyDescent="0.1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</row>
    <row r="183" spans="1:50" ht="9.75" customHeight="1" x14ac:dyDescent="0.1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</row>
    <row r="184" spans="1:50" ht="9.75" customHeight="1" x14ac:dyDescent="0.1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</row>
    <row r="185" spans="1:50" ht="9.75" customHeight="1" x14ac:dyDescent="0.1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</row>
    <row r="186" spans="1:50" ht="9.75" customHeight="1" x14ac:dyDescent="0.1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</row>
    <row r="187" spans="1:50" ht="9.75" customHeight="1" x14ac:dyDescent="0.1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</row>
    <row r="188" spans="1:50" ht="9.75" customHeight="1" x14ac:dyDescent="0.1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</row>
    <row r="189" spans="1:50" ht="9.75" customHeight="1" x14ac:dyDescent="0.1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</row>
    <row r="190" spans="1:50" ht="9.75" customHeight="1" x14ac:dyDescent="0.1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</row>
    <row r="191" spans="1:50" ht="9.75" customHeight="1" x14ac:dyDescent="0.1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</row>
    <row r="192" spans="1:50" ht="9.75" customHeight="1" x14ac:dyDescent="0.1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</row>
    <row r="193" spans="1:50" ht="9.75" customHeight="1" x14ac:dyDescent="0.1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</row>
    <row r="194" spans="1:50" ht="9.75" customHeight="1" x14ac:dyDescent="0.1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</row>
    <row r="195" spans="1:50" ht="9.75" customHeight="1" x14ac:dyDescent="0.1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</row>
    <row r="196" spans="1:50" ht="9.75" customHeight="1" x14ac:dyDescent="0.1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</row>
    <row r="197" spans="1:50" ht="9.75" customHeight="1" x14ac:dyDescent="0.1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</row>
    <row r="198" spans="1:50" ht="9.75" customHeight="1" x14ac:dyDescent="0.1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</row>
    <row r="199" spans="1:50" ht="9.75" customHeight="1" x14ac:dyDescent="0.1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</row>
    <row r="200" spans="1:50" ht="9.75" customHeight="1" x14ac:dyDescent="0.1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</row>
    <row r="201" spans="1:50" ht="9.75" customHeight="1" x14ac:dyDescent="0.1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</row>
    <row r="202" spans="1:50" ht="9.75" customHeight="1" x14ac:dyDescent="0.1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</row>
    <row r="203" spans="1:50" ht="9.75" customHeight="1" x14ac:dyDescent="0.1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</row>
    <row r="204" spans="1:50" ht="9.75" customHeight="1" x14ac:dyDescent="0.1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</row>
    <row r="205" spans="1:50" ht="9.75" customHeight="1" x14ac:dyDescent="0.1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</row>
    <row r="206" spans="1:50" ht="9.75" customHeight="1" x14ac:dyDescent="0.1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</row>
    <row r="207" spans="1:50" ht="9.75" customHeight="1" x14ac:dyDescent="0.1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</row>
    <row r="208" spans="1:50" ht="9.75" customHeight="1" x14ac:dyDescent="0.1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</row>
    <row r="209" spans="1:50" ht="9.75" customHeight="1" x14ac:dyDescent="0.1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</row>
    <row r="210" spans="1:50" ht="9.75" customHeight="1" x14ac:dyDescent="0.1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</row>
    <row r="211" spans="1:50" ht="9.75" customHeight="1" x14ac:dyDescent="0.1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</row>
    <row r="212" spans="1:50" ht="9.75" customHeight="1" x14ac:dyDescent="0.1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</row>
    <row r="213" spans="1:50" ht="9.75" customHeight="1" x14ac:dyDescent="0.1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</row>
    <row r="214" spans="1:50" ht="9.75" customHeight="1" x14ac:dyDescent="0.1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</row>
    <row r="215" spans="1:50" ht="9.75" customHeight="1" x14ac:dyDescent="0.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</row>
    <row r="216" spans="1:50" ht="9.75" customHeight="1" x14ac:dyDescent="0.1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</row>
    <row r="217" spans="1:50" ht="9.75" customHeight="1" x14ac:dyDescent="0.1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</row>
    <row r="218" spans="1:50" ht="9.75" customHeight="1" x14ac:dyDescent="0.1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</row>
    <row r="219" spans="1:50" ht="9.75" customHeight="1" x14ac:dyDescent="0.1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</row>
    <row r="220" spans="1:50" ht="9.75" customHeight="1" x14ac:dyDescent="0.1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</row>
    <row r="221" spans="1:50" ht="9.75" customHeight="1" x14ac:dyDescent="0.1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</row>
    <row r="222" spans="1:50" ht="9.75" customHeight="1" x14ac:dyDescent="0.1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</row>
    <row r="223" spans="1:50" ht="9.75" customHeight="1" x14ac:dyDescent="0.1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</row>
    <row r="224" spans="1:50" ht="9.75" customHeight="1" x14ac:dyDescent="0.1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</row>
    <row r="225" spans="1:50" ht="9.75" customHeight="1" x14ac:dyDescent="0.1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</row>
    <row r="226" spans="1:50" ht="9.75" customHeight="1" x14ac:dyDescent="0.1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</row>
    <row r="227" spans="1:50" ht="9.75" customHeight="1" x14ac:dyDescent="0.1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</row>
    <row r="228" spans="1:50" ht="9.75" customHeight="1" x14ac:dyDescent="0.1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</row>
    <row r="229" spans="1:50" ht="9.75" customHeight="1" x14ac:dyDescent="0.1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</row>
    <row r="230" spans="1:50" ht="9.75" customHeight="1" x14ac:dyDescent="0.1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</row>
    <row r="231" spans="1:50" ht="9.75" customHeight="1" x14ac:dyDescent="0.1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</row>
    <row r="232" spans="1:50" ht="9.75" customHeight="1" x14ac:dyDescent="0.1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</row>
    <row r="233" spans="1:50" ht="9.75" customHeight="1" x14ac:dyDescent="0.1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</row>
    <row r="234" spans="1:50" ht="9.75" customHeight="1" x14ac:dyDescent="0.1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</row>
    <row r="235" spans="1:50" ht="9.75" customHeight="1" x14ac:dyDescent="0.1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</row>
    <row r="236" spans="1:50" ht="9.75" customHeight="1" x14ac:dyDescent="0.1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</row>
    <row r="237" spans="1:50" ht="9.75" customHeight="1" x14ac:dyDescent="0.1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</row>
    <row r="238" spans="1:50" ht="9.75" customHeight="1" x14ac:dyDescent="0.1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</row>
    <row r="239" spans="1:50" ht="9.75" customHeight="1" x14ac:dyDescent="0.1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</row>
    <row r="240" spans="1:50" ht="9.75" customHeight="1" x14ac:dyDescent="0.1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</row>
    <row r="241" spans="1:50" ht="9.75" customHeight="1" x14ac:dyDescent="0.1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</row>
    <row r="242" spans="1:50" ht="9.75" customHeight="1" x14ac:dyDescent="0.1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</row>
    <row r="243" spans="1:50" ht="9.75" customHeight="1" x14ac:dyDescent="0.1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</row>
    <row r="244" spans="1:50" ht="9.75" customHeight="1" x14ac:dyDescent="0.1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</row>
    <row r="245" spans="1:50" ht="9.75" customHeight="1" x14ac:dyDescent="0.1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</row>
    <row r="246" spans="1:50" ht="9.75" customHeight="1" x14ac:dyDescent="0.1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</row>
    <row r="247" spans="1:50" ht="9.75" customHeight="1" x14ac:dyDescent="0.1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</row>
    <row r="248" spans="1:50" ht="9.75" customHeight="1" x14ac:dyDescent="0.1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</row>
    <row r="249" spans="1:50" ht="9.75" customHeight="1" x14ac:dyDescent="0.1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</row>
    <row r="250" spans="1:50" ht="9.75" customHeight="1" x14ac:dyDescent="0.1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</row>
    <row r="251" spans="1:50" ht="9.75" customHeight="1" x14ac:dyDescent="0.1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</row>
    <row r="252" spans="1:50" ht="9.75" customHeight="1" x14ac:dyDescent="0.1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</row>
    <row r="253" spans="1:50" ht="9.75" customHeight="1" x14ac:dyDescent="0.1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</row>
    <row r="254" spans="1:50" ht="9.75" customHeight="1" x14ac:dyDescent="0.1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</row>
    <row r="255" spans="1:50" ht="9.75" customHeight="1" x14ac:dyDescent="0.1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</row>
    <row r="256" spans="1:50" ht="9.75" customHeight="1" x14ac:dyDescent="0.1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</row>
    <row r="257" spans="1:50" ht="9.75" customHeight="1" x14ac:dyDescent="0.1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</row>
    <row r="258" spans="1:50" ht="9.75" customHeight="1" x14ac:dyDescent="0.1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</row>
    <row r="259" spans="1:50" ht="9.75" customHeight="1" x14ac:dyDescent="0.1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</row>
    <row r="260" spans="1:50" ht="9.75" customHeight="1" x14ac:dyDescent="0.1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</row>
    <row r="261" spans="1:50" ht="9.75" customHeight="1" x14ac:dyDescent="0.1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</row>
    <row r="262" spans="1:50" ht="9.75" customHeight="1" x14ac:dyDescent="0.1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</row>
    <row r="263" spans="1:50" ht="9.75" customHeight="1" x14ac:dyDescent="0.1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</row>
    <row r="264" spans="1:50" ht="9.75" customHeight="1" x14ac:dyDescent="0.1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</row>
    <row r="265" spans="1:50" ht="9.75" customHeight="1" x14ac:dyDescent="0.1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</row>
    <row r="266" spans="1:50" ht="9.75" customHeight="1" x14ac:dyDescent="0.1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</row>
    <row r="267" spans="1:50" ht="15.75" customHeight="1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spans="1:50" ht="15.75" customHeight="1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spans="1:50" ht="15.75" customHeight="1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spans="1:50" ht="15.75" customHeight="1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spans="1:50" ht="15.75" customHeight="1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0" ht="15.75" customHeight="1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spans="18:41" ht="15.75" customHeight="1" x14ac:dyDescent="0.15"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8:41" ht="15.75" customHeight="1" x14ac:dyDescent="0.15"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8:41" ht="15.75" customHeight="1" x14ac:dyDescent="0.15"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8:41" ht="15.75" customHeight="1" x14ac:dyDescent="0.15"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8:41" ht="15.75" customHeight="1" x14ac:dyDescent="0.15"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8:41" ht="15.75" customHeight="1" x14ac:dyDescent="0.15"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8:41" ht="15.75" customHeight="1" x14ac:dyDescent="0.15"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8:41" ht="15.75" customHeight="1" x14ac:dyDescent="0.15"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8:41" ht="15.75" customHeight="1" x14ac:dyDescent="0.15"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8:41" ht="15.75" customHeight="1" x14ac:dyDescent="0.15"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8:41" ht="15.75" customHeight="1" x14ac:dyDescent="0.15"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8:41" ht="15.75" customHeight="1" x14ac:dyDescent="0.15"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8:41" ht="15.75" customHeight="1" x14ac:dyDescent="0.15"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8:41" ht="15.75" customHeight="1" x14ac:dyDescent="0.15"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8:41" ht="15.75" customHeight="1" x14ac:dyDescent="0.15"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8:41" ht="15.75" customHeight="1" x14ac:dyDescent="0.15"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8:41" ht="15.75" customHeight="1" x14ac:dyDescent="0.15"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8:41" ht="15.75" customHeight="1" x14ac:dyDescent="0.15"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8:41" ht="15.75" customHeight="1" x14ac:dyDescent="0.15"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8:41" ht="15.75" customHeight="1" x14ac:dyDescent="0.15"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8:41" ht="15.75" customHeight="1" x14ac:dyDescent="0.15"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8:41" ht="15.75" customHeight="1" x14ac:dyDescent="0.15"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8:41" ht="15.75" customHeight="1" x14ac:dyDescent="0.15"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8:41" ht="15.75" customHeight="1" x14ac:dyDescent="0.15"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8:41" ht="15.75" customHeight="1" x14ac:dyDescent="0.15"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8:41" ht="15.75" customHeight="1" x14ac:dyDescent="0.15"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8:41" ht="15.75" customHeight="1" x14ac:dyDescent="0.15"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8:41" ht="15.75" customHeight="1" x14ac:dyDescent="0.15"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8:41" ht="15.75" customHeight="1" x14ac:dyDescent="0.15"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8:41" ht="15.75" customHeight="1" x14ac:dyDescent="0.15"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8:41" ht="15.75" customHeight="1" x14ac:dyDescent="0.15"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8:41" ht="15.75" customHeight="1" x14ac:dyDescent="0.15"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8:41" ht="15.75" customHeight="1" x14ac:dyDescent="0.15"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8:41" ht="15.75" customHeight="1" x14ac:dyDescent="0.15"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8:41" ht="15.75" customHeight="1" x14ac:dyDescent="0.15"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8:41" ht="15.75" customHeight="1" x14ac:dyDescent="0.15"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8:41" ht="15.75" customHeight="1" x14ac:dyDescent="0.15"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8:41" ht="15.75" customHeight="1" x14ac:dyDescent="0.15"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8:41" ht="15.75" customHeight="1" x14ac:dyDescent="0.15"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8:41" ht="15.75" customHeight="1" x14ac:dyDescent="0.15"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8:41" ht="15.75" customHeight="1" x14ac:dyDescent="0.15"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8:41" ht="15.75" customHeight="1" x14ac:dyDescent="0.15"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8:41" ht="15.75" customHeight="1" x14ac:dyDescent="0.15"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8:41" ht="15.75" customHeight="1" x14ac:dyDescent="0.15"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8:41" ht="15.75" customHeight="1" x14ac:dyDescent="0.15"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8:41" ht="15.75" customHeight="1" x14ac:dyDescent="0.15"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8:41" ht="15.75" customHeight="1" x14ac:dyDescent="0.15"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8:41" ht="15.75" customHeight="1" x14ac:dyDescent="0.15"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8:41" ht="15.75" customHeight="1" x14ac:dyDescent="0.15"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8:41" ht="15.75" customHeight="1" x14ac:dyDescent="0.15"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8:41" ht="15.75" customHeight="1" x14ac:dyDescent="0.15"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8:41" ht="15.75" customHeight="1" x14ac:dyDescent="0.15"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8:41" ht="15.75" customHeight="1" x14ac:dyDescent="0.15"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8:41" ht="15.75" customHeight="1" x14ac:dyDescent="0.15"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8:41" ht="15.75" customHeight="1" x14ac:dyDescent="0.15"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8:41" ht="15.75" customHeight="1" x14ac:dyDescent="0.15"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8:41" ht="15.75" customHeight="1" x14ac:dyDescent="0.15"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8:41" ht="15.75" customHeight="1" x14ac:dyDescent="0.15"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8:41" ht="15.75" customHeight="1" x14ac:dyDescent="0.15"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8:41" ht="15.75" customHeight="1" x14ac:dyDescent="0.15"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8:41" ht="15.75" customHeight="1" x14ac:dyDescent="0.15"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8:41" ht="15.75" customHeight="1" x14ac:dyDescent="0.15"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8:41" ht="15.75" customHeight="1" x14ac:dyDescent="0.15"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8:41" ht="15.75" customHeight="1" x14ac:dyDescent="0.15"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8:41" ht="15.75" customHeight="1" x14ac:dyDescent="0.15"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8:41" ht="15.75" customHeight="1" x14ac:dyDescent="0.15"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8:41" ht="15.75" customHeight="1" x14ac:dyDescent="0.15"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8:41" ht="15.75" customHeight="1" x14ac:dyDescent="0.15"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8:41" ht="15.75" customHeight="1" x14ac:dyDescent="0.15"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8:41" ht="15.75" customHeight="1" x14ac:dyDescent="0.15"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8:41" ht="15.75" customHeight="1" x14ac:dyDescent="0.15"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8:41" ht="15.75" customHeight="1" x14ac:dyDescent="0.15"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8:41" ht="15.75" customHeight="1" x14ac:dyDescent="0.15"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8:41" ht="15.75" customHeight="1" x14ac:dyDescent="0.15"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8:41" ht="15.75" customHeight="1" x14ac:dyDescent="0.15"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8:41" ht="15.75" customHeight="1" x14ac:dyDescent="0.15"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8:41" ht="15.75" customHeight="1" x14ac:dyDescent="0.15"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8:41" ht="15.75" customHeight="1" x14ac:dyDescent="0.15"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8:41" ht="15.75" customHeight="1" x14ac:dyDescent="0.15"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8:41" ht="15.75" customHeight="1" x14ac:dyDescent="0.15"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8:41" ht="15.75" customHeight="1" x14ac:dyDescent="0.15"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8:41" ht="15.75" customHeight="1" x14ac:dyDescent="0.15"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8:41" ht="15.75" customHeight="1" x14ac:dyDescent="0.15"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8:41" ht="15.75" customHeight="1" x14ac:dyDescent="0.15"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8:41" ht="15.75" customHeight="1" x14ac:dyDescent="0.15"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8:41" ht="15.75" customHeight="1" x14ac:dyDescent="0.15"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8:41" ht="15.75" customHeight="1" x14ac:dyDescent="0.15"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8:41" ht="15.75" customHeight="1" x14ac:dyDescent="0.15"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8:41" ht="15.75" customHeight="1" x14ac:dyDescent="0.15"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8:41" ht="15.75" customHeight="1" x14ac:dyDescent="0.15"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8:41" ht="15.75" customHeight="1" x14ac:dyDescent="0.15"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8:41" ht="15.75" customHeight="1" x14ac:dyDescent="0.15"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8:41" ht="15.75" customHeight="1" x14ac:dyDescent="0.15"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8:41" ht="15.75" customHeight="1" x14ac:dyDescent="0.15"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8:41" ht="15.75" customHeight="1" x14ac:dyDescent="0.15"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8:41" ht="15.75" customHeight="1" x14ac:dyDescent="0.15"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8:41" ht="15.75" customHeight="1" x14ac:dyDescent="0.15"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8:41" ht="15.75" customHeight="1" x14ac:dyDescent="0.15"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8:41" ht="15.75" customHeight="1" x14ac:dyDescent="0.15"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8:41" ht="15.75" customHeight="1" x14ac:dyDescent="0.15"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8:41" ht="15.75" customHeight="1" x14ac:dyDescent="0.15"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8:41" ht="15.75" customHeight="1" x14ac:dyDescent="0.15"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8:41" ht="15.75" customHeight="1" x14ac:dyDescent="0.15"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8:41" ht="15.75" customHeight="1" x14ac:dyDescent="0.15"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8:41" ht="15.75" customHeight="1" x14ac:dyDescent="0.15"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8:41" ht="15.75" customHeight="1" x14ac:dyDescent="0.15"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8:41" ht="15.75" customHeight="1" x14ac:dyDescent="0.15"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8:41" ht="15.75" customHeight="1" x14ac:dyDescent="0.15"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8:41" ht="15.75" customHeight="1" x14ac:dyDescent="0.15"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8:41" ht="15.75" customHeight="1" x14ac:dyDescent="0.15"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8:41" ht="15.75" customHeight="1" x14ac:dyDescent="0.15"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8:41" ht="15.75" customHeight="1" x14ac:dyDescent="0.15"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8:41" ht="15.75" customHeight="1" x14ac:dyDescent="0.15"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8:41" ht="15.75" customHeight="1" x14ac:dyDescent="0.15"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8:41" ht="15.75" customHeight="1" x14ac:dyDescent="0.15"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8:41" ht="15.75" customHeight="1" x14ac:dyDescent="0.15"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8:41" ht="15.75" customHeight="1" x14ac:dyDescent="0.15"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8:41" ht="15.75" customHeight="1" x14ac:dyDescent="0.15"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8:41" ht="15.75" customHeight="1" x14ac:dyDescent="0.15"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8:41" ht="15.75" customHeight="1" x14ac:dyDescent="0.15"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8:41" ht="15.75" customHeight="1" x14ac:dyDescent="0.15"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8:41" ht="15.75" customHeight="1" x14ac:dyDescent="0.15"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8:41" ht="15.75" customHeight="1" x14ac:dyDescent="0.15"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8:41" ht="15.75" customHeight="1" x14ac:dyDescent="0.15"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8:41" ht="15.75" customHeight="1" x14ac:dyDescent="0.15"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8:41" ht="15.75" customHeight="1" x14ac:dyDescent="0.15"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8:41" ht="15.75" customHeight="1" x14ac:dyDescent="0.15"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8:41" ht="15.75" customHeight="1" x14ac:dyDescent="0.15"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8:41" ht="15.75" customHeight="1" x14ac:dyDescent="0.15"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8:41" ht="15.75" customHeight="1" x14ac:dyDescent="0.15"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8:41" ht="15.75" customHeight="1" x14ac:dyDescent="0.15"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8:41" ht="15.75" customHeight="1" x14ac:dyDescent="0.15"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8:41" ht="15.75" customHeight="1" x14ac:dyDescent="0.15"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8:41" ht="15.75" customHeight="1" x14ac:dyDescent="0.15"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8:41" ht="15.75" customHeight="1" x14ac:dyDescent="0.15"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8:41" ht="15.75" customHeight="1" x14ac:dyDescent="0.15"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8:41" ht="15.75" customHeight="1" x14ac:dyDescent="0.15"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8:41" ht="15.75" customHeight="1" x14ac:dyDescent="0.15"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8:41" ht="15.75" customHeight="1" x14ac:dyDescent="0.15"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8:41" ht="15.75" customHeight="1" x14ac:dyDescent="0.15"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8:41" ht="15.75" customHeight="1" x14ac:dyDescent="0.15"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8:41" ht="15.75" customHeight="1" x14ac:dyDescent="0.15"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8:41" ht="15.75" customHeight="1" x14ac:dyDescent="0.15"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8:41" ht="15.75" customHeight="1" x14ac:dyDescent="0.15"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8:41" ht="15.75" customHeight="1" x14ac:dyDescent="0.15"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8:41" ht="15.75" customHeight="1" x14ac:dyDescent="0.15"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8:41" ht="15.75" customHeight="1" x14ac:dyDescent="0.15"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8:41" ht="15.75" customHeight="1" x14ac:dyDescent="0.15"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8:41" ht="15.75" customHeight="1" x14ac:dyDescent="0.15"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8:41" ht="15.75" customHeight="1" x14ac:dyDescent="0.15"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8:41" ht="15.75" customHeight="1" x14ac:dyDescent="0.15"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8:41" ht="15.75" customHeight="1" x14ac:dyDescent="0.15"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8:41" ht="15.75" customHeight="1" x14ac:dyDescent="0.15"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8:41" ht="15.75" customHeight="1" x14ac:dyDescent="0.15"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8:41" ht="15.75" customHeight="1" x14ac:dyDescent="0.15"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8:41" ht="15.75" customHeight="1" x14ac:dyDescent="0.15"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8:41" ht="15.75" customHeight="1" x14ac:dyDescent="0.15"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8:41" ht="15.75" customHeight="1" x14ac:dyDescent="0.15"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8:41" ht="15.75" customHeight="1" x14ac:dyDescent="0.15"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8:41" ht="15.75" customHeight="1" x14ac:dyDescent="0.15"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8:41" ht="15.75" customHeight="1" x14ac:dyDescent="0.15"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8:41" ht="15.75" customHeight="1" x14ac:dyDescent="0.15"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8:41" ht="15.75" customHeight="1" x14ac:dyDescent="0.15"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8:41" ht="15.75" customHeight="1" x14ac:dyDescent="0.15"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8:41" ht="15.75" customHeight="1" x14ac:dyDescent="0.15"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8:41" ht="15.75" customHeight="1" x14ac:dyDescent="0.15"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8:41" ht="15.75" customHeight="1" x14ac:dyDescent="0.15"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8:41" ht="15.75" customHeight="1" x14ac:dyDescent="0.15"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8:41" ht="15.75" customHeight="1" x14ac:dyDescent="0.15"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8:41" ht="15.75" customHeight="1" x14ac:dyDescent="0.15"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8:41" ht="15.75" customHeight="1" x14ac:dyDescent="0.15"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8:41" ht="15.75" customHeight="1" x14ac:dyDescent="0.15"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8:41" ht="15.75" customHeight="1" x14ac:dyDescent="0.15"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8:41" ht="15.75" customHeight="1" x14ac:dyDescent="0.15"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8:41" ht="15.75" customHeight="1" x14ac:dyDescent="0.15"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8:41" ht="15.75" customHeight="1" x14ac:dyDescent="0.15"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8:41" ht="15.75" customHeight="1" x14ac:dyDescent="0.15"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8:41" ht="15.75" customHeight="1" x14ac:dyDescent="0.15"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8:41" ht="15.75" customHeight="1" x14ac:dyDescent="0.15"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8:41" ht="15.75" customHeight="1" x14ac:dyDescent="0.15"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8:41" ht="15.75" customHeight="1" x14ac:dyDescent="0.15"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8:41" ht="15.75" customHeight="1" x14ac:dyDescent="0.15"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8:41" ht="15.75" customHeight="1" x14ac:dyDescent="0.15"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8:41" ht="15.75" customHeight="1" x14ac:dyDescent="0.15"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8:41" ht="15.75" customHeight="1" x14ac:dyDescent="0.15"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8:41" ht="15.75" customHeight="1" x14ac:dyDescent="0.15"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8:41" ht="15.75" customHeight="1" x14ac:dyDescent="0.15"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8:41" ht="15.75" customHeight="1" x14ac:dyDescent="0.15"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8:41" ht="15.75" customHeight="1" x14ac:dyDescent="0.15"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8:41" ht="15.75" customHeight="1" x14ac:dyDescent="0.15"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8:41" ht="15.75" customHeight="1" x14ac:dyDescent="0.15"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8:41" ht="15.75" customHeight="1" x14ac:dyDescent="0.15"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8:41" ht="15.75" customHeight="1" x14ac:dyDescent="0.15"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8:41" ht="15.75" customHeight="1" x14ac:dyDescent="0.15"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8:41" ht="15.75" customHeight="1" x14ac:dyDescent="0.15"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8:41" ht="15.75" customHeight="1" x14ac:dyDescent="0.15"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8:41" ht="15.75" customHeight="1" x14ac:dyDescent="0.15"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8:41" ht="15.75" customHeight="1" x14ac:dyDescent="0.15"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8:41" ht="15.75" customHeight="1" x14ac:dyDescent="0.15"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8:41" ht="15.75" customHeight="1" x14ac:dyDescent="0.15"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8:41" ht="15.75" customHeight="1" x14ac:dyDescent="0.15"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8:41" ht="15.75" customHeight="1" x14ac:dyDescent="0.15"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8:41" ht="15.75" customHeight="1" x14ac:dyDescent="0.15"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8:41" ht="15.75" customHeight="1" x14ac:dyDescent="0.15"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8:41" ht="15.75" customHeight="1" x14ac:dyDescent="0.15"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8:41" ht="15.75" customHeight="1" x14ac:dyDescent="0.15"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8:41" ht="15.75" customHeight="1" x14ac:dyDescent="0.15"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8:41" ht="15.75" customHeight="1" x14ac:dyDescent="0.15"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8:41" ht="15.75" customHeight="1" x14ac:dyDescent="0.15"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8:41" ht="15.75" customHeight="1" x14ac:dyDescent="0.15"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8:41" ht="15.75" customHeight="1" x14ac:dyDescent="0.15"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8:41" ht="15.75" customHeight="1" x14ac:dyDescent="0.15"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8:41" ht="15.75" customHeight="1" x14ac:dyDescent="0.15"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8:41" ht="15.75" customHeight="1" x14ac:dyDescent="0.15"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8:41" ht="15.75" customHeight="1" x14ac:dyDescent="0.15"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8:41" ht="15.75" customHeight="1" x14ac:dyDescent="0.15"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8:41" ht="15.75" customHeight="1" x14ac:dyDescent="0.15"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8:41" ht="15.75" customHeight="1" x14ac:dyDescent="0.15"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8:41" ht="15.75" customHeight="1" x14ac:dyDescent="0.15"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8:41" ht="15.75" customHeight="1" x14ac:dyDescent="0.15"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8:41" ht="15.75" customHeight="1" x14ac:dyDescent="0.15"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8:41" ht="15.75" customHeight="1" x14ac:dyDescent="0.15"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8:41" ht="15.75" customHeight="1" x14ac:dyDescent="0.15"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8:41" ht="15.75" customHeight="1" x14ac:dyDescent="0.15"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8:41" ht="15.75" customHeight="1" x14ac:dyDescent="0.15"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8:41" ht="15.75" customHeight="1" x14ac:dyDescent="0.15"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8:41" ht="15.75" customHeight="1" x14ac:dyDescent="0.15"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8:41" ht="15.75" customHeight="1" x14ac:dyDescent="0.15"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8:41" ht="15.75" customHeight="1" x14ac:dyDescent="0.15"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8:41" ht="15.75" customHeight="1" x14ac:dyDescent="0.15"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8:41" ht="15.75" customHeight="1" x14ac:dyDescent="0.15"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8:41" ht="15.75" customHeight="1" x14ac:dyDescent="0.15"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8:41" ht="15.75" customHeight="1" x14ac:dyDescent="0.15"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8:41" ht="15.75" customHeight="1" x14ac:dyDescent="0.15"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8:41" ht="15.75" customHeight="1" x14ac:dyDescent="0.15"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8:41" ht="15.75" customHeight="1" x14ac:dyDescent="0.15"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8:41" ht="15.75" customHeight="1" x14ac:dyDescent="0.15"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8:41" ht="15.75" customHeight="1" x14ac:dyDescent="0.15"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8:41" ht="15.75" customHeight="1" x14ac:dyDescent="0.15"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8:41" ht="15.75" customHeight="1" x14ac:dyDescent="0.15"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8:41" ht="15.75" customHeight="1" x14ac:dyDescent="0.15"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8:41" ht="15.75" customHeight="1" x14ac:dyDescent="0.15"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8:41" ht="15.75" customHeight="1" x14ac:dyDescent="0.15"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8:41" ht="15.75" customHeight="1" x14ac:dyDescent="0.15"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8:41" ht="15.75" customHeight="1" x14ac:dyDescent="0.15"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8:41" ht="15.75" customHeight="1" x14ac:dyDescent="0.15"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8:41" ht="15.75" customHeight="1" x14ac:dyDescent="0.15"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8:41" ht="15.75" customHeight="1" x14ac:dyDescent="0.15"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8:41" ht="15.75" customHeight="1" x14ac:dyDescent="0.15"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8:41" ht="15.75" customHeight="1" x14ac:dyDescent="0.15"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8:41" ht="15.75" customHeight="1" x14ac:dyDescent="0.15"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8:41" ht="15.75" customHeight="1" x14ac:dyDescent="0.15"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8:41" ht="15.75" customHeight="1" x14ac:dyDescent="0.15"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8:41" ht="15.75" customHeight="1" x14ac:dyDescent="0.15"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8:41" ht="15.75" customHeight="1" x14ac:dyDescent="0.15"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8:41" ht="15.75" customHeight="1" x14ac:dyDescent="0.15"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8:41" ht="15.75" customHeight="1" x14ac:dyDescent="0.15"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8:41" ht="15.75" customHeight="1" x14ac:dyDescent="0.15"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8:41" ht="15.75" customHeight="1" x14ac:dyDescent="0.15"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8:41" ht="15.75" customHeight="1" x14ac:dyDescent="0.15"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8:41" ht="15.75" customHeight="1" x14ac:dyDescent="0.15"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8:41" ht="15.75" customHeight="1" x14ac:dyDescent="0.15"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8:41" ht="15.75" customHeight="1" x14ac:dyDescent="0.15"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8:41" ht="15.75" customHeight="1" x14ac:dyDescent="0.15"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8:41" ht="15.75" customHeight="1" x14ac:dyDescent="0.15"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8:41" ht="15.75" customHeight="1" x14ac:dyDescent="0.15"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8:41" ht="15.75" customHeight="1" x14ac:dyDescent="0.15"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8:41" ht="15.75" customHeight="1" x14ac:dyDescent="0.15"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8:41" ht="15.75" customHeight="1" x14ac:dyDescent="0.15"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8:41" ht="15.75" customHeight="1" x14ac:dyDescent="0.15"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8:41" ht="15.75" customHeight="1" x14ac:dyDescent="0.15"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8:41" ht="15.75" customHeight="1" x14ac:dyDescent="0.15"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8:41" ht="15.75" customHeight="1" x14ac:dyDescent="0.15"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8:41" ht="15.75" customHeight="1" x14ac:dyDescent="0.15"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8:41" ht="15.75" customHeight="1" x14ac:dyDescent="0.15"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8:41" ht="15.75" customHeight="1" x14ac:dyDescent="0.15"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8:41" ht="15.75" customHeight="1" x14ac:dyDescent="0.15"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8:41" ht="15.75" customHeight="1" x14ac:dyDescent="0.15"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8:41" ht="15.75" customHeight="1" x14ac:dyDescent="0.15"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8:41" ht="15.75" customHeight="1" x14ac:dyDescent="0.15"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8:41" ht="15.75" customHeight="1" x14ac:dyDescent="0.15"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8:41" ht="15.75" customHeight="1" x14ac:dyDescent="0.15"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8:41" ht="15.75" customHeight="1" x14ac:dyDescent="0.15"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8:41" ht="15.75" customHeight="1" x14ac:dyDescent="0.15"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8:41" ht="15.75" customHeight="1" x14ac:dyDescent="0.15"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8:41" ht="15.75" customHeight="1" x14ac:dyDescent="0.15"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8:41" ht="15.75" customHeight="1" x14ac:dyDescent="0.15"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8:41" ht="15.75" customHeight="1" x14ac:dyDescent="0.15"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8:41" ht="15.75" customHeight="1" x14ac:dyDescent="0.15"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8:41" ht="15.75" customHeight="1" x14ac:dyDescent="0.15"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8:41" ht="15.75" customHeight="1" x14ac:dyDescent="0.15"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8:41" ht="15.75" customHeight="1" x14ac:dyDescent="0.15"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8:41" ht="15.75" customHeight="1" x14ac:dyDescent="0.15"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8:41" ht="15.75" customHeight="1" x14ac:dyDescent="0.15"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8:41" ht="15.75" customHeight="1" x14ac:dyDescent="0.15"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8:41" ht="15.75" customHeight="1" x14ac:dyDescent="0.15"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8:41" ht="15.75" customHeight="1" x14ac:dyDescent="0.15"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8:41" ht="15.75" customHeight="1" x14ac:dyDescent="0.15"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8:41" ht="15.75" customHeight="1" x14ac:dyDescent="0.15"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8:41" ht="15.75" customHeight="1" x14ac:dyDescent="0.15"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8:41" ht="15.75" customHeight="1" x14ac:dyDescent="0.15"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8:41" ht="15.75" customHeight="1" x14ac:dyDescent="0.15"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8:41" ht="15.75" customHeight="1" x14ac:dyDescent="0.15"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8:41" ht="15.75" customHeight="1" x14ac:dyDescent="0.15"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8:41" ht="15.75" customHeight="1" x14ac:dyDescent="0.15"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8:41" ht="15.75" customHeight="1" x14ac:dyDescent="0.15"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8:41" ht="15.75" customHeight="1" x14ac:dyDescent="0.15"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8:41" ht="15.75" customHeight="1" x14ac:dyDescent="0.15"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8:41" ht="15.75" customHeight="1" x14ac:dyDescent="0.15"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8:41" ht="15.75" customHeight="1" x14ac:dyDescent="0.15"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8:41" ht="15.75" customHeight="1" x14ac:dyDescent="0.15"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8:41" ht="15.75" customHeight="1" x14ac:dyDescent="0.15"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8:41" ht="15.75" customHeight="1" x14ac:dyDescent="0.15"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8:41" ht="15.75" customHeight="1" x14ac:dyDescent="0.15"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8:41" ht="15.75" customHeight="1" x14ac:dyDescent="0.15"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8:41" ht="15.75" customHeight="1" x14ac:dyDescent="0.15"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8:41" ht="15.75" customHeight="1" x14ac:dyDescent="0.15"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8:41" ht="15.75" customHeight="1" x14ac:dyDescent="0.15"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8:41" ht="15.75" customHeight="1" x14ac:dyDescent="0.15"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8:41" ht="15.75" customHeight="1" x14ac:dyDescent="0.15"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8:41" ht="15.75" customHeight="1" x14ac:dyDescent="0.15"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8:41" ht="15.75" customHeight="1" x14ac:dyDescent="0.15"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8:41" ht="15.75" customHeight="1" x14ac:dyDescent="0.15"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8:41" ht="15.75" customHeight="1" x14ac:dyDescent="0.15"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8:41" ht="15.75" customHeight="1" x14ac:dyDescent="0.15"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8:41" ht="15.75" customHeight="1" x14ac:dyDescent="0.15"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8:41" ht="15.75" customHeight="1" x14ac:dyDescent="0.15"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8:41" ht="15.75" customHeight="1" x14ac:dyDescent="0.15"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8:41" ht="15.75" customHeight="1" x14ac:dyDescent="0.15"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8:41" ht="15.75" customHeight="1" x14ac:dyDescent="0.15"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8:41" ht="15.75" customHeight="1" x14ac:dyDescent="0.15"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8:41" ht="15.75" customHeight="1" x14ac:dyDescent="0.15"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8:41" ht="15.75" customHeight="1" x14ac:dyDescent="0.15"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8:41" ht="15.75" customHeight="1" x14ac:dyDescent="0.15"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8:41" ht="15.75" customHeight="1" x14ac:dyDescent="0.15"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8:41" ht="15.75" customHeight="1" x14ac:dyDescent="0.15"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8:41" ht="15.75" customHeight="1" x14ac:dyDescent="0.15"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8:41" ht="15.75" customHeight="1" x14ac:dyDescent="0.15"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8:41" ht="15.75" customHeight="1" x14ac:dyDescent="0.15"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8:41" ht="15.75" customHeight="1" x14ac:dyDescent="0.15"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8:41" ht="15.75" customHeight="1" x14ac:dyDescent="0.15"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8:41" ht="15.75" customHeight="1" x14ac:dyDescent="0.15"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8:41" ht="15.75" customHeight="1" x14ac:dyDescent="0.15"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8:41" ht="15.75" customHeight="1" x14ac:dyDescent="0.15"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8:41" ht="15.75" customHeight="1" x14ac:dyDescent="0.15"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8:41" ht="15.75" customHeight="1" x14ac:dyDescent="0.15"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8:41" ht="15.75" customHeight="1" x14ac:dyDescent="0.15"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8:41" ht="15.75" customHeight="1" x14ac:dyDescent="0.15"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8:41" ht="15.75" customHeight="1" x14ac:dyDescent="0.15"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8:41" ht="15.75" customHeight="1" x14ac:dyDescent="0.15"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8:41" ht="15.75" customHeight="1" x14ac:dyDescent="0.15"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8:41" ht="15.75" customHeight="1" x14ac:dyDescent="0.15"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8:41" ht="15.75" customHeight="1" x14ac:dyDescent="0.15"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8:41" ht="15.75" customHeight="1" x14ac:dyDescent="0.15"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8:41" ht="15.75" customHeight="1" x14ac:dyDescent="0.15"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8:41" ht="15.75" customHeight="1" x14ac:dyDescent="0.15"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8:41" ht="15.75" customHeight="1" x14ac:dyDescent="0.15"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8:41" ht="15.75" customHeight="1" x14ac:dyDescent="0.15"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8:41" ht="15.75" customHeight="1" x14ac:dyDescent="0.15"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8:41" ht="15.75" customHeight="1" x14ac:dyDescent="0.15"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8:41" ht="15.75" customHeight="1" x14ac:dyDescent="0.15"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8:41" ht="15.75" customHeight="1" x14ac:dyDescent="0.15"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8:41" ht="15.75" customHeight="1" x14ac:dyDescent="0.15"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8:41" ht="15.75" customHeight="1" x14ac:dyDescent="0.15"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8:41" ht="15.75" customHeight="1" x14ac:dyDescent="0.15"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8:41" ht="15.75" customHeight="1" x14ac:dyDescent="0.15"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8:41" ht="15.75" customHeight="1" x14ac:dyDescent="0.15"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8:41" ht="15.75" customHeight="1" x14ac:dyDescent="0.15"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8:41" ht="15.75" customHeight="1" x14ac:dyDescent="0.15"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8:41" ht="15.75" customHeight="1" x14ac:dyDescent="0.15"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8:41" ht="15.75" customHeight="1" x14ac:dyDescent="0.15"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8:41" ht="15.75" customHeight="1" x14ac:dyDescent="0.15"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8:41" ht="15.75" customHeight="1" x14ac:dyDescent="0.15"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8:41" ht="15.75" customHeight="1" x14ac:dyDescent="0.15"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8:41" ht="15.75" customHeight="1" x14ac:dyDescent="0.15"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8:41" ht="15.75" customHeight="1" x14ac:dyDescent="0.15"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8:41" ht="15.75" customHeight="1" x14ac:dyDescent="0.15"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8:41" ht="15.75" customHeight="1" x14ac:dyDescent="0.15"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8:41" ht="15.75" customHeight="1" x14ac:dyDescent="0.15"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8:41" ht="15.75" customHeight="1" x14ac:dyDescent="0.15"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8:41" ht="15.75" customHeight="1" x14ac:dyDescent="0.15"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8:41" ht="15.75" customHeight="1" x14ac:dyDescent="0.15"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8:41" ht="15.75" customHeight="1" x14ac:dyDescent="0.15"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8:41" ht="15.75" customHeight="1" x14ac:dyDescent="0.15"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8:41" ht="15.75" customHeight="1" x14ac:dyDescent="0.15"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8:41" ht="15.75" customHeight="1" x14ac:dyDescent="0.15"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8:41" ht="15.75" customHeight="1" x14ac:dyDescent="0.15"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8:41" ht="15.75" customHeight="1" x14ac:dyDescent="0.15"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8:41" ht="15.75" customHeight="1" x14ac:dyDescent="0.15"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8:41" ht="15.75" customHeight="1" x14ac:dyDescent="0.15"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8:41" ht="15.75" customHeight="1" x14ac:dyDescent="0.15"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8:41" ht="15.75" customHeight="1" x14ac:dyDescent="0.15"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8:41" ht="15.75" customHeight="1" x14ac:dyDescent="0.15"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8:41" ht="15.75" customHeight="1" x14ac:dyDescent="0.15"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8:41" ht="15.75" customHeight="1" x14ac:dyDescent="0.15"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8:41" ht="15.75" customHeight="1" x14ac:dyDescent="0.15"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8:41" ht="15.75" customHeight="1" x14ac:dyDescent="0.15"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8:41" ht="15.75" customHeight="1" x14ac:dyDescent="0.15"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8:41" ht="15.75" customHeight="1" x14ac:dyDescent="0.15"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8:41" ht="15.75" customHeight="1" x14ac:dyDescent="0.15"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8:41" ht="15.75" customHeight="1" x14ac:dyDescent="0.15"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8:41" ht="15.75" customHeight="1" x14ac:dyDescent="0.15"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8:41" ht="15.75" customHeight="1" x14ac:dyDescent="0.15"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8:41" ht="15.75" customHeight="1" x14ac:dyDescent="0.15"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8:41" ht="15.75" customHeight="1" x14ac:dyDescent="0.15"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8:41" ht="15.75" customHeight="1" x14ac:dyDescent="0.15"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8:41" ht="15.75" customHeight="1" x14ac:dyDescent="0.15"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8:41" ht="15.75" customHeight="1" x14ac:dyDescent="0.15"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8:41" ht="15.75" customHeight="1" x14ac:dyDescent="0.15"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8:41" ht="15.75" customHeight="1" x14ac:dyDescent="0.15"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8:41" ht="15.75" customHeight="1" x14ac:dyDescent="0.15"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8:41" ht="15.75" customHeight="1" x14ac:dyDescent="0.15"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8:41" ht="15.75" customHeight="1" x14ac:dyDescent="0.15"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8:41" ht="15.75" customHeight="1" x14ac:dyDescent="0.15"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8:41" ht="15.75" customHeight="1" x14ac:dyDescent="0.15"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8:41" ht="15.75" customHeight="1" x14ac:dyDescent="0.15"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8:41" ht="15.75" customHeight="1" x14ac:dyDescent="0.15"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8:41" ht="15.75" customHeight="1" x14ac:dyDescent="0.15"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8:41" ht="15.75" customHeight="1" x14ac:dyDescent="0.15"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8:41" ht="15.75" customHeight="1" x14ac:dyDescent="0.15"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8:41" ht="15.75" customHeight="1" x14ac:dyDescent="0.15"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8:41" ht="15.75" customHeight="1" x14ac:dyDescent="0.15"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8:41" ht="15.75" customHeight="1" x14ac:dyDescent="0.15"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8:41" ht="15.75" customHeight="1" x14ac:dyDescent="0.15"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8:41" ht="15.75" customHeight="1" x14ac:dyDescent="0.15"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8:41" ht="15.75" customHeight="1" x14ac:dyDescent="0.15"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8:41" ht="15.75" customHeight="1" x14ac:dyDescent="0.15"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8:41" ht="15.75" customHeight="1" x14ac:dyDescent="0.15"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8:41" ht="15.75" customHeight="1" x14ac:dyDescent="0.15"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8:41" ht="15.75" customHeight="1" x14ac:dyDescent="0.15"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8:41" ht="15.75" customHeight="1" x14ac:dyDescent="0.15"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8:41" ht="15.75" customHeight="1" x14ac:dyDescent="0.15"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8:41" ht="15.75" customHeight="1" x14ac:dyDescent="0.15"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8:41" ht="15.75" customHeight="1" x14ac:dyDescent="0.15"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8:41" ht="15.75" customHeight="1" x14ac:dyDescent="0.15"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8:41" ht="15.75" customHeight="1" x14ac:dyDescent="0.15"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8:41" ht="15.75" customHeight="1" x14ac:dyDescent="0.15"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8:41" ht="15.75" customHeight="1" x14ac:dyDescent="0.15"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8:41" ht="15.75" customHeight="1" x14ac:dyDescent="0.15"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8:41" ht="15.75" customHeight="1" x14ac:dyDescent="0.15"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8:41" ht="15.75" customHeight="1" x14ac:dyDescent="0.15"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8:41" ht="15.75" customHeight="1" x14ac:dyDescent="0.15"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8:41" ht="15.75" customHeight="1" x14ac:dyDescent="0.15"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8:41" ht="15.75" customHeight="1" x14ac:dyDescent="0.15"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8:41" ht="15.75" customHeight="1" x14ac:dyDescent="0.15"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8:41" ht="15.75" customHeight="1" x14ac:dyDescent="0.15"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8:41" ht="15.75" customHeight="1" x14ac:dyDescent="0.15"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8:41" ht="15.75" customHeight="1" x14ac:dyDescent="0.15"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8:41" ht="15.75" customHeight="1" x14ac:dyDescent="0.15"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8:41" ht="15.75" customHeight="1" x14ac:dyDescent="0.15"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8:41" ht="15.75" customHeight="1" x14ac:dyDescent="0.15"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8:41" ht="15.75" customHeight="1" x14ac:dyDescent="0.15"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8:41" ht="15.75" customHeight="1" x14ac:dyDescent="0.15"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8:41" ht="15.75" customHeight="1" x14ac:dyDescent="0.15"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8:41" ht="15.75" customHeight="1" x14ac:dyDescent="0.15"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8:41" ht="15.75" customHeight="1" x14ac:dyDescent="0.15"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8:41" ht="15.75" customHeight="1" x14ac:dyDescent="0.15"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8:41" ht="15.75" customHeight="1" x14ac:dyDescent="0.15"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8:41" ht="15.75" customHeight="1" x14ac:dyDescent="0.15"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8:41" ht="15.75" customHeight="1" x14ac:dyDescent="0.15"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8:41" ht="15.75" customHeight="1" x14ac:dyDescent="0.15"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8:41" ht="15.75" customHeight="1" x14ac:dyDescent="0.15"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8:41" ht="15.75" customHeight="1" x14ac:dyDescent="0.15"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8:41" ht="15.75" customHeight="1" x14ac:dyDescent="0.15"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8:41" ht="15.75" customHeight="1" x14ac:dyDescent="0.15"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8:41" ht="15.75" customHeight="1" x14ac:dyDescent="0.15"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8:41" ht="15.75" customHeight="1" x14ac:dyDescent="0.15"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8:41" ht="15.75" customHeight="1" x14ac:dyDescent="0.15"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8:41" ht="15.75" customHeight="1" x14ac:dyDescent="0.15"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8:41" ht="15.75" customHeight="1" x14ac:dyDescent="0.15"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8:41" ht="15.75" customHeight="1" x14ac:dyDescent="0.15"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8:41" ht="15.75" customHeight="1" x14ac:dyDescent="0.15"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8:41" ht="15.75" customHeight="1" x14ac:dyDescent="0.15"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8:41" ht="15.75" customHeight="1" x14ac:dyDescent="0.15"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8:41" ht="15.75" customHeight="1" x14ac:dyDescent="0.15"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8:41" ht="15.75" customHeight="1" x14ac:dyDescent="0.15"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8:41" ht="15.75" customHeight="1" x14ac:dyDescent="0.15"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8:41" ht="15.75" customHeight="1" x14ac:dyDescent="0.15"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8:41" ht="15.75" customHeight="1" x14ac:dyDescent="0.15"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8:41" ht="15.75" customHeight="1" x14ac:dyDescent="0.15"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8:41" ht="15.75" customHeight="1" x14ac:dyDescent="0.15"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8:41" ht="15.75" customHeight="1" x14ac:dyDescent="0.15"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8:41" ht="15.75" customHeight="1" x14ac:dyDescent="0.15"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8:41" ht="15.75" customHeight="1" x14ac:dyDescent="0.15"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8:41" ht="15.75" customHeight="1" x14ac:dyDescent="0.15"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8:41" ht="15.75" customHeight="1" x14ac:dyDescent="0.15"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8:41" ht="15.75" customHeight="1" x14ac:dyDescent="0.15"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8:41" ht="15.75" customHeight="1" x14ac:dyDescent="0.15"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8:41" ht="15.75" customHeight="1" x14ac:dyDescent="0.15"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8:41" ht="15.75" customHeight="1" x14ac:dyDescent="0.15"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8:41" ht="15.75" customHeight="1" x14ac:dyDescent="0.15"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8:41" ht="15.75" customHeight="1" x14ac:dyDescent="0.15"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8:41" ht="15.75" customHeight="1" x14ac:dyDescent="0.15"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8:41" ht="15.75" customHeight="1" x14ac:dyDescent="0.15"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8:41" ht="15.75" customHeight="1" x14ac:dyDescent="0.15"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8:41" ht="15.75" customHeight="1" x14ac:dyDescent="0.15"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8:41" ht="15.75" customHeight="1" x14ac:dyDescent="0.15"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8:41" ht="15.75" customHeight="1" x14ac:dyDescent="0.15"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8:41" ht="15.75" customHeight="1" x14ac:dyDescent="0.15"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8:41" ht="15.75" customHeight="1" x14ac:dyDescent="0.15"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8:41" ht="15.75" customHeight="1" x14ac:dyDescent="0.15"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8:41" ht="15.75" customHeight="1" x14ac:dyDescent="0.15"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8:41" ht="15.75" customHeight="1" x14ac:dyDescent="0.15"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8:41" ht="15.75" customHeight="1" x14ac:dyDescent="0.15"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8:41" ht="15.75" customHeight="1" x14ac:dyDescent="0.15"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8:41" ht="15.75" customHeight="1" x14ac:dyDescent="0.15"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8:41" ht="15.75" customHeight="1" x14ac:dyDescent="0.15"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8:41" ht="15.75" customHeight="1" x14ac:dyDescent="0.15"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8:41" ht="15.75" customHeight="1" x14ac:dyDescent="0.15"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8:41" ht="15.75" customHeight="1" x14ac:dyDescent="0.15"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8:41" ht="15.75" customHeight="1" x14ac:dyDescent="0.15"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8:41" ht="15.75" customHeight="1" x14ac:dyDescent="0.15"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8:41" ht="15.75" customHeight="1" x14ac:dyDescent="0.15"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8:41" ht="15.75" customHeight="1" x14ac:dyDescent="0.15"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8:41" ht="15.75" customHeight="1" x14ac:dyDescent="0.15"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8:41" ht="15.75" customHeight="1" x14ac:dyDescent="0.15"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8:41" ht="15.75" customHeight="1" x14ac:dyDescent="0.15"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8:41" ht="15.75" customHeight="1" x14ac:dyDescent="0.15"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8:41" ht="15.75" customHeight="1" x14ac:dyDescent="0.15"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8:41" ht="15.75" customHeight="1" x14ac:dyDescent="0.15"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8:41" ht="15.75" customHeight="1" x14ac:dyDescent="0.15"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8:41" ht="15.75" customHeight="1" x14ac:dyDescent="0.15"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8:41" ht="15.75" customHeight="1" x14ac:dyDescent="0.15"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8:41" ht="15.75" customHeight="1" x14ac:dyDescent="0.15"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8:41" ht="15.75" customHeight="1" x14ac:dyDescent="0.15"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8:41" ht="15.75" customHeight="1" x14ac:dyDescent="0.15"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8:41" ht="15.75" customHeight="1" x14ac:dyDescent="0.15"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8:41" ht="15.75" customHeight="1" x14ac:dyDescent="0.15"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8:41" ht="15.75" customHeight="1" x14ac:dyDescent="0.15"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8:41" ht="15.75" customHeight="1" x14ac:dyDescent="0.15"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8:41" ht="15.75" customHeight="1" x14ac:dyDescent="0.15"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8:41" ht="15.75" customHeight="1" x14ac:dyDescent="0.15"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8:41" ht="15.75" customHeight="1" x14ac:dyDescent="0.15"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8:41" ht="15.75" customHeight="1" x14ac:dyDescent="0.15"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8:41" ht="15.75" customHeight="1" x14ac:dyDescent="0.15"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8:41" ht="15.75" customHeight="1" x14ac:dyDescent="0.15"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8:41" ht="15.75" customHeight="1" x14ac:dyDescent="0.15"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8:41" ht="15.75" customHeight="1" x14ac:dyDescent="0.15"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8:41" ht="15.75" customHeight="1" x14ac:dyDescent="0.15"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8:41" ht="15.75" customHeight="1" x14ac:dyDescent="0.15"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8:41" ht="15.75" customHeight="1" x14ac:dyDescent="0.15"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8:41" ht="15.75" customHeight="1" x14ac:dyDescent="0.15"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8:41" ht="15.75" customHeight="1" x14ac:dyDescent="0.15"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8:41" ht="15.75" customHeight="1" x14ac:dyDescent="0.15"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8:41" ht="15.75" customHeight="1" x14ac:dyDescent="0.15"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8:41" ht="15.75" customHeight="1" x14ac:dyDescent="0.15"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8:41" ht="15.75" customHeight="1" x14ac:dyDescent="0.15"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8:41" ht="15.75" customHeight="1" x14ac:dyDescent="0.15"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8:41" ht="15.75" customHeight="1" x14ac:dyDescent="0.15"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8:41" ht="15.75" customHeight="1" x14ac:dyDescent="0.15"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8:41" ht="15.75" customHeight="1" x14ac:dyDescent="0.15"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8:41" ht="15.75" customHeight="1" x14ac:dyDescent="0.15"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8:41" ht="15.75" customHeight="1" x14ac:dyDescent="0.15"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8:41" ht="15.75" customHeight="1" x14ac:dyDescent="0.15"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8:41" ht="15.75" customHeight="1" x14ac:dyDescent="0.15"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8:41" ht="15.75" customHeight="1" x14ac:dyDescent="0.15"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8:41" ht="15.75" customHeight="1" x14ac:dyDescent="0.15"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8:41" ht="15.75" customHeight="1" x14ac:dyDescent="0.15"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8:41" ht="15.75" customHeight="1" x14ac:dyDescent="0.15"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8:41" ht="15.75" customHeight="1" x14ac:dyDescent="0.15"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8:41" ht="15.75" customHeight="1" x14ac:dyDescent="0.15"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8:41" ht="15.75" customHeight="1" x14ac:dyDescent="0.15"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8:41" ht="15.75" customHeight="1" x14ac:dyDescent="0.15"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8:41" ht="15.75" customHeight="1" x14ac:dyDescent="0.15"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8:41" ht="15.75" customHeight="1" x14ac:dyDescent="0.15"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8:41" ht="15.75" customHeight="1" x14ac:dyDescent="0.15"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8:41" ht="15.75" customHeight="1" x14ac:dyDescent="0.15"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8:41" ht="15.75" customHeight="1" x14ac:dyDescent="0.15"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8:41" ht="15.75" customHeight="1" x14ac:dyDescent="0.15"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8:41" ht="15.75" customHeight="1" x14ac:dyDescent="0.15"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8:41" ht="15.75" customHeight="1" x14ac:dyDescent="0.15"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8:41" ht="15.75" customHeight="1" x14ac:dyDescent="0.15"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8:41" ht="15.75" customHeight="1" x14ac:dyDescent="0.15"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8:41" ht="15.75" customHeight="1" x14ac:dyDescent="0.15"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8:41" ht="15.75" customHeight="1" x14ac:dyDescent="0.15"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8:41" ht="15.75" customHeight="1" x14ac:dyDescent="0.15"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8:41" ht="15.75" customHeight="1" x14ac:dyDescent="0.15"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8:41" ht="15.75" customHeight="1" x14ac:dyDescent="0.15"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8:41" ht="15.75" customHeight="1" x14ac:dyDescent="0.15"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8:41" ht="15.75" customHeight="1" x14ac:dyDescent="0.15"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8:41" ht="15.75" customHeight="1" x14ac:dyDescent="0.15"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8:41" ht="15.75" customHeight="1" x14ac:dyDescent="0.15"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8:41" ht="15.75" customHeight="1" x14ac:dyDescent="0.15"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8:41" ht="15.75" customHeight="1" x14ac:dyDescent="0.15"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8:41" ht="15.75" customHeight="1" x14ac:dyDescent="0.15"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8:41" ht="15.75" customHeight="1" x14ac:dyDescent="0.15"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8:41" ht="15.75" customHeight="1" x14ac:dyDescent="0.15"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8:41" ht="15.75" customHeight="1" x14ac:dyDescent="0.15"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8:41" ht="15.75" customHeight="1" x14ac:dyDescent="0.15"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8:41" ht="15.75" customHeight="1" x14ac:dyDescent="0.15"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8:41" ht="15.75" customHeight="1" x14ac:dyDescent="0.15"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8:41" ht="15.75" customHeight="1" x14ac:dyDescent="0.15"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8:41" ht="15.75" customHeight="1" x14ac:dyDescent="0.15"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8:41" ht="15.75" customHeight="1" x14ac:dyDescent="0.15"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8:41" ht="15.75" customHeight="1" x14ac:dyDescent="0.15"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8:41" ht="15.75" customHeight="1" x14ac:dyDescent="0.15"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8:41" ht="15.75" customHeight="1" x14ac:dyDescent="0.15"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8:41" ht="15.75" customHeight="1" x14ac:dyDescent="0.15"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8:41" ht="15.75" customHeight="1" x14ac:dyDescent="0.15"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8:41" ht="15.75" customHeight="1" x14ac:dyDescent="0.15"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8:41" ht="15.75" customHeight="1" x14ac:dyDescent="0.15"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8:41" ht="15.75" customHeight="1" x14ac:dyDescent="0.15"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8:41" ht="15.75" customHeight="1" x14ac:dyDescent="0.15"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8:41" ht="15.75" customHeight="1" x14ac:dyDescent="0.15"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8:41" ht="15.75" customHeight="1" x14ac:dyDescent="0.15"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8:41" ht="15.75" customHeight="1" x14ac:dyDescent="0.15"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8:41" ht="15.75" customHeight="1" x14ac:dyDescent="0.15"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8:41" ht="15.75" customHeight="1" x14ac:dyDescent="0.15"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8:41" ht="15.75" customHeight="1" x14ac:dyDescent="0.15"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8:41" ht="15.75" customHeight="1" x14ac:dyDescent="0.15"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8:41" ht="15.75" customHeight="1" x14ac:dyDescent="0.15"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8:41" ht="15.75" customHeight="1" x14ac:dyDescent="0.15"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8:41" ht="15.75" customHeight="1" x14ac:dyDescent="0.15"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8:41" ht="15.75" customHeight="1" x14ac:dyDescent="0.15"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8:41" ht="15.75" customHeight="1" x14ac:dyDescent="0.15"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8:41" ht="15.75" customHeight="1" x14ac:dyDescent="0.15"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8:41" ht="15.75" customHeight="1" x14ac:dyDescent="0.15"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8:41" ht="15.75" customHeight="1" x14ac:dyDescent="0.15"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8:41" ht="15.75" customHeight="1" x14ac:dyDescent="0.15"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8:41" ht="15.75" customHeight="1" x14ac:dyDescent="0.15"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8:41" ht="15.75" customHeight="1" x14ac:dyDescent="0.15"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8:41" ht="15.75" customHeight="1" x14ac:dyDescent="0.15"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8:41" ht="15.75" customHeight="1" x14ac:dyDescent="0.15"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8:41" ht="15.75" customHeight="1" x14ac:dyDescent="0.15"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8:41" ht="15.75" customHeight="1" x14ac:dyDescent="0.15"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8:41" ht="15.75" customHeight="1" x14ac:dyDescent="0.15"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8:41" ht="15.75" customHeight="1" x14ac:dyDescent="0.15"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8:41" ht="15.75" customHeight="1" x14ac:dyDescent="0.15"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8:41" ht="15.75" customHeight="1" x14ac:dyDescent="0.15"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8:41" ht="15.75" customHeight="1" x14ac:dyDescent="0.15"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8:41" ht="15.75" customHeight="1" x14ac:dyDescent="0.15"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8:41" ht="15.75" customHeight="1" x14ac:dyDescent="0.15"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8:41" ht="15.75" customHeight="1" x14ac:dyDescent="0.15"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8:41" ht="15.75" customHeight="1" x14ac:dyDescent="0.15"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8:41" ht="15.75" customHeight="1" x14ac:dyDescent="0.15"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8:41" ht="15.75" customHeight="1" x14ac:dyDescent="0.15"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8:41" ht="15.75" customHeight="1" x14ac:dyDescent="0.15"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8:41" ht="15.75" customHeight="1" x14ac:dyDescent="0.15"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8:41" ht="15.75" customHeight="1" x14ac:dyDescent="0.15"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8:41" ht="15.75" customHeight="1" x14ac:dyDescent="0.15"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8:41" ht="15.75" customHeight="1" x14ac:dyDescent="0.15"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8:41" ht="15.75" customHeight="1" x14ac:dyDescent="0.15"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8:41" ht="15.75" customHeight="1" x14ac:dyDescent="0.15"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8:41" ht="15.75" customHeight="1" x14ac:dyDescent="0.15"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8:41" ht="15.75" customHeight="1" x14ac:dyDescent="0.15"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8:41" ht="15.75" customHeight="1" x14ac:dyDescent="0.15"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8:41" ht="15.75" customHeight="1" x14ac:dyDescent="0.15"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8:41" ht="15.75" customHeight="1" x14ac:dyDescent="0.15"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8:41" ht="15.75" customHeight="1" x14ac:dyDescent="0.15"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8:41" ht="15.75" customHeight="1" x14ac:dyDescent="0.15"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8:41" ht="15.75" customHeight="1" x14ac:dyDescent="0.15"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8:41" ht="15.75" customHeight="1" x14ac:dyDescent="0.15"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8:41" ht="15.75" customHeight="1" x14ac:dyDescent="0.15"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8:41" ht="15.75" customHeight="1" x14ac:dyDescent="0.15"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8:41" ht="15.75" customHeight="1" x14ac:dyDescent="0.15"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8:41" ht="15.75" customHeight="1" x14ac:dyDescent="0.15"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8:41" ht="15.75" customHeight="1" x14ac:dyDescent="0.15"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8:41" ht="15.75" customHeight="1" x14ac:dyDescent="0.15"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8:41" ht="15.75" customHeight="1" x14ac:dyDescent="0.15"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8:41" ht="15.75" customHeight="1" x14ac:dyDescent="0.15"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8:41" ht="15.75" customHeight="1" x14ac:dyDescent="0.15"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8:41" ht="15.75" customHeight="1" x14ac:dyDescent="0.15"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8:41" ht="15.75" customHeight="1" x14ac:dyDescent="0.15"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8:41" ht="15.75" customHeight="1" x14ac:dyDescent="0.15"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8:41" ht="15.75" customHeight="1" x14ac:dyDescent="0.15"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8:41" ht="15.75" customHeight="1" x14ac:dyDescent="0.15"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8:41" ht="15.75" customHeight="1" x14ac:dyDescent="0.15"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8:41" ht="15.75" customHeight="1" x14ac:dyDescent="0.15"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8:41" ht="15.75" customHeight="1" x14ac:dyDescent="0.15"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8:41" ht="15.75" customHeight="1" x14ac:dyDescent="0.15"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8:41" ht="15.75" customHeight="1" x14ac:dyDescent="0.15"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8:41" ht="15.75" customHeight="1" x14ac:dyDescent="0.15"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8:41" ht="15.75" customHeight="1" x14ac:dyDescent="0.15"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8:41" ht="15.75" customHeight="1" x14ac:dyDescent="0.15"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8:41" ht="15.75" customHeight="1" x14ac:dyDescent="0.15"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8:41" ht="15.75" customHeight="1" x14ac:dyDescent="0.15"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8:41" ht="15.75" customHeight="1" x14ac:dyDescent="0.15"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8:41" ht="15.75" customHeight="1" x14ac:dyDescent="0.15"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8:41" ht="15.75" customHeight="1" x14ac:dyDescent="0.15"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8:41" ht="15.75" customHeight="1" x14ac:dyDescent="0.15"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8:41" ht="15.75" customHeight="1" x14ac:dyDescent="0.15"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8:41" ht="15.75" customHeight="1" x14ac:dyDescent="0.15"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8:41" ht="15.75" customHeight="1" x14ac:dyDescent="0.15"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8:41" ht="15.75" customHeight="1" x14ac:dyDescent="0.15"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8:41" ht="15.75" customHeight="1" x14ac:dyDescent="0.15"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8:41" ht="15.75" customHeight="1" x14ac:dyDescent="0.15"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8:41" ht="15.75" customHeight="1" x14ac:dyDescent="0.15"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8:41" ht="15.75" customHeight="1" x14ac:dyDescent="0.15"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8:41" ht="15.75" customHeight="1" x14ac:dyDescent="0.15"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8:41" ht="15.75" customHeight="1" x14ac:dyDescent="0.15"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8:41" ht="15.75" customHeight="1" x14ac:dyDescent="0.15"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8:41" ht="15.75" customHeight="1" x14ac:dyDescent="0.15"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8:41" ht="15.75" customHeight="1" x14ac:dyDescent="0.15"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8:41" ht="15.75" customHeight="1" x14ac:dyDescent="0.15"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8:41" ht="15.75" customHeight="1" x14ac:dyDescent="0.15"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8:41" ht="15.75" customHeight="1" x14ac:dyDescent="0.15"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8:41" ht="15.75" customHeight="1" x14ac:dyDescent="0.15"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8:41" ht="15.75" customHeight="1" x14ac:dyDescent="0.15"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8:41" ht="15.75" customHeight="1" x14ac:dyDescent="0.15"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8:41" ht="15.75" customHeight="1" x14ac:dyDescent="0.15"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8:41" ht="15.75" customHeight="1" x14ac:dyDescent="0.15"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8:41" ht="15.75" customHeight="1" x14ac:dyDescent="0.15"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8:41" ht="15.75" customHeight="1" x14ac:dyDescent="0.15"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8:41" ht="15.75" customHeight="1" x14ac:dyDescent="0.15"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8:41" ht="15.75" customHeight="1" x14ac:dyDescent="0.15"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8:41" ht="15.75" customHeight="1" x14ac:dyDescent="0.15"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8:41" ht="15.75" customHeight="1" x14ac:dyDescent="0.15"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8:41" ht="15.75" customHeight="1" x14ac:dyDescent="0.15"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8:41" ht="15.75" customHeight="1" x14ac:dyDescent="0.15"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8:41" ht="15.75" customHeight="1" x14ac:dyDescent="0.15"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8:41" ht="15.75" customHeight="1" x14ac:dyDescent="0.15"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8:41" ht="15.75" customHeight="1" x14ac:dyDescent="0.15"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8:41" ht="15.75" customHeight="1" x14ac:dyDescent="0.15"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8:41" ht="15.75" customHeight="1" x14ac:dyDescent="0.15"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8:41" ht="15.75" customHeight="1" x14ac:dyDescent="0.15"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8:41" ht="15.75" customHeight="1" x14ac:dyDescent="0.15"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8:41" ht="15.75" customHeight="1" x14ac:dyDescent="0.15"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8:41" ht="15.75" customHeight="1" x14ac:dyDescent="0.15"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8:41" ht="15.75" customHeight="1" x14ac:dyDescent="0.15"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8:41" ht="15.75" customHeight="1" x14ac:dyDescent="0.15"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8:41" ht="15.75" customHeight="1" x14ac:dyDescent="0.15"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8:41" ht="15.75" customHeight="1" x14ac:dyDescent="0.15"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8:41" ht="15.75" customHeight="1" x14ac:dyDescent="0.15"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8:41" ht="15.75" customHeight="1" x14ac:dyDescent="0.15"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8:41" ht="15.75" customHeight="1" x14ac:dyDescent="0.15"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8:41" ht="15.75" customHeight="1" x14ac:dyDescent="0.15"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8:41" ht="15.75" customHeight="1" x14ac:dyDescent="0.15"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8:41" ht="15.75" customHeight="1" x14ac:dyDescent="0.15"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</sheetData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J1000"/>
  <sheetViews>
    <sheetView workbookViewId="0">
      <selection activeCell="M21" sqref="M21"/>
    </sheetView>
  </sheetViews>
  <sheetFormatPr baseColWidth="10" defaultColWidth="12.6640625" defaultRowHeight="15" customHeight="1" x14ac:dyDescent="0.15"/>
  <cols>
    <col min="1" max="1" width="74.6640625" customWidth="1"/>
    <col min="2" max="3" width="10.83203125" customWidth="1"/>
    <col min="4" max="4" width="23.1640625" hidden="1" customWidth="1"/>
    <col min="5" max="26" width="8.6640625" customWidth="1"/>
  </cols>
  <sheetData>
    <row r="1" spans="1:10" ht="13.5" customHeight="1" x14ac:dyDescent="0.1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ht="13.5" customHeight="1" x14ac:dyDescent="0.2">
      <c r="A2" s="175"/>
      <c r="B2" s="176" t="s">
        <v>148</v>
      </c>
      <c r="C2" s="176" t="s">
        <v>149</v>
      </c>
      <c r="D2" s="176" t="s">
        <v>150</v>
      </c>
      <c r="E2" s="176" t="s">
        <v>151</v>
      </c>
      <c r="F2" s="176" t="s">
        <v>152</v>
      </c>
      <c r="G2" s="176" t="s">
        <v>153</v>
      </c>
      <c r="H2" s="176" t="s">
        <v>154</v>
      </c>
      <c r="I2" s="176" t="s">
        <v>155</v>
      </c>
      <c r="J2" s="176" t="s">
        <v>156</v>
      </c>
    </row>
    <row r="3" spans="1:10" ht="13.5" customHeight="1" x14ac:dyDescent="0.15">
      <c r="A3" s="177" t="s">
        <v>157</v>
      </c>
      <c r="B3" s="178">
        <v>1916.6</v>
      </c>
      <c r="C3" s="179">
        <v>1691.5</v>
      </c>
      <c r="D3" s="180">
        <f t="shared" ref="D3:D24" si="0">(C3/B3)-1</f>
        <v>-0.11744756339350926</v>
      </c>
      <c r="E3" s="179">
        <f>'Income Statement'!AF32</f>
        <v>3536.1121808000016</v>
      </c>
      <c r="F3" s="179">
        <f>'Income Statement'!AK32</f>
        <v>3254.8434971825782</v>
      </c>
      <c r="G3" s="179">
        <f>'Income Statement'!AP32</f>
        <v>3736.2957049997976</v>
      </c>
      <c r="H3" s="179">
        <f>'Income Statement'!AQ32</f>
        <v>3980.1175273760573</v>
      </c>
      <c r="I3" s="179">
        <f>'Income Statement'!AR32</f>
        <v>4107.117342735648</v>
      </c>
      <c r="J3" s="179">
        <f>'Income Statement'!AS32</f>
        <v>4101.6779722793171</v>
      </c>
    </row>
    <row r="4" spans="1:10" ht="13.5" customHeight="1" x14ac:dyDescent="0.15">
      <c r="A4" s="177" t="s">
        <v>158</v>
      </c>
      <c r="B4" s="181">
        <v>1578.8</v>
      </c>
      <c r="C4" s="182">
        <v>1674.1</v>
      </c>
      <c r="D4" s="180">
        <f t="shared" si="0"/>
        <v>6.036230048137825E-2</v>
      </c>
      <c r="E4" s="182">
        <f>'CapEx + D&amp;A'!AF16</f>
        <v>2224.6109280000001</v>
      </c>
      <c r="F4" s="182">
        <v>2182</v>
      </c>
      <c r="G4" s="182">
        <f>'CapEx + D&amp;A'!AP16</f>
        <v>2308.1112621007487</v>
      </c>
      <c r="H4" s="182">
        <v>2731</v>
      </c>
      <c r="I4" s="182">
        <f>'CapEx + D&amp;A'!AZ16</f>
        <v>1965.08823590829</v>
      </c>
      <c r="J4" s="182">
        <f>'CapEx + D&amp;A'!BE16</f>
        <v>1692.7379416100814</v>
      </c>
    </row>
    <row r="5" spans="1:10" ht="13.5" customHeight="1" x14ac:dyDescent="0.15">
      <c r="A5" s="177" t="s">
        <v>159</v>
      </c>
      <c r="B5" s="181">
        <v>139.5</v>
      </c>
      <c r="C5" s="182">
        <v>241.8</v>
      </c>
      <c r="D5" s="180">
        <f t="shared" si="0"/>
        <v>0.73333333333333339</v>
      </c>
      <c r="E5" s="182">
        <v>200</v>
      </c>
      <c r="F5" s="182">
        <f t="shared" ref="F5:J5" si="1">E5*1.02</f>
        <v>204</v>
      </c>
      <c r="G5" s="182">
        <f t="shared" si="1"/>
        <v>208.08</v>
      </c>
      <c r="H5" s="182">
        <f t="shared" si="1"/>
        <v>212.24160000000001</v>
      </c>
      <c r="I5" s="182">
        <f t="shared" si="1"/>
        <v>216.48643200000001</v>
      </c>
      <c r="J5" s="182">
        <f t="shared" si="1"/>
        <v>220.81616064000002</v>
      </c>
    </row>
    <row r="6" spans="1:10" ht="13.5" customHeight="1" x14ac:dyDescent="0.15">
      <c r="A6" s="177" t="s">
        <v>160</v>
      </c>
      <c r="B6" s="181">
        <v>-13.2</v>
      </c>
      <c r="C6" s="182">
        <v>-7.9</v>
      </c>
      <c r="D6" s="180">
        <f t="shared" si="0"/>
        <v>-0.40151515151515149</v>
      </c>
      <c r="E6" s="182">
        <v>-10</v>
      </c>
      <c r="F6" s="182">
        <v>-10</v>
      </c>
      <c r="G6" s="182">
        <v>-10</v>
      </c>
      <c r="H6" s="182">
        <v>-10</v>
      </c>
      <c r="I6" s="182">
        <v>-10</v>
      </c>
      <c r="J6" s="182">
        <v>-10</v>
      </c>
    </row>
    <row r="7" spans="1:10" ht="13.5" customHeight="1" x14ac:dyDescent="0.15">
      <c r="A7" s="177" t="s">
        <v>161</v>
      </c>
      <c r="B7" s="181">
        <v>-130</v>
      </c>
      <c r="C7" s="182">
        <v>-88.7</v>
      </c>
      <c r="D7" s="180">
        <f t="shared" si="0"/>
        <v>-0.31769230769230772</v>
      </c>
      <c r="E7" s="182">
        <v>-100</v>
      </c>
      <c r="F7" s="182">
        <v>-100</v>
      </c>
      <c r="G7" s="182">
        <v>-100</v>
      </c>
      <c r="H7" s="182">
        <v>-100</v>
      </c>
      <c r="I7" s="182">
        <v>-100</v>
      </c>
      <c r="J7" s="182">
        <v>-100</v>
      </c>
    </row>
    <row r="8" spans="1:10" ht="13.5" customHeight="1" x14ac:dyDescent="0.15">
      <c r="A8" s="183" t="s">
        <v>162</v>
      </c>
      <c r="B8" s="184">
        <v>3491.7</v>
      </c>
      <c r="C8" s="185">
        <v>3510.8</v>
      </c>
      <c r="D8" s="186">
        <f t="shared" si="0"/>
        <v>5.4701148437725777E-3</v>
      </c>
      <c r="E8" s="185">
        <f t="shared" ref="E8:J8" si="2">SUM(E3:E7)</f>
        <v>5850.7231088000017</v>
      </c>
      <c r="F8" s="185">
        <f t="shared" si="2"/>
        <v>5530.8434971825782</v>
      </c>
      <c r="G8" s="185">
        <f t="shared" si="2"/>
        <v>6142.4869671005463</v>
      </c>
      <c r="H8" s="185">
        <f t="shared" si="2"/>
        <v>6813.3591273760576</v>
      </c>
      <c r="I8" s="185">
        <f t="shared" si="2"/>
        <v>6178.6920106439375</v>
      </c>
      <c r="J8" s="185">
        <f t="shared" si="2"/>
        <v>5905.2320745293982</v>
      </c>
    </row>
    <row r="9" spans="1:10" ht="13.5" customHeight="1" x14ac:dyDescent="0.15">
      <c r="A9" s="177" t="s">
        <v>163</v>
      </c>
      <c r="B9" s="181">
        <v>-183.5</v>
      </c>
      <c r="C9" s="182">
        <v>-322</v>
      </c>
      <c r="D9" s="180">
        <f t="shared" si="0"/>
        <v>0.75476839237057214</v>
      </c>
      <c r="E9" s="182">
        <f t="shared" ref="E9:E21" si="3">AVERAGE(B9:C9)</f>
        <v>-252.75</v>
      </c>
      <c r="F9" s="182">
        <v>-252.75</v>
      </c>
      <c r="G9" s="182">
        <v>-252.75</v>
      </c>
      <c r="H9" s="182">
        <v>-252.75</v>
      </c>
      <c r="I9" s="182">
        <v>-252.75</v>
      </c>
      <c r="J9" s="182">
        <v>-252.75</v>
      </c>
    </row>
    <row r="10" spans="1:10" ht="13.5" customHeight="1" x14ac:dyDescent="0.15">
      <c r="A10" s="177" t="s">
        <v>164</v>
      </c>
      <c r="B10" s="181">
        <v>44.4</v>
      </c>
      <c r="C10" s="182">
        <v>51.6</v>
      </c>
      <c r="D10" s="180">
        <f t="shared" si="0"/>
        <v>0.16216216216216228</v>
      </c>
      <c r="E10" s="182">
        <f t="shared" si="3"/>
        <v>48</v>
      </c>
      <c r="F10" s="182">
        <v>48</v>
      </c>
      <c r="G10" s="182">
        <v>48</v>
      </c>
      <c r="H10" s="182">
        <v>48</v>
      </c>
      <c r="I10" s="182">
        <v>48</v>
      </c>
      <c r="J10" s="182">
        <v>48</v>
      </c>
    </row>
    <row r="11" spans="1:10" ht="13.5" customHeight="1" x14ac:dyDescent="0.15">
      <c r="A11" s="177" t="s">
        <v>165</v>
      </c>
      <c r="B11" s="181">
        <v>111.4</v>
      </c>
      <c r="C11" s="182">
        <v>120.8</v>
      </c>
      <c r="D11" s="180">
        <f t="shared" si="0"/>
        <v>8.4380610412926327E-2</v>
      </c>
      <c r="E11" s="182">
        <f t="shared" si="3"/>
        <v>116.1</v>
      </c>
      <c r="F11" s="182">
        <v>116.1</v>
      </c>
      <c r="G11" s="182">
        <v>116.1</v>
      </c>
      <c r="H11" s="182">
        <v>116.1</v>
      </c>
      <c r="I11" s="182">
        <v>116.1</v>
      </c>
      <c r="J11" s="182">
        <v>116.1</v>
      </c>
    </row>
    <row r="12" spans="1:10" ht="13.5" customHeight="1" x14ac:dyDescent="0.15">
      <c r="A12" s="177" t="s">
        <v>166</v>
      </c>
      <c r="B12" s="181">
        <v>-147.69999999999999</v>
      </c>
      <c r="C12" s="182">
        <v>-16.7</v>
      </c>
      <c r="D12" s="180">
        <f t="shared" si="0"/>
        <v>-0.88693297224102907</v>
      </c>
      <c r="E12" s="182">
        <f t="shared" si="3"/>
        <v>-82.199999999999989</v>
      </c>
      <c r="F12" s="182">
        <v>-82.199999999999989</v>
      </c>
      <c r="G12" s="182">
        <v>-82.199999999999989</v>
      </c>
      <c r="H12" s="182">
        <v>-82.199999999999989</v>
      </c>
      <c r="I12" s="182">
        <v>-82.199999999999989</v>
      </c>
      <c r="J12" s="182">
        <v>-82.199999999999989</v>
      </c>
    </row>
    <row r="13" spans="1:10" ht="13.5" customHeight="1" x14ac:dyDescent="0.15">
      <c r="A13" s="177" t="s">
        <v>167</v>
      </c>
      <c r="B13" s="181">
        <v>199.6</v>
      </c>
      <c r="C13" s="182">
        <v>208.2</v>
      </c>
      <c r="D13" s="180">
        <f t="shared" si="0"/>
        <v>4.3086172344689366E-2</v>
      </c>
      <c r="E13" s="182">
        <f t="shared" si="3"/>
        <v>203.89999999999998</v>
      </c>
      <c r="F13" s="182">
        <v>203.89999999999998</v>
      </c>
      <c r="G13" s="182">
        <v>203.89999999999998</v>
      </c>
      <c r="H13" s="182">
        <v>203.89999999999998</v>
      </c>
      <c r="I13" s="182">
        <v>203.89999999999998</v>
      </c>
      <c r="J13" s="182">
        <v>203.89999999999998</v>
      </c>
    </row>
    <row r="14" spans="1:10" ht="13.5" customHeight="1" x14ac:dyDescent="0.15">
      <c r="A14" s="177" t="s">
        <v>168</v>
      </c>
      <c r="B14" s="181">
        <v>28.4</v>
      </c>
      <c r="C14" s="182">
        <v>33.299999999999997</v>
      </c>
      <c r="D14" s="180">
        <f t="shared" si="0"/>
        <v>0.17253521126760551</v>
      </c>
      <c r="E14" s="182">
        <f t="shared" si="3"/>
        <v>30.849999999999998</v>
      </c>
      <c r="F14" s="182">
        <v>30.849999999999998</v>
      </c>
      <c r="G14" s="182">
        <v>30.849999999999998</v>
      </c>
      <c r="H14" s="182">
        <v>30.849999999999998</v>
      </c>
      <c r="I14" s="182">
        <v>30.849999999999998</v>
      </c>
      <c r="J14" s="182">
        <v>30.849999999999998</v>
      </c>
    </row>
    <row r="15" spans="1:10" ht="13.5" customHeight="1" x14ac:dyDescent="0.15">
      <c r="A15" s="177" t="s">
        <v>169</v>
      </c>
      <c r="B15" s="181">
        <v>-14.2</v>
      </c>
      <c r="C15" s="182">
        <v>-63.3</v>
      </c>
      <c r="D15" s="180">
        <f t="shared" si="0"/>
        <v>3.457746478873239</v>
      </c>
      <c r="E15" s="182">
        <f t="shared" si="3"/>
        <v>-38.75</v>
      </c>
      <c r="F15" s="182">
        <v>-38.75</v>
      </c>
      <c r="G15" s="182">
        <v>-38.75</v>
      </c>
      <c r="H15" s="182">
        <v>-38.75</v>
      </c>
      <c r="I15" s="182">
        <v>-38.75</v>
      </c>
      <c r="J15" s="182">
        <v>-38.75</v>
      </c>
    </row>
    <row r="16" spans="1:10" ht="13.5" customHeight="1" x14ac:dyDescent="0.15">
      <c r="A16" s="177" t="s">
        <v>170</v>
      </c>
      <c r="B16" s="181">
        <v>-17.600000000000001</v>
      </c>
      <c r="C16" s="182">
        <v>240.8</v>
      </c>
      <c r="D16" s="180">
        <f t="shared" si="0"/>
        <v>-14.681818181818182</v>
      </c>
      <c r="E16" s="182">
        <f t="shared" si="3"/>
        <v>111.60000000000001</v>
      </c>
      <c r="F16" s="182">
        <v>111.60000000000001</v>
      </c>
      <c r="G16" s="182">
        <v>111.60000000000001</v>
      </c>
      <c r="H16" s="182">
        <v>111.60000000000001</v>
      </c>
      <c r="I16" s="182">
        <v>111.60000000000001</v>
      </c>
      <c r="J16" s="182">
        <v>111.60000000000001</v>
      </c>
    </row>
    <row r="17" spans="1:10" ht="13.5" customHeight="1" x14ac:dyDescent="0.15">
      <c r="A17" s="177" t="s">
        <v>120</v>
      </c>
      <c r="B17" s="181">
        <v>22.2</v>
      </c>
      <c r="C17" s="182">
        <v>71.8</v>
      </c>
      <c r="D17" s="180">
        <f t="shared" si="0"/>
        <v>2.2342342342342341</v>
      </c>
      <c r="E17" s="182">
        <f t="shared" si="3"/>
        <v>47</v>
      </c>
      <c r="F17" s="182">
        <v>47</v>
      </c>
      <c r="G17" s="182">
        <v>47</v>
      </c>
      <c r="H17" s="182">
        <v>47</v>
      </c>
      <c r="I17" s="182">
        <v>47</v>
      </c>
      <c r="J17" s="182">
        <v>47</v>
      </c>
    </row>
    <row r="18" spans="1:10" ht="13.5" customHeight="1" x14ac:dyDescent="0.15">
      <c r="A18" s="177" t="s">
        <v>171</v>
      </c>
      <c r="B18" s="181">
        <v>26.8</v>
      </c>
      <c r="C18" s="182">
        <v>24</v>
      </c>
      <c r="D18" s="180">
        <f t="shared" si="0"/>
        <v>-0.10447761194029848</v>
      </c>
      <c r="E18" s="182">
        <f t="shared" si="3"/>
        <v>25.4</v>
      </c>
      <c r="F18" s="182">
        <v>25.4</v>
      </c>
      <c r="G18" s="182">
        <v>25.4</v>
      </c>
      <c r="H18" s="182">
        <v>25.4</v>
      </c>
      <c r="I18" s="182">
        <v>25.4</v>
      </c>
      <c r="J18" s="182">
        <v>25.4</v>
      </c>
    </row>
    <row r="19" spans="1:10" ht="13.5" customHeight="1" x14ac:dyDescent="0.15">
      <c r="A19" s="177" t="s">
        <v>172</v>
      </c>
      <c r="B19" s="181">
        <v>-160</v>
      </c>
      <c r="C19" s="182">
        <v>-150.30000000000001</v>
      </c>
      <c r="D19" s="180">
        <f t="shared" si="0"/>
        <v>-6.0624999999999929E-2</v>
      </c>
      <c r="E19" s="182">
        <f t="shared" si="3"/>
        <v>-155.15</v>
      </c>
      <c r="F19" s="182">
        <v>-155.15</v>
      </c>
      <c r="G19" s="182">
        <v>-155.15</v>
      </c>
      <c r="H19" s="182">
        <v>-155.15</v>
      </c>
      <c r="I19" s="182">
        <v>-155.15</v>
      </c>
      <c r="J19" s="182">
        <v>-155.15</v>
      </c>
    </row>
    <row r="20" spans="1:10" ht="13.5" customHeight="1" x14ac:dyDescent="0.15">
      <c r="A20" s="177" t="s">
        <v>173</v>
      </c>
      <c r="B20" s="181">
        <v>-10.6</v>
      </c>
      <c r="C20" s="182">
        <v>-9.3000000000000007</v>
      </c>
      <c r="D20" s="180">
        <f t="shared" si="0"/>
        <v>-0.12264150943396213</v>
      </c>
      <c r="E20" s="182">
        <f t="shared" si="3"/>
        <v>-9.9499999999999993</v>
      </c>
      <c r="F20" s="182">
        <v>-9.9499999999999993</v>
      </c>
      <c r="G20" s="182">
        <v>-9.9499999999999993</v>
      </c>
      <c r="H20" s="182">
        <v>-9.9499999999999993</v>
      </c>
      <c r="I20" s="182">
        <v>-9.9499999999999993</v>
      </c>
      <c r="J20" s="182">
        <v>-9.9499999999999993</v>
      </c>
    </row>
    <row r="21" spans="1:10" ht="13.5" customHeight="1" x14ac:dyDescent="0.15">
      <c r="A21" s="177" t="s">
        <v>161</v>
      </c>
      <c r="B21" s="181">
        <v>130</v>
      </c>
      <c r="C21" s="182">
        <v>88.7</v>
      </c>
      <c r="D21" s="180">
        <f t="shared" si="0"/>
        <v>-0.31769230769230772</v>
      </c>
      <c r="E21" s="182">
        <f t="shared" si="3"/>
        <v>109.35</v>
      </c>
      <c r="F21" s="182">
        <v>109.35</v>
      </c>
      <c r="G21" s="182">
        <v>109.35</v>
      </c>
      <c r="H21" s="182">
        <v>109.35</v>
      </c>
      <c r="I21" s="182">
        <v>109.35</v>
      </c>
      <c r="J21" s="182">
        <v>109.35</v>
      </c>
    </row>
    <row r="22" spans="1:10" ht="13.5" customHeight="1" x14ac:dyDescent="0.15">
      <c r="A22" s="177" t="s">
        <v>174</v>
      </c>
      <c r="B22" s="181">
        <v>3520.9</v>
      </c>
      <c r="C22" s="182">
        <v>3788.4</v>
      </c>
      <c r="D22" s="180">
        <f t="shared" si="0"/>
        <v>7.5974892783095216E-2</v>
      </c>
      <c r="E22" s="182">
        <f t="shared" ref="E22:J22" si="4">SUM(E8:E21)</f>
        <v>6004.1231088000031</v>
      </c>
      <c r="F22" s="182">
        <f t="shared" si="4"/>
        <v>5684.2434971825796</v>
      </c>
      <c r="G22" s="182">
        <f t="shared" si="4"/>
        <v>6295.8869671005477</v>
      </c>
      <c r="H22" s="182">
        <f t="shared" si="4"/>
        <v>6966.759127376059</v>
      </c>
      <c r="I22" s="182">
        <f t="shared" si="4"/>
        <v>6332.0920106439389</v>
      </c>
      <c r="J22" s="182">
        <f t="shared" si="4"/>
        <v>6058.6320745293997</v>
      </c>
    </row>
    <row r="23" spans="1:10" ht="13.5" customHeight="1" x14ac:dyDescent="0.15">
      <c r="A23" s="177" t="s">
        <v>175</v>
      </c>
      <c r="B23" s="181">
        <v>-79.2</v>
      </c>
      <c r="C23" s="182">
        <v>-24.9</v>
      </c>
      <c r="D23" s="180">
        <f t="shared" si="0"/>
        <v>-0.68560606060606055</v>
      </c>
      <c r="E23" s="182">
        <f>AVERAGE(B23:C23)</f>
        <v>-52.05</v>
      </c>
      <c r="F23" s="182">
        <v>-52</v>
      </c>
      <c r="G23" s="182">
        <v>-52</v>
      </c>
      <c r="H23" s="182">
        <v>-52</v>
      </c>
      <c r="I23" s="182">
        <v>-52</v>
      </c>
      <c r="J23" s="182">
        <v>-52</v>
      </c>
    </row>
    <row r="24" spans="1:10" ht="13.5" customHeight="1" x14ac:dyDescent="0.15">
      <c r="A24" s="187" t="s">
        <v>176</v>
      </c>
      <c r="B24" s="188">
        <v>3441.7</v>
      </c>
      <c r="C24" s="189">
        <v>3763.5</v>
      </c>
      <c r="D24" s="190">
        <f t="shared" si="0"/>
        <v>9.350030508179108E-2</v>
      </c>
      <c r="E24" s="189">
        <f t="shared" ref="E24:J24" si="5">SUM(E22:E23)</f>
        <v>5952.073108800003</v>
      </c>
      <c r="F24" s="189">
        <f t="shared" si="5"/>
        <v>5632.2434971825796</v>
      </c>
      <c r="G24" s="189">
        <f t="shared" si="5"/>
        <v>6243.8869671005477</v>
      </c>
      <c r="H24" s="189">
        <f t="shared" si="5"/>
        <v>6914.759127376059</v>
      </c>
      <c r="I24" s="189">
        <f t="shared" si="5"/>
        <v>6280.0920106439389</v>
      </c>
      <c r="J24" s="189">
        <f t="shared" si="5"/>
        <v>6006.6320745293997</v>
      </c>
    </row>
    <row r="25" spans="1:10" ht="13.5" customHeight="1" x14ac:dyDescent="0.15">
      <c r="A25" s="2"/>
      <c r="B25" s="191"/>
      <c r="C25" s="191"/>
      <c r="D25" s="2"/>
      <c r="E25" s="2"/>
      <c r="F25" s="2"/>
      <c r="G25" s="2"/>
      <c r="H25" s="2"/>
      <c r="I25" s="2"/>
      <c r="J25" s="2"/>
    </row>
    <row r="26" spans="1:10" ht="13.5" customHeight="1" x14ac:dyDescent="0.15">
      <c r="A26" s="2"/>
      <c r="B26" s="2"/>
      <c r="C26" s="2"/>
      <c r="D26" s="2"/>
      <c r="E26" s="2"/>
      <c r="F26" s="2"/>
      <c r="G26" s="2"/>
      <c r="H26" s="2"/>
      <c r="I26" s="2"/>
      <c r="J26" s="2"/>
    </row>
    <row r="27" spans="1:10" ht="13.5" customHeight="1" x14ac:dyDescent="0.15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 ht="13.5" customHeight="1" x14ac:dyDescent="0.15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ht="13.5" customHeight="1" x14ac:dyDescent="0.15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ht="13.5" customHeight="1" x14ac:dyDescent="0.15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ht="13.5" customHeight="1" x14ac:dyDescent="0.15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ht="13.5" customHeight="1" x14ac:dyDescent="0.1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ht="13.5" customHeight="1" x14ac:dyDescent="0.15"/>
    <row r="34" ht="13.5" customHeight="1" x14ac:dyDescent="0.15"/>
    <row r="35" ht="13.5" customHeight="1" x14ac:dyDescent="0.15"/>
    <row r="36" ht="13.5" customHeight="1" x14ac:dyDescent="0.15"/>
    <row r="37" ht="13.5" customHeight="1" x14ac:dyDescent="0.15"/>
    <row r="38" ht="13.5" customHeight="1" x14ac:dyDescent="0.15"/>
    <row r="39" ht="13.5" customHeight="1" x14ac:dyDescent="0.15"/>
    <row r="40" ht="13.5" customHeight="1" x14ac:dyDescent="0.15"/>
    <row r="41" ht="13.5" customHeight="1" x14ac:dyDescent="0.15"/>
    <row r="42" ht="13.5" customHeight="1" x14ac:dyDescent="0.15"/>
    <row r="43" ht="13.5" customHeight="1" x14ac:dyDescent="0.15"/>
    <row r="44" ht="13.5" customHeight="1" x14ac:dyDescent="0.15"/>
    <row r="45" ht="13.5" customHeight="1" x14ac:dyDescent="0.15"/>
    <row r="46" ht="13.5" customHeight="1" x14ac:dyDescent="0.15"/>
    <row r="47" ht="13.5" customHeight="1" x14ac:dyDescent="0.15"/>
    <row r="48" ht="13.5" customHeight="1" x14ac:dyDescent="0.15"/>
    <row r="49" ht="13.5" customHeight="1" x14ac:dyDescent="0.15"/>
    <row r="50" ht="13.5" customHeight="1" x14ac:dyDescent="0.15"/>
    <row r="51" ht="13.5" customHeight="1" x14ac:dyDescent="0.15"/>
    <row r="52" ht="13.5" customHeight="1" x14ac:dyDescent="0.15"/>
    <row r="53" ht="13.5" customHeight="1" x14ac:dyDescent="0.15"/>
    <row r="54" ht="13.5" customHeight="1" x14ac:dyDescent="0.15"/>
    <row r="55" ht="13.5" customHeight="1" x14ac:dyDescent="0.15"/>
    <row r="56" ht="13.5" customHeight="1" x14ac:dyDescent="0.15"/>
    <row r="57" ht="13.5" customHeight="1" x14ac:dyDescent="0.15"/>
    <row r="58" ht="13.5" customHeight="1" x14ac:dyDescent="0.15"/>
    <row r="59" ht="13.5" customHeight="1" x14ac:dyDescent="0.15"/>
    <row r="60" ht="13.5" customHeight="1" x14ac:dyDescent="0.15"/>
    <row r="61" ht="13.5" customHeight="1" x14ac:dyDescent="0.15"/>
    <row r="62" ht="13.5" customHeight="1" x14ac:dyDescent="0.15"/>
    <row r="63" ht="13.5" customHeight="1" x14ac:dyDescent="0.15"/>
    <row r="64" ht="13.5" customHeight="1" x14ac:dyDescent="0.15"/>
    <row r="65" ht="13.5" customHeight="1" x14ac:dyDescent="0.15"/>
    <row r="66" ht="13.5" customHeight="1" x14ac:dyDescent="0.15"/>
    <row r="67" ht="13.5" customHeight="1" x14ac:dyDescent="0.15"/>
    <row r="68" ht="13.5" customHeight="1" x14ac:dyDescent="0.15"/>
    <row r="69" ht="13.5" customHeight="1" x14ac:dyDescent="0.15"/>
    <row r="70" ht="13.5" customHeight="1" x14ac:dyDescent="0.15"/>
    <row r="71" ht="13.5" customHeight="1" x14ac:dyDescent="0.15"/>
    <row r="72" ht="13.5" customHeight="1" x14ac:dyDescent="0.15"/>
    <row r="73" ht="13.5" customHeight="1" x14ac:dyDescent="0.15"/>
    <row r="74" ht="13.5" customHeight="1" x14ac:dyDescent="0.15"/>
    <row r="75" ht="13.5" customHeight="1" x14ac:dyDescent="0.15"/>
    <row r="76" ht="13.5" customHeight="1" x14ac:dyDescent="0.15"/>
    <row r="77" ht="13.5" customHeight="1" x14ac:dyDescent="0.15"/>
    <row r="78" ht="13.5" customHeight="1" x14ac:dyDescent="0.15"/>
    <row r="79" ht="13.5" customHeight="1" x14ac:dyDescent="0.15"/>
    <row r="80" ht="13.5" customHeight="1" x14ac:dyDescent="0.15"/>
    <row r="81" ht="13.5" customHeight="1" x14ac:dyDescent="0.15"/>
    <row r="82" ht="13.5" customHeight="1" x14ac:dyDescent="0.15"/>
    <row r="83" ht="13.5" customHeight="1" x14ac:dyDescent="0.15"/>
    <row r="84" ht="13.5" customHeight="1" x14ac:dyDescent="0.15"/>
    <row r="85" ht="13.5" customHeight="1" x14ac:dyDescent="0.15"/>
    <row r="86" ht="13.5" customHeight="1" x14ac:dyDescent="0.15"/>
    <row r="87" ht="13.5" customHeight="1" x14ac:dyDescent="0.15"/>
    <row r="88" ht="13.5" customHeight="1" x14ac:dyDescent="0.15"/>
    <row r="89" ht="13.5" customHeight="1" x14ac:dyDescent="0.15"/>
    <row r="90" ht="13.5" customHeight="1" x14ac:dyDescent="0.15"/>
    <row r="91" ht="13.5" customHeight="1" x14ac:dyDescent="0.15"/>
    <row r="92" ht="13.5" customHeight="1" x14ac:dyDescent="0.15"/>
    <row r="93" ht="13.5" customHeight="1" x14ac:dyDescent="0.15"/>
    <row r="94" ht="13.5" customHeight="1" x14ac:dyDescent="0.15"/>
    <row r="95" ht="13.5" customHeight="1" x14ac:dyDescent="0.15"/>
    <row r="96" ht="13.5" customHeight="1" x14ac:dyDescent="0.15"/>
    <row r="97" ht="13.5" customHeight="1" x14ac:dyDescent="0.15"/>
    <row r="98" ht="13.5" customHeight="1" x14ac:dyDescent="0.15"/>
    <row r="99" ht="13.5" customHeight="1" x14ac:dyDescent="0.15"/>
    <row r="100" ht="13.5" customHeight="1" x14ac:dyDescent="0.15"/>
    <row r="101" ht="13.5" customHeight="1" x14ac:dyDescent="0.15"/>
    <row r="102" ht="13.5" customHeight="1" x14ac:dyDescent="0.15"/>
    <row r="103" ht="13.5" customHeight="1" x14ac:dyDescent="0.15"/>
    <row r="104" ht="13.5" customHeight="1" x14ac:dyDescent="0.15"/>
    <row r="105" ht="13.5" customHeight="1" x14ac:dyDescent="0.15"/>
    <row r="106" ht="13.5" customHeight="1" x14ac:dyDescent="0.15"/>
    <row r="107" ht="13.5" customHeight="1" x14ac:dyDescent="0.15"/>
    <row r="108" ht="13.5" customHeight="1" x14ac:dyDescent="0.15"/>
    <row r="109" ht="13.5" customHeight="1" x14ac:dyDescent="0.15"/>
    <row r="110" ht="13.5" customHeight="1" x14ac:dyDescent="0.15"/>
    <row r="111" ht="13.5" customHeight="1" x14ac:dyDescent="0.15"/>
    <row r="112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  <row r="129" ht="13.5" customHeight="1" x14ac:dyDescent="0.15"/>
    <row r="130" ht="13.5" customHeight="1" x14ac:dyDescent="0.15"/>
    <row r="131" ht="13.5" customHeight="1" x14ac:dyDescent="0.15"/>
    <row r="132" ht="13.5" customHeight="1" x14ac:dyDescent="0.15"/>
    <row r="133" ht="13.5" customHeight="1" x14ac:dyDescent="0.15"/>
    <row r="134" ht="13.5" customHeight="1" x14ac:dyDescent="0.15"/>
    <row r="135" ht="13.5" customHeight="1" x14ac:dyDescent="0.15"/>
    <row r="136" ht="13.5" customHeight="1" x14ac:dyDescent="0.15"/>
    <row r="137" ht="13.5" customHeight="1" x14ac:dyDescent="0.15"/>
    <row r="138" ht="13.5" customHeight="1" x14ac:dyDescent="0.15"/>
    <row r="139" ht="13.5" customHeight="1" x14ac:dyDescent="0.15"/>
    <row r="140" ht="13.5" customHeight="1" x14ac:dyDescent="0.15"/>
    <row r="141" ht="13.5" customHeight="1" x14ac:dyDescent="0.15"/>
    <row r="142" ht="13.5" customHeight="1" x14ac:dyDescent="0.15"/>
    <row r="143" ht="13.5" customHeight="1" x14ac:dyDescent="0.15"/>
    <row r="144" ht="13.5" customHeight="1" x14ac:dyDescent="0.15"/>
    <row r="145" ht="13.5" customHeight="1" x14ac:dyDescent="0.15"/>
    <row r="146" ht="13.5" customHeight="1" x14ac:dyDescent="0.15"/>
    <row r="147" ht="13.5" customHeight="1" x14ac:dyDescent="0.15"/>
    <row r="148" ht="13.5" customHeight="1" x14ac:dyDescent="0.15"/>
    <row r="149" ht="13.5" customHeight="1" x14ac:dyDescent="0.15"/>
    <row r="150" ht="13.5" customHeight="1" x14ac:dyDescent="0.15"/>
    <row r="151" ht="13.5" customHeight="1" x14ac:dyDescent="0.15"/>
    <row r="152" ht="13.5" customHeight="1" x14ac:dyDescent="0.15"/>
    <row r="153" ht="13.5" customHeight="1" x14ac:dyDescent="0.15"/>
    <row r="154" ht="13.5" customHeight="1" x14ac:dyDescent="0.15"/>
    <row r="155" ht="13.5" customHeight="1" x14ac:dyDescent="0.15"/>
    <row r="156" ht="13.5" customHeight="1" x14ac:dyDescent="0.15"/>
    <row r="157" ht="13.5" customHeight="1" x14ac:dyDescent="0.15"/>
    <row r="158" ht="13.5" customHeight="1" x14ac:dyDescent="0.15"/>
    <row r="159" ht="13.5" customHeight="1" x14ac:dyDescent="0.15"/>
    <row r="160" ht="13.5" customHeight="1" x14ac:dyDescent="0.15"/>
    <row r="161" ht="13.5" customHeight="1" x14ac:dyDescent="0.15"/>
    <row r="162" ht="13.5" customHeight="1" x14ac:dyDescent="0.15"/>
    <row r="163" ht="13.5" customHeight="1" x14ac:dyDescent="0.15"/>
    <row r="164" ht="13.5" customHeight="1" x14ac:dyDescent="0.15"/>
    <row r="165" ht="13.5" customHeight="1" x14ac:dyDescent="0.15"/>
    <row r="166" ht="13.5" customHeight="1" x14ac:dyDescent="0.15"/>
    <row r="167" ht="13.5" customHeight="1" x14ac:dyDescent="0.15"/>
    <row r="168" ht="13.5" customHeight="1" x14ac:dyDescent="0.15"/>
    <row r="169" ht="13.5" customHeight="1" x14ac:dyDescent="0.15"/>
    <row r="170" ht="13.5" customHeight="1" x14ac:dyDescent="0.15"/>
    <row r="171" ht="13.5" customHeight="1" x14ac:dyDescent="0.15"/>
    <row r="172" ht="13.5" customHeight="1" x14ac:dyDescent="0.15"/>
    <row r="173" ht="13.5" customHeight="1" x14ac:dyDescent="0.15"/>
    <row r="174" ht="13.5" customHeight="1" x14ac:dyDescent="0.15"/>
    <row r="175" ht="13.5" customHeight="1" x14ac:dyDescent="0.15"/>
    <row r="176" ht="13.5" customHeight="1" x14ac:dyDescent="0.15"/>
    <row r="177" ht="13.5" customHeight="1" x14ac:dyDescent="0.15"/>
    <row r="178" ht="13.5" customHeight="1" x14ac:dyDescent="0.15"/>
    <row r="179" ht="13.5" customHeight="1" x14ac:dyDescent="0.15"/>
    <row r="180" ht="13.5" customHeight="1" x14ac:dyDescent="0.15"/>
    <row r="181" ht="13.5" customHeight="1" x14ac:dyDescent="0.15"/>
    <row r="182" ht="13.5" customHeight="1" x14ac:dyDescent="0.15"/>
    <row r="183" ht="13.5" customHeight="1" x14ac:dyDescent="0.15"/>
    <row r="184" ht="13.5" customHeight="1" x14ac:dyDescent="0.15"/>
    <row r="185" ht="13.5" customHeight="1" x14ac:dyDescent="0.15"/>
    <row r="186" ht="13.5" customHeight="1" x14ac:dyDescent="0.15"/>
    <row r="187" ht="13.5" customHeight="1" x14ac:dyDescent="0.15"/>
    <row r="188" ht="13.5" customHeight="1" x14ac:dyDescent="0.15"/>
    <row r="189" ht="13.5" customHeight="1" x14ac:dyDescent="0.15"/>
    <row r="190" ht="13.5" customHeight="1" x14ac:dyDescent="0.15"/>
    <row r="191" ht="13.5" customHeight="1" x14ac:dyDescent="0.15"/>
    <row r="192" ht="13.5" customHeight="1" x14ac:dyDescent="0.15"/>
    <row r="193" ht="13.5" customHeight="1" x14ac:dyDescent="0.15"/>
    <row r="194" ht="13.5" customHeight="1" x14ac:dyDescent="0.15"/>
    <row r="195" ht="13.5" customHeight="1" x14ac:dyDescent="0.15"/>
    <row r="196" ht="13.5" customHeight="1" x14ac:dyDescent="0.15"/>
    <row r="197" ht="13.5" customHeight="1" x14ac:dyDescent="0.15"/>
    <row r="198" ht="13.5" customHeight="1" x14ac:dyDescent="0.15"/>
    <row r="199" ht="13.5" customHeight="1" x14ac:dyDescent="0.15"/>
    <row r="200" ht="13.5" customHeight="1" x14ac:dyDescent="0.15"/>
    <row r="201" ht="13.5" customHeight="1" x14ac:dyDescent="0.15"/>
    <row r="202" ht="13.5" customHeight="1" x14ac:dyDescent="0.15"/>
    <row r="203" ht="13.5" customHeight="1" x14ac:dyDescent="0.15"/>
    <row r="204" ht="13.5" customHeight="1" x14ac:dyDescent="0.15"/>
    <row r="205" ht="13.5" customHeight="1" x14ac:dyDescent="0.15"/>
    <row r="206" ht="13.5" customHeight="1" x14ac:dyDescent="0.15"/>
    <row r="207" ht="13.5" customHeight="1" x14ac:dyDescent="0.15"/>
    <row r="208" ht="13.5" customHeight="1" x14ac:dyDescent="0.15"/>
    <row r="209" ht="13.5" customHeight="1" x14ac:dyDescent="0.15"/>
    <row r="210" ht="13.5" customHeight="1" x14ac:dyDescent="0.15"/>
    <row r="211" ht="13.5" customHeight="1" x14ac:dyDescent="0.15"/>
    <row r="212" ht="13.5" customHeight="1" x14ac:dyDescent="0.15"/>
    <row r="213" ht="13.5" customHeight="1" x14ac:dyDescent="0.15"/>
    <row r="214" ht="13.5" customHeight="1" x14ac:dyDescent="0.15"/>
    <row r="215" ht="13.5" customHeight="1" x14ac:dyDescent="0.15"/>
    <row r="216" ht="13.5" customHeight="1" x14ac:dyDescent="0.15"/>
    <row r="217" ht="13.5" customHeight="1" x14ac:dyDescent="0.15"/>
    <row r="218" ht="13.5" customHeight="1" x14ac:dyDescent="0.15"/>
    <row r="219" ht="13.5" customHeight="1" x14ac:dyDescent="0.15"/>
    <row r="220" ht="13.5" customHeight="1" x14ac:dyDescent="0.15"/>
    <row r="221" ht="13.5" customHeight="1" x14ac:dyDescent="0.15"/>
    <row r="222" ht="13.5" customHeight="1" x14ac:dyDescent="0.15"/>
    <row r="223" ht="13.5" customHeight="1" x14ac:dyDescent="0.15"/>
    <row r="224" ht="13.5" customHeight="1" x14ac:dyDescent="0.15"/>
    <row r="225" ht="13.5" customHeight="1" x14ac:dyDescent="0.15"/>
    <row r="226" ht="13.5" customHeight="1" x14ac:dyDescent="0.15"/>
    <row r="227" ht="13.5" customHeight="1" x14ac:dyDescent="0.15"/>
    <row r="228" ht="13.5" customHeight="1" x14ac:dyDescent="0.15"/>
    <row r="229" ht="13.5" customHeight="1" x14ac:dyDescent="0.15"/>
    <row r="230" ht="13.5" customHeight="1" x14ac:dyDescent="0.15"/>
    <row r="231" ht="13.5" customHeight="1" x14ac:dyDescent="0.15"/>
    <row r="232" ht="13.5" customHeight="1" x14ac:dyDescent="0.15"/>
    <row r="233" ht="13.5" customHeight="1" x14ac:dyDescent="0.15"/>
    <row r="234" ht="13.5" customHeight="1" x14ac:dyDescent="0.15"/>
    <row r="235" ht="13.5" customHeight="1" x14ac:dyDescent="0.15"/>
    <row r="236" ht="13.5" customHeight="1" x14ac:dyDescent="0.15"/>
    <row r="237" ht="13.5" customHeight="1" x14ac:dyDescent="0.15"/>
    <row r="238" ht="13.5" customHeight="1" x14ac:dyDescent="0.15"/>
    <row r="239" ht="13.5" customHeight="1" x14ac:dyDescent="0.15"/>
    <row r="240" ht="13.5" customHeight="1" x14ac:dyDescent="0.15"/>
    <row r="241" ht="13.5" customHeight="1" x14ac:dyDescent="0.15"/>
    <row r="242" ht="13.5" customHeight="1" x14ac:dyDescent="0.15"/>
    <row r="243" ht="13.5" customHeight="1" x14ac:dyDescent="0.15"/>
    <row r="244" ht="13.5" customHeight="1" x14ac:dyDescent="0.15"/>
    <row r="245" ht="13.5" customHeight="1" x14ac:dyDescent="0.15"/>
    <row r="246" ht="13.5" customHeight="1" x14ac:dyDescent="0.15"/>
    <row r="247" ht="13.5" customHeight="1" x14ac:dyDescent="0.15"/>
    <row r="248" ht="13.5" customHeight="1" x14ac:dyDescent="0.15"/>
    <row r="249" ht="13.5" customHeight="1" x14ac:dyDescent="0.15"/>
    <row r="250" ht="13.5" customHeight="1" x14ac:dyDescent="0.15"/>
    <row r="251" ht="13.5" customHeight="1" x14ac:dyDescent="0.15"/>
    <row r="252" ht="13.5" customHeight="1" x14ac:dyDescent="0.15"/>
    <row r="253" ht="13.5" customHeight="1" x14ac:dyDescent="0.15"/>
    <row r="254" ht="13.5" customHeight="1" x14ac:dyDescent="0.15"/>
    <row r="255" ht="13.5" customHeight="1" x14ac:dyDescent="0.15"/>
    <row r="256" ht="13.5" customHeight="1" x14ac:dyDescent="0.15"/>
    <row r="257" ht="13.5" customHeight="1" x14ac:dyDescent="0.15"/>
    <row r="258" ht="13.5" customHeight="1" x14ac:dyDescent="0.15"/>
    <row r="259" ht="13.5" customHeight="1" x14ac:dyDescent="0.15"/>
    <row r="260" ht="13.5" customHeight="1" x14ac:dyDescent="0.15"/>
    <row r="261" ht="13.5" customHeight="1" x14ac:dyDescent="0.15"/>
    <row r="262" ht="13.5" customHeight="1" x14ac:dyDescent="0.15"/>
    <row r="263" ht="13.5" customHeight="1" x14ac:dyDescent="0.15"/>
    <row r="264" ht="13.5" customHeight="1" x14ac:dyDescent="0.15"/>
    <row r="265" ht="13.5" customHeight="1" x14ac:dyDescent="0.15"/>
    <row r="266" ht="13.5" customHeight="1" x14ac:dyDescent="0.15"/>
    <row r="267" ht="13.5" customHeight="1" x14ac:dyDescent="0.15"/>
    <row r="268" ht="13.5" customHeight="1" x14ac:dyDescent="0.15"/>
    <row r="269" ht="13.5" customHeight="1" x14ac:dyDescent="0.15"/>
    <row r="270" ht="13.5" customHeight="1" x14ac:dyDescent="0.15"/>
    <row r="271" ht="13.5" customHeight="1" x14ac:dyDescent="0.15"/>
    <row r="272" ht="13.5" customHeight="1" x14ac:dyDescent="0.15"/>
    <row r="273" ht="13.5" customHeight="1" x14ac:dyDescent="0.15"/>
    <row r="274" ht="13.5" customHeight="1" x14ac:dyDescent="0.15"/>
    <row r="275" ht="13.5" customHeight="1" x14ac:dyDescent="0.15"/>
    <row r="276" ht="13.5" customHeight="1" x14ac:dyDescent="0.15"/>
    <row r="277" ht="13.5" customHeight="1" x14ac:dyDescent="0.15"/>
    <row r="278" ht="13.5" customHeight="1" x14ac:dyDescent="0.15"/>
    <row r="279" ht="13.5" customHeight="1" x14ac:dyDescent="0.15"/>
    <row r="280" ht="13.5" customHeight="1" x14ac:dyDescent="0.15"/>
    <row r="281" ht="13.5" customHeight="1" x14ac:dyDescent="0.15"/>
    <row r="282" ht="13.5" customHeight="1" x14ac:dyDescent="0.15"/>
    <row r="283" ht="13.5" customHeight="1" x14ac:dyDescent="0.15"/>
    <row r="284" ht="13.5" customHeight="1" x14ac:dyDescent="0.15"/>
    <row r="285" ht="13.5" customHeight="1" x14ac:dyDescent="0.15"/>
    <row r="286" ht="13.5" customHeight="1" x14ac:dyDescent="0.15"/>
    <row r="287" ht="13.5" customHeight="1" x14ac:dyDescent="0.15"/>
    <row r="288" ht="13.5" customHeight="1" x14ac:dyDescent="0.15"/>
    <row r="289" ht="13.5" customHeight="1" x14ac:dyDescent="0.15"/>
    <row r="290" ht="13.5" customHeight="1" x14ac:dyDescent="0.15"/>
    <row r="291" ht="13.5" customHeight="1" x14ac:dyDescent="0.15"/>
    <row r="292" ht="13.5" customHeight="1" x14ac:dyDescent="0.15"/>
    <row r="293" ht="13.5" customHeight="1" x14ac:dyDescent="0.15"/>
    <row r="294" ht="13.5" customHeight="1" x14ac:dyDescent="0.15"/>
    <row r="295" ht="13.5" customHeight="1" x14ac:dyDescent="0.15"/>
    <row r="296" ht="13.5" customHeight="1" x14ac:dyDescent="0.15"/>
    <row r="297" ht="13.5" customHeight="1" x14ac:dyDescent="0.15"/>
    <row r="298" ht="13.5" customHeight="1" x14ac:dyDescent="0.15"/>
    <row r="299" ht="13.5" customHeight="1" x14ac:dyDescent="0.15"/>
    <row r="300" ht="13.5" customHeight="1" x14ac:dyDescent="0.15"/>
    <row r="301" ht="13.5" customHeight="1" x14ac:dyDescent="0.15"/>
    <row r="302" ht="13.5" customHeight="1" x14ac:dyDescent="0.15"/>
    <row r="303" ht="13.5" customHeight="1" x14ac:dyDescent="0.15"/>
    <row r="304" ht="13.5" customHeight="1" x14ac:dyDescent="0.15"/>
    <row r="305" ht="13.5" customHeight="1" x14ac:dyDescent="0.15"/>
    <row r="306" ht="13.5" customHeight="1" x14ac:dyDescent="0.15"/>
    <row r="307" ht="13.5" customHeight="1" x14ac:dyDescent="0.15"/>
    <row r="308" ht="13.5" customHeight="1" x14ac:dyDescent="0.15"/>
    <row r="309" ht="13.5" customHeight="1" x14ac:dyDescent="0.15"/>
    <row r="310" ht="13.5" customHeight="1" x14ac:dyDescent="0.15"/>
    <row r="311" ht="13.5" customHeight="1" x14ac:dyDescent="0.15"/>
    <row r="312" ht="13.5" customHeight="1" x14ac:dyDescent="0.15"/>
    <row r="313" ht="13.5" customHeight="1" x14ac:dyDescent="0.15"/>
    <row r="314" ht="13.5" customHeight="1" x14ac:dyDescent="0.15"/>
    <row r="315" ht="13.5" customHeight="1" x14ac:dyDescent="0.15"/>
    <row r="316" ht="13.5" customHeight="1" x14ac:dyDescent="0.15"/>
    <row r="317" ht="13.5" customHeight="1" x14ac:dyDescent="0.15"/>
    <row r="318" ht="13.5" customHeight="1" x14ac:dyDescent="0.15"/>
    <row r="319" ht="13.5" customHeight="1" x14ac:dyDescent="0.15"/>
    <row r="320" ht="13.5" customHeight="1" x14ac:dyDescent="0.15"/>
    <row r="321" ht="13.5" customHeight="1" x14ac:dyDescent="0.15"/>
    <row r="322" ht="13.5" customHeight="1" x14ac:dyDescent="0.15"/>
    <row r="323" ht="13.5" customHeight="1" x14ac:dyDescent="0.15"/>
    <row r="324" ht="13.5" customHeight="1" x14ac:dyDescent="0.15"/>
    <row r="325" ht="13.5" customHeight="1" x14ac:dyDescent="0.15"/>
    <row r="326" ht="13.5" customHeight="1" x14ac:dyDescent="0.15"/>
    <row r="327" ht="13.5" customHeight="1" x14ac:dyDescent="0.15"/>
    <row r="328" ht="13.5" customHeight="1" x14ac:dyDescent="0.15"/>
    <row r="329" ht="13.5" customHeight="1" x14ac:dyDescent="0.15"/>
    <row r="330" ht="13.5" customHeight="1" x14ac:dyDescent="0.15"/>
    <row r="331" ht="13.5" customHeight="1" x14ac:dyDescent="0.15"/>
    <row r="332" ht="13.5" customHeight="1" x14ac:dyDescent="0.15"/>
    <row r="333" ht="13.5" customHeight="1" x14ac:dyDescent="0.15"/>
    <row r="334" ht="13.5" customHeight="1" x14ac:dyDescent="0.15"/>
    <row r="335" ht="13.5" customHeight="1" x14ac:dyDescent="0.15"/>
    <row r="336" ht="13.5" customHeight="1" x14ac:dyDescent="0.15"/>
    <row r="337" ht="13.5" customHeight="1" x14ac:dyDescent="0.15"/>
    <row r="338" ht="13.5" customHeight="1" x14ac:dyDescent="0.15"/>
    <row r="339" ht="13.5" customHeight="1" x14ac:dyDescent="0.15"/>
    <row r="340" ht="13.5" customHeight="1" x14ac:dyDescent="0.15"/>
    <row r="341" ht="13.5" customHeight="1" x14ac:dyDescent="0.15"/>
    <row r="342" ht="13.5" customHeight="1" x14ac:dyDescent="0.15"/>
    <row r="343" ht="13.5" customHeight="1" x14ac:dyDescent="0.15"/>
    <row r="344" ht="13.5" customHeight="1" x14ac:dyDescent="0.15"/>
    <row r="345" ht="13.5" customHeight="1" x14ac:dyDescent="0.15"/>
    <row r="346" ht="13.5" customHeight="1" x14ac:dyDescent="0.15"/>
    <row r="347" ht="13.5" customHeight="1" x14ac:dyDescent="0.15"/>
    <row r="348" ht="13.5" customHeight="1" x14ac:dyDescent="0.15"/>
    <row r="349" ht="13.5" customHeight="1" x14ac:dyDescent="0.15"/>
    <row r="350" ht="13.5" customHeight="1" x14ac:dyDescent="0.15"/>
    <row r="351" ht="13.5" customHeight="1" x14ac:dyDescent="0.15"/>
    <row r="352" ht="13.5" customHeight="1" x14ac:dyDescent="0.15"/>
    <row r="353" ht="13.5" customHeight="1" x14ac:dyDescent="0.15"/>
    <row r="354" ht="13.5" customHeight="1" x14ac:dyDescent="0.15"/>
    <row r="355" ht="13.5" customHeight="1" x14ac:dyDescent="0.15"/>
    <row r="356" ht="13.5" customHeight="1" x14ac:dyDescent="0.15"/>
    <row r="357" ht="13.5" customHeight="1" x14ac:dyDescent="0.15"/>
    <row r="358" ht="13.5" customHeight="1" x14ac:dyDescent="0.15"/>
    <row r="359" ht="13.5" customHeight="1" x14ac:dyDescent="0.15"/>
    <row r="360" ht="13.5" customHeight="1" x14ac:dyDescent="0.15"/>
    <row r="361" ht="13.5" customHeight="1" x14ac:dyDescent="0.15"/>
    <row r="362" ht="13.5" customHeight="1" x14ac:dyDescent="0.15"/>
    <row r="363" ht="13.5" customHeight="1" x14ac:dyDescent="0.15"/>
    <row r="364" ht="13.5" customHeight="1" x14ac:dyDescent="0.15"/>
    <row r="365" ht="13.5" customHeight="1" x14ac:dyDescent="0.15"/>
    <row r="366" ht="13.5" customHeight="1" x14ac:dyDescent="0.15"/>
    <row r="367" ht="13.5" customHeight="1" x14ac:dyDescent="0.15"/>
    <row r="368" ht="13.5" customHeight="1" x14ac:dyDescent="0.15"/>
    <row r="369" ht="13.5" customHeight="1" x14ac:dyDescent="0.15"/>
    <row r="370" ht="13.5" customHeight="1" x14ac:dyDescent="0.15"/>
    <row r="371" ht="13.5" customHeight="1" x14ac:dyDescent="0.15"/>
    <row r="372" ht="13.5" customHeight="1" x14ac:dyDescent="0.15"/>
    <row r="373" ht="13.5" customHeight="1" x14ac:dyDescent="0.15"/>
    <row r="374" ht="13.5" customHeight="1" x14ac:dyDescent="0.15"/>
    <row r="375" ht="13.5" customHeight="1" x14ac:dyDescent="0.15"/>
    <row r="376" ht="13.5" customHeight="1" x14ac:dyDescent="0.15"/>
    <row r="377" ht="13.5" customHeight="1" x14ac:dyDescent="0.15"/>
    <row r="378" ht="13.5" customHeight="1" x14ac:dyDescent="0.15"/>
    <row r="379" ht="13.5" customHeight="1" x14ac:dyDescent="0.15"/>
    <row r="380" ht="13.5" customHeight="1" x14ac:dyDescent="0.15"/>
    <row r="381" ht="13.5" customHeight="1" x14ac:dyDescent="0.15"/>
    <row r="382" ht="13.5" customHeight="1" x14ac:dyDescent="0.15"/>
    <row r="383" ht="13.5" customHeight="1" x14ac:dyDescent="0.15"/>
    <row r="384" ht="13.5" customHeight="1" x14ac:dyDescent="0.15"/>
    <row r="385" ht="13.5" customHeight="1" x14ac:dyDescent="0.15"/>
    <row r="386" ht="13.5" customHeight="1" x14ac:dyDescent="0.15"/>
    <row r="387" ht="13.5" customHeight="1" x14ac:dyDescent="0.15"/>
    <row r="388" ht="13.5" customHeight="1" x14ac:dyDescent="0.15"/>
    <row r="389" ht="13.5" customHeight="1" x14ac:dyDescent="0.15"/>
    <row r="390" ht="13.5" customHeight="1" x14ac:dyDescent="0.15"/>
    <row r="391" ht="13.5" customHeight="1" x14ac:dyDescent="0.15"/>
    <row r="392" ht="13.5" customHeight="1" x14ac:dyDescent="0.15"/>
    <row r="393" ht="13.5" customHeight="1" x14ac:dyDescent="0.15"/>
    <row r="394" ht="13.5" customHeight="1" x14ac:dyDescent="0.15"/>
    <row r="395" ht="13.5" customHeight="1" x14ac:dyDescent="0.15"/>
    <row r="396" ht="13.5" customHeight="1" x14ac:dyDescent="0.15"/>
    <row r="397" ht="13.5" customHeight="1" x14ac:dyDescent="0.15"/>
    <row r="398" ht="13.5" customHeight="1" x14ac:dyDescent="0.15"/>
    <row r="399" ht="13.5" customHeight="1" x14ac:dyDescent="0.15"/>
    <row r="400" ht="13.5" customHeight="1" x14ac:dyDescent="0.15"/>
    <row r="401" ht="13.5" customHeight="1" x14ac:dyDescent="0.15"/>
    <row r="402" ht="13.5" customHeight="1" x14ac:dyDescent="0.15"/>
    <row r="403" ht="13.5" customHeight="1" x14ac:dyDescent="0.15"/>
    <row r="404" ht="13.5" customHeight="1" x14ac:dyDescent="0.15"/>
    <row r="405" ht="13.5" customHeight="1" x14ac:dyDescent="0.15"/>
    <row r="406" ht="13.5" customHeight="1" x14ac:dyDescent="0.15"/>
    <row r="407" ht="13.5" customHeight="1" x14ac:dyDescent="0.15"/>
    <row r="408" ht="13.5" customHeight="1" x14ac:dyDescent="0.15"/>
    <row r="409" ht="13.5" customHeight="1" x14ac:dyDescent="0.15"/>
    <row r="410" ht="13.5" customHeight="1" x14ac:dyDescent="0.15"/>
    <row r="411" ht="13.5" customHeight="1" x14ac:dyDescent="0.15"/>
    <row r="412" ht="13.5" customHeight="1" x14ac:dyDescent="0.15"/>
    <row r="413" ht="13.5" customHeight="1" x14ac:dyDescent="0.15"/>
    <row r="414" ht="13.5" customHeight="1" x14ac:dyDescent="0.15"/>
    <row r="415" ht="13.5" customHeight="1" x14ac:dyDescent="0.15"/>
    <row r="416" ht="13.5" customHeight="1" x14ac:dyDescent="0.15"/>
    <row r="417" ht="13.5" customHeight="1" x14ac:dyDescent="0.15"/>
    <row r="418" ht="13.5" customHeight="1" x14ac:dyDescent="0.15"/>
    <row r="419" ht="13.5" customHeight="1" x14ac:dyDescent="0.15"/>
    <row r="420" ht="13.5" customHeight="1" x14ac:dyDescent="0.15"/>
    <row r="421" ht="13.5" customHeight="1" x14ac:dyDescent="0.15"/>
    <row r="422" ht="13.5" customHeight="1" x14ac:dyDescent="0.15"/>
    <row r="423" ht="13.5" customHeight="1" x14ac:dyDescent="0.15"/>
    <row r="424" ht="13.5" customHeight="1" x14ac:dyDescent="0.15"/>
    <row r="425" ht="13.5" customHeight="1" x14ac:dyDescent="0.15"/>
    <row r="426" ht="13.5" customHeight="1" x14ac:dyDescent="0.15"/>
    <row r="427" ht="13.5" customHeight="1" x14ac:dyDescent="0.15"/>
    <row r="428" ht="13.5" customHeight="1" x14ac:dyDescent="0.15"/>
    <row r="429" ht="13.5" customHeight="1" x14ac:dyDescent="0.15"/>
    <row r="430" ht="13.5" customHeight="1" x14ac:dyDescent="0.15"/>
    <row r="431" ht="13.5" customHeight="1" x14ac:dyDescent="0.15"/>
    <row r="432" ht="13.5" customHeight="1" x14ac:dyDescent="0.15"/>
    <row r="433" ht="13.5" customHeight="1" x14ac:dyDescent="0.15"/>
    <row r="434" ht="13.5" customHeight="1" x14ac:dyDescent="0.15"/>
    <row r="435" ht="13.5" customHeight="1" x14ac:dyDescent="0.15"/>
    <row r="436" ht="13.5" customHeight="1" x14ac:dyDescent="0.15"/>
    <row r="437" ht="13.5" customHeight="1" x14ac:dyDescent="0.15"/>
    <row r="438" ht="13.5" customHeight="1" x14ac:dyDescent="0.15"/>
    <row r="439" ht="13.5" customHeight="1" x14ac:dyDescent="0.15"/>
    <row r="440" ht="13.5" customHeight="1" x14ac:dyDescent="0.15"/>
    <row r="441" ht="13.5" customHeight="1" x14ac:dyDescent="0.15"/>
    <row r="442" ht="13.5" customHeight="1" x14ac:dyDescent="0.15"/>
    <row r="443" ht="13.5" customHeight="1" x14ac:dyDescent="0.15"/>
    <row r="444" ht="13.5" customHeight="1" x14ac:dyDescent="0.15"/>
    <row r="445" ht="13.5" customHeight="1" x14ac:dyDescent="0.15"/>
    <row r="446" ht="13.5" customHeight="1" x14ac:dyDescent="0.15"/>
    <row r="447" ht="13.5" customHeight="1" x14ac:dyDescent="0.15"/>
    <row r="448" ht="13.5" customHeight="1" x14ac:dyDescent="0.15"/>
    <row r="449" ht="13.5" customHeight="1" x14ac:dyDescent="0.15"/>
    <row r="450" ht="13.5" customHeight="1" x14ac:dyDescent="0.15"/>
    <row r="451" ht="13.5" customHeight="1" x14ac:dyDescent="0.15"/>
    <row r="452" ht="13.5" customHeight="1" x14ac:dyDescent="0.15"/>
    <row r="453" ht="13.5" customHeight="1" x14ac:dyDescent="0.15"/>
    <row r="454" ht="13.5" customHeight="1" x14ac:dyDescent="0.15"/>
    <row r="455" ht="13.5" customHeight="1" x14ac:dyDescent="0.15"/>
    <row r="456" ht="13.5" customHeight="1" x14ac:dyDescent="0.15"/>
    <row r="457" ht="13.5" customHeight="1" x14ac:dyDescent="0.15"/>
    <row r="458" ht="13.5" customHeight="1" x14ac:dyDescent="0.15"/>
    <row r="459" ht="13.5" customHeight="1" x14ac:dyDescent="0.15"/>
    <row r="460" ht="13.5" customHeight="1" x14ac:dyDescent="0.15"/>
    <row r="461" ht="13.5" customHeight="1" x14ac:dyDescent="0.15"/>
    <row r="462" ht="13.5" customHeight="1" x14ac:dyDescent="0.15"/>
    <row r="463" ht="13.5" customHeight="1" x14ac:dyDescent="0.15"/>
    <row r="464" ht="13.5" customHeight="1" x14ac:dyDescent="0.15"/>
    <row r="465" ht="13.5" customHeight="1" x14ac:dyDescent="0.15"/>
    <row r="466" ht="13.5" customHeight="1" x14ac:dyDescent="0.15"/>
    <row r="467" ht="13.5" customHeight="1" x14ac:dyDescent="0.15"/>
    <row r="468" ht="13.5" customHeight="1" x14ac:dyDescent="0.15"/>
    <row r="469" ht="13.5" customHeight="1" x14ac:dyDescent="0.15"/>
    <row r="470" ht="13.5" customHeight="1" x14ac:dyDescent="0.15"/>
    <row r="471" ht="13.5" customHeight="1" x14ac:dyDescent="0.15"/>
    <row r="472" ht="13.5" customHeight="1" x14ac:dyDescent="0.15"/>
    <row r="473" ht="13.5" customHeight="1" x14ac:dyDescent="0.15"/>
    <row r="474" ht="13.5" customHeight="1" x14ac:dyDescent="0.15"/>
    <row r="475" ht="13.5" customHeight="1" x14ac:dyDescent="0.15"/>
    <row r="476" ht="13.5" customHeight="1" x14ac:dyDescent="0.15"/>
    <row r="477" ht="13.5" customHeight="1" x14ac:dyDescent="0.15"/>
    <row r="478" ht="13.5" customHeight="1" x14ac:dyDescent="0.15"/>
    <row r="479" ht="13.5" customHeight="1" x14ac:dyDescent="0.15"/>
    <row r="480" ht="13.5" customHeight="1" x14ac:dyDescent="0.15"/>
    <row r="481" ht="13.5" customHeight="1" x14ac:dyDescent="0.15"/>
    <row r="482" ht="13.5" customHeight="1" x14ac:dyDescent="0.15"/>
    <row r="483" ht="13.5" customHeight="1" x14ac:dyDescent="0.15"/>
    <row r="484" ht="13.5" customHeight="1" x14ac:dyDescent="0.15"/>
    <row r="485" ht="13.5" customHeight="1" x14ac:dyDescent="0.15"/>
    <row r="486" ht="13.5" customHeight="1" x14ac:dyDescent="0.15"/>
    <row r="487" ht="13.5" customHeight="1" x14ac:dyDescent="0.15"/>
    <row r="488" ht="13.5" customHeight="1" x14ac:dyDescent="0.15"/>
    <row r="489" ht="13.5" customHeight="1" x14ac:dyDescent="0.15"/>
    <row r="490" ht="13.5" customHeight="1" x14ac:dyDescent="0.15"/>
    <row r="491" ht="13.5" customHeight="1" x14ac:dyDescent="0.15"/>
    <row r="492" ht="13.5" customHeight="1" x14ac:dyDescent="0.15"/>
    <row r="493" ht="13.5" customHeight="1" x14ac:dyDescent="0.15"/>
    <row r="494" ht="13.5" customHeight="1" x14ac:dyDescent="0.15"/>
    <row r="495" ht="13.5" customHeight="1" x14ac:dyDescent="0.15"/>
    <row r="496" ht="13.5" customHeight="1" x14ac:dyDescent="0.15"/>
    <row r="497" ht="13.5" customHeight="1" x14ac:dyDescent="0.15"/>
    <row r="498" ht="13.5" customHeight="1" x14ac:dyDescent="0.15"/>
    <row r="499" ht="13.5" customHeight="1" x14ac:dyDescent="0.15"/>
    <row r="500" ht="13.5" customHeight="1" x14ac:dyDescent="0.15"/>
    <row r="501" ht="13.5" customHeight="1" x14ac:dyDescent="0.15"/>
    <row r="502" ht="13.5" customHeight="1" x14ac:dyDescent="0.15"/>
    <row r="503" ht="13.5" customHeight="1" x14ac:dyDescent="0.15"/>
    <row r="504" ht="13.5" customHeight="1" x14ac:dyDescent="0.15"/>
    <row r="505" ht="13.5" customHeight="1" x14ac:dyDescent="0.15"/>
    <row r="506" ht="13.5" customHeight="1" x14ac:dyDescent="0.15"/>
    <row r="507" ht="13.5" customHeight="1" x14ac:dyDescent="0.15"/>
    <row r="508" ht="13.5" customHeight="1" x14ac:dyDescent="0.15"/>
    <row r="509" ht="13.5" customHeight="1" x14ac:dyDescent="0.15"/>
    <row r="510" ht="13.5" customHeight="1" x14ac:dyDescent="0.15"/>
    <row r="511" ht="13.5" customHeight="1" x14ac:dyDescent="0.15"/>
    <row r="512" ht="13.5" customHeight="1" x14ac:dyDescent="0.15"/>
    <row r="513" ht="13.5" customHeight="1" x14ac:dyDescent="0.15"/>
    <row r="514" ht="13.5" customHeight="1" x14ac:dyDescent="0.15"/>
    <row r="515" ht="13.5" customHeight="1" x14ac:dyDescent="0.15"/>
    <row r="516" ht="13.5" customHeight="1" x14ac:dyDescent="0.15"/>
    <row r="517" ht="13.5" customHeight="1" x14ac:dyDescent="0.15"/>
    <row r="518" ht="13.5" customHeight="1" x14ac:dyDescent="0.15"/>
    <row r="519" ht="13.5" customHeight="1" x14ac:dyDescent="0.15"/>
    <row r="520" ht="13.5" customHeight="1" x14ac:dyDescent="0.15"/>
    <row r="521" ht="13.5" customHeight="1" x14ac:dyDescent="0.15"/>
    <row r="522" ht="13.5" customHeight="1" x14ac:dyDescent="0.15"/>
    <row r="523" ht="13.5" customHeight="1" x14ac:dyDescent="0.15"/>
    <row r="524" ht="13.5" customHeight="1" x14ac:dyDescent="0.15"/>
    <row r="525" ht="13.5" customHeight="1" x14ac:dyDescent="0.15"/>
    <row r="526" ht="13.5" customHeight="1" x14ac:dyDescent="0.15"/>
    <row r="527" ht="13.5" customHeight="1" x14ac:dyDescent="0.15"/>
    <row r="528" ht="13.5" customHeight="1" x14ac:dyDescent="0.15"/>
    <row r="529" ht="13.5" customHeight="1" x14ac:dyDescent="0.15"/>
    <row r="530" ht="13.5" customHeight="1" x14ac:dyDescent="0.15"/>
    <row r="531" ht="13.5" customHeight="1" x14ac:dyDescent="0.15"/>
    <row r="532" ht="13.5" customHeight="1" x14ac:dyDescent="0.15"/>
    <row r="533" ht="13.5" customHeight="1" x14ac:dyDescent="0.15"/>
    <row r="534" ht="13.5" customHeight="1" x14ac:dyDescent="0.15"/>
    <row r="535" ht="13.5" customHeight="1" x14ac:dyDescent="0.15"/>
    <row r="536" ht="13.5" customHeight="1" x14ac:dyDescent="0.15"/>
    <row r="537" ht="13.5" customHeight="1" x14ac:dyDescent="0.15"/>
    <row r="538" ht="13.5" customHeight="1" x14ac:dyDescent="0.15"/>
    <row r="539" ht="13.5" customHeight="1" x14ac:dyDescent="0.15"/>
    <row r="540" ht="13.5" customHeight="1" x14ac:dyDescent="0.15"/>
    <row r="541" ht="13.5" customHeight="1" x14ac:dyDescent="0.15"/>
    <row r="542" ht="13.5" customHeight="1" x14ac:dyDescent="0.15"/>
    <row r="543" ht="13.5" customHeight="1" x14ac:dyDescent="0.15"/>
    <row r="544" ht="13.5" customHeight="1" x14ac:dyDescent="0.15"/>
    <row r="545" ht="13.5" customHeight="1" x14ac:dyDescent="0.15"/>
    <row r="546" ht="13.5" customHeight="1" x14ac:dyDescent="0.15"/>
    <row r="547" ht="13.5" customHeight="1" x14ac:dyDescent="0.15"/>
    <row r="548" ht="13.5" customHeight="1" x14ac:dyDescent="0.15"/>
    <row r="549" ht="13.5" customHeight="1" x14ac:dyDescent="0.15"/>
    <row r="550" ht="13.5" customHeight="1" x14ac:dyDescent="0.15"/>
    <row r="551" ht="13.5" customHeight="1" x14ac:dyDescent="0.15"/>
    <row r="552" ht="13.5" customHeight="1" x14ac:dyDescent="0.15"/>
    <row r="553" ht="13.5" customHeight="1" x14ac:dyDescent="0.15"/>
    <row r="554" ht="13.5" customHeight="1" x14ac:dyDescent="0.15"/>
    <row r="555" ht="13.5" customHeight="1" x14ac:dyDescent="0.15"/>
    <row r="556" ht="13.5" customHeight="1" x14ac:dyDescent="0.15"/>
    <row r="557" ht="13.5" customHeight="1" x14ac:dyDescent="0.15"/>
    <row r="558" ht="13.5" customHeight="1" x14ac:dyDescent="0.15"/>
    <row r="559" ht="13.5" customHeight="1" x14ac:dyDescent="0.15"/>
    <row r="560" ht="13.5" customHeight="1" x14ac:dyDescent="0.15"/>
    <row r="561" ht="13.5" customHeight="1" x14ac:dyDescent="0.15"/>
    <row r="562" ht="13.5" customHeight="1" x14ac:dyDescent="0.15"/>
    <row r="563" ht="13.5" customHeight="1" x14ac:dyDescent="0.15"/>
    <row r="564" ht="13.5" customHeight="1" x14ac:dyDescent="0.15"/>
    <row r="565" ht="13.5" customHeight="1" x14ac:dyDescent="0.15"/>
    <row r="566" ht="13.5" customHeight="1" x14ac:dyDescent="0.15"/>
    <row r="567" ht="13.5" customHeight="1" x14ac:dyDescent="0.15"/>
    <row r="568" ht="13.5" customHeight="1" x14ac:dyDescent="0.15"/>
    <row r="569" ht="13.5" customHeight="1" x14ac:dyDescent="0.15"/>
    <row r="570" ht="13.5" customHeight="1" x14ac:dyDescent="0.15"/>
    <row r="571" ht="13.5" customHeight="1" x14ac:dyDescent="0.15"/>
    <row r="572" ht="13.5" customHeight="1" x14ac:dyDescent="0.15"/>
    <row r="573" ht="13.5" customHeight="1" x14ac:dyDescent="0.15"/>
    <row r="574" ht="13.5" customHeight="1" x14ac:dyDescent="0.15"/>
    <row r="575" ht="13.5" customHeight="1" x14ac:dyDescent="0.15"/>
    <row r="576" ht="13.5" customHeight="1" x14ac:dyDescent="0.15"/>
    <row r="577" ht="13.5" customHeight="1" x14ac:dyDescent="0.15"/>
    <row r="578" ht="13.5" customHeight="1" x14ac:dyDescent="0.15"/>
    <row r="579" ht="13.5" customHeight="1" x14ac:dyDescent="0.15"/>
    <row r="580" ht="13.5" customHeight="1" x14ac:dyDescent="0.15"/>
    <row r="581" ht="13.5" customHeight="1" x14ac:dyDescent="0.15"/>
    <row r="582" ht="13.5" customHeight="1" x14ac:dyDescent="0.15"/>
    <row r="583" ht="13.5" customHeight="1" x14ac:dyDescent="0.15"/>
    <row r="584" ht="13.5" customHeight="1" x14ac:dyDescent="0.15"/>
    <row r="585" ht="13.5" customHeight="1" x14ac:dyDescent="0.15"/>
    <row r="586" ht="13.5" customHeight="1" x14ac:dyDescent="0.15"/>
    <row r="587" ht="13.5" customHeight="1" x14ac:dyDescent="0.15"/>
    <row r="588" ht="13.5" customHeight="1" x14ac:dyDescent="0.15"/>
    <row r="589" ht="13.5" customHeight="1" x14ac:dyDescent="0.15"/>
    <row r="590" ht="13.5" customHeight="1" x14ac:dyDescent="0.15"/>
    <row r="591" ht="13.5" customHeight="1" x14ac:dyDescent="0.15"/>
    <row r="592" ht="13.5" customHeight="1" x14ac:dyDescent="0.15"/>
    <row r="593" ht="13.5" customHeight="1" x14ac:dyDescent="0.15"/>
    <row r="594" ht="13.5" customHeight="1" x14ac:dyDescent="0.15"/>
    <row r="595" ht="13.5" customHeight="1" x14ac:dyDescent="0.15"/>
    <row r="596" ht="13.5" customHeight="1" x14ac:dyDescent="0.15"/>
    <row r="597" ht="13.5" customHeight="1" x14ac:dyDescent="0.15"/>
    <row r="598" ht="13.5" customHeight="1" x14ac:dyDescent="0.15"/>
    <row r="599" ht="13.5" customHeight="1" x14ac:dyDescent="0.15"/>
    <row r="600" ht="13.5" customHeight="1" x14ac:dyDescent="0.15"/>
    <row r="601" ht="13.5" customHeight="1" x14ac:dyDescent="0.15"/>
    <row r="602" ht="13.5" customHeight="1" x14ac:dyDescent="0.15"/>
    <row r="603" ht="13.5" customHeight="1" x14ac:dyDescent="0.15"/>
    <row r="604" ht="13.5" customHeight="1" x14ac:dyDescent="0.15"/>
    <row r="605" ht="13.5" customHeight="1" x14ac:dyDescent="0.15"/>
    <row r="606" ht="13.5" customHeight="1" x14ac:dyDescent="0.15"/>
    <row r="607" ht="13.5" customHeight="1" x14ac:dyDescent="0.15"/>
    <row r="608" ht="13.5" customHeight="1" x14ac:dyDescent="0.15"/>
    <row r="609" ht="13.5" customHeight="1" x14ac:dyDescent="0.15"/>
    <row r="610" ht="13.5" customHeight="1" x14ac:dyDescent="0.15"/>
    <row r="611" ht="13.5" customHeight="1" x14ac:dyDescent="0.15"/>
    <row r="612" ht="13.5" customHeight="1" x14ac:dyDescent="0.15"/>
    <row r="613" ht="13.5" customHeight="1" x14ac:dyDescent="0.15"/>
    <row r="614" ht="13.5" customHeight="1" x14ac:dyDescent="0.15"/>
    <row r="615" ht="13.5" customHeight="1" x14ac:dyDescent="0.15"/>
    <row r="616" ht="13.5" customHeight="1" x14ac:dyDescent="0.15"/>
    <row r="617" ht="13.5" customHeight="1" x14ac:dyDescent="0.15"/>
    <row r="618" ht="13.5" customHeight="1" x14ac:dyDescent="0.15"/>
    <row r="619" ht="13.5" customHeight="1" x14ac:dyDescent="0.15"/>
    <row r="620" ht="13.5" customHeight="1" x14ac:dyDescent="0.15"/>
    <row r="621" ht="13.5" customHeight="1" x14ac:dyDescent="0.15"/>
    <row r="622" ht="13.5" customHeight="1" x14ac:dyDescent="0.15"/>
    <row r="623" ht="13.5" customHeight="1" x14ac:dyDescent="0.15"/>
    <row r="624" ht="13.5" customHeight="1" x14ac:dyDescent="0.15"/>
    <row r="625" ht="13.5" customHeight="1" x14ac:dyDescent="0.15"/>
    <row r="626" ht="13.5" customHeight="1" x14ac:dyDescent="0.15"/>
    <row r="627" ht="13.5" customHeight="1" x14ac:dyDescent="0.15"/>
    <row r="628" ht="13.5" customHeight="1" x14ac:dyDescent="0.15"/>
    <row r="629" ht="13.5" customHeight="1" x14ac:dyDescent="0.15"/>
    <row r="630" ht="13.5" customHeight="1" x14ac:dyDescent="0.15"/>
    <row r="631" ht="13.5" customHeight="1" x14ac:dyDescent="0.15"/>
    <row r="632" ht="13.5" customHeight="1" x14ac:dyDescent="0.15"/>
    <row r="633" ht="13.5" customHeight="1" x14ac:dyDescent="0.15"/>
    <row r="634" ht="13.5" customHeight="1" x14ac:dyDescent="0.15"/>
    <row r="635" ht="13.5" customHeight="1" x14ac:dyDescent="0.15"/>
    <row r="636" ht="13.5" customHeight="1" x14ac:dyDescent="0.15"/>
    <row r="637" ht="13.5" customHeight="1" x14ac:dyDescent="0.15"/>
    <row r="638" ht="13.5" customHeight="1" x14ac:dyDescent="0.15"/>
    <row r="639" ht="13.5" customHeight="1" x14ac:dyDescent="0.15"/>
    <row r="640" ht="13.5" customHeight="1" x14ac:dyDescent="0.15"/>
    <row r="641" ht="13.5" customHeight="1" x14ac:dyDescent="0.15"/>
    <row r="642" ht="13.5" customHeight="1" x14ac:dyDescent="0.15"/>
    <row r="643" ht="13.5" customHeight="1" x14ac:dyDescent="0.15"/>
    <row r="644" ht="13.5" customHeight="1" x14ac:dyDescent="0.15"/>
    <row r="645" ht="13.5" customHeight="1" x14ac:dyDescent="0.15"/>
    <row r="646" ht="13.5" customHeight="1" x14ac:dyDescent="0.15"/>
    <row r="647" ht="13.5" customHeight="1" x14ac:dyDescent="0.15"/>
    <row r="648" ht="13.5" customHeight="1" x14ac:dyDescent="0.15"/>
    <row r="649" ht="13.5" customHeight="1" x14ac:dyDescent="0.15"/>
    <row r="650" ht="13.5" customHeight="1" x14ac:dyDescent="0.15"/>
    <row r="651" ht="13.5" customHeight="1" x14ac:dyDescent="0.15"/>
    <row r="652" ht="13.5" customHeight="1" x14ac:dyDescent="0.15"/>
    <row r="653" ht="13.5" customHeight="1" x14ac:dyDescent="0.15"/>
    <row r="654" ht="13.5" customHeight="1" x14ac:dyDescent="0.15"/>
    <row r="655" ht="13.5" customHeight="1" x14ac:dyDescent="0.15"/>
    <row r="656" ht="13.5" customHeight="1" x14ac:dyDescent="0.15"/>
    <row r="657" ht="13.5" customHeight="1" x14ac:dyDescent="0.15"/>
    <row r="658" ht="13.5" customHeight="1" x14ac:dyDescent="0.15"/>
    <row r="659" ht="13.5" customHeight="1" x14ac:dyDescent="0.15"/>
    <row r="660" ht="13.5" customHeight="1" x14ac:dyDescent="0.15"/>
    <row r="661" ht="13.5" customHeight="1" x14ac:dyDescent="0.15"/>
    <row r="662" ht="13.5" customHeight="1" x14ac:dyDescent="0.15"/>
    <row r="663" ht="13.5" customHeight="1" x14ac:dyDescent="0.15"/>
    <row r="664" ht="13.5" customHeight="1" x14ac:dyDescent="0.15"/>
    <row r="665" ht="13.5" customHeight="1" x14ac:dyDescent="0.15"/>
    <row r="666" ht="13.5" customHeight="1" x14ac:dyDescent="0.15"/>
    <row r="667" ht="13.5" customHeight="1" x14ac:dyDescent="0.15"/>
    <row r="668" ht="13.5" customHeight="1" x14ac:dyDescent="0.15"/>
    <row r="669" ht="13.5" customHeight="1" x14ac:dyDescent="0.15"/>
    <row r="670" ht="13.5" customHeight="1" x14ac:dyDescent="0.15"/>
    <row r="671" ht="13.5" customHeight="1" x14ac:dyDescent="0.15"/>
    <row r="672" ht="13.5" customHeight="1" x14ac:dyDescent="0.15"/>
    <row r="673" ht="13.5" customHeight="1" x14ac:dyDescent="0.15"/>
    <row r="674" ht="13.5" customHeight="1" x14ac:dyDescent="0.15"/>
    <row r="675" ht="13.5" customHeight="1" x14ac:dyDescent="0.15"/>
    <row r="676" ht="13.5" customHeight="1" x14ac:dyDescent="0.15"/>
    <row r="677" ht="13.5" customHeight="1" x14ac:dyDescent="0.15"/>
    <row r="678" ht="13.5" customHeight="1" x14ac:dyDescent="0.15"/>
    <row r="679" ht="13.5" customHeight="1" x14ac:dyDescent="0.15"/>
    <row r="680" ht="13.5" customHeight="1" x14ac:dyDescent="0.15"/>
    <row r="681" ht="13.5" customHeight="1" x14ac:dyDescent="0.15"/>
    <row r="682" ht="13.5" customHeight="1" x14ac:dyDescent="0.15"/>
    <row r="683" ht="13.5" customHeight="1" x14ac:dyDescent="0.15"/>
    <row r="684" ht="13.5" customHeight="1" x14ac:dyDescent="0.15"/>
    <row r="685" ht="13.5" customHeight="1" x14ac:dyDescent="0.15"/>
    <row r="686" ht="13.5" customHeight="1" x14ac:dyDescent="0.15"/>
    <row r="687" ht="13.5" customHeight="1" x14ac:dyDescent="0.15"/>
    <row r="688" ht="13.5" customHeight="1" x14ac:dyDescent="0.15"/>
    <row r="689" ht="13.5" customHeight="1" x14ac:dyDescent="0.15"/>
    <row r="690" ht="13.5" customHeight="1" x14ac:dyDescent="0.15"/>
    <row r="691" ht="13.5" customHeight="1" x14ac:dyDescent="0.15"/>
    <row r="692" ht="13.5" customHeight="1" x14ac:dyDescent="0.15"/>
    <row r="693" ht="13.5" customHeight="1" x14ac:dyDescent="0.15"/>
    <row r="694" ht="13.5" customHeight="1" x14ac:dyDescent="0.15"/>
    <row r="695" ht="13.5" customHeight="1" x14ac:dyDescent="0.15"/>
    <row r="696" ht="13.5" customHeight="1" x14ac:dyDescent="0.15"/>
    <row r="697" ht="13.5" customHeight="1" x14ac:dyDescent="0.15"/>
    <row r="698" ht="13.5" customHeight="1" x14ac:dyDescent="0.15"/>
    <row r="699" ht="13.5" customHeight="1" x14ac:dyDescent="0.15"/>
    <row r="700" ht="13.5" customHeight="1" x14ac:dyDescent="0.15"/>
    <row r="701" ht="13.5" customHeight="1" x14ac:dyDescent="0.15"/>
    <row r="702" ht="13.5" customHeight="1" x14ac:dyDescent="0.15"/>
    <row r="703" ht="13.5" customHeight="1" x14ac:dyDescent="0.15"/>
    <row r="704" ht="13.5" customHeight="1" x14ac:dyDescent="0.15"/>
    <row r="705" ht="13.5" customHeight="1" x14ac:dyDescent="0.15"/>
    <row r="706" ht="13.5" customHeight="1" x14ac:dyDescent="0.15"/>
    <row r="707" ht="13.5" customHeight="1" x14ac:dyDescent="0.15"/>
    <row r="708" ht="13.5" customHeight="1" x14ac:dyDescent="0.15"/>
    <row r="709" ht="13.5" customHeight="1" x14ac:dyDescent="0.15"/>
    <row r="710" ht="13.5" customHeight="1" x14ac:dyDescent="0.15"/>
    <row r="711" ht="13.5" customHeight="1" x14ac:dyDescent="0.15"/>
    <row r="712" ht="13.5" customHeight="1" x14ac:dyDescent="0.15"/>
    <row r="713" ht="13.5" customHeight="1" x14ac:dyDescent="0.15"/>
    <row r="714" ht="13.5" customHeight="1" x14ac:dyDescent="0.15"/>
    <row r="715" ht="13.5" customHeight="1" x14ac:dyDescent="0.15"/>
    <row r="716" ht="13.5" customHeight="1" x14ac:dyDescent="0.15"/>
    <row r="717" ht="13.5" customHeight="1" x14ac:dyDescent="0.15"/>
    <row r="718" ht="13.5" customHeight="1" x14ac:dyDescent="0.15"/>
    <row r="719" ht="13.5" customHeight="1" x14ac:dyDescent="0.15"/>
    <row r="720" ht="13.5" customHeight="1" x14ac:dyDescent="0.15"/>
    <row r="721" ht="13.5" customHeight="1" x14ac:dyDescent="0.15"/>
    <row r="722" ht="13.5" customHeight="1" x14ac:dyDescent="0.15"/>
    <row r="723" ht="13.5" customHeight="1" x14ac:dyDescent="0.15"/>
    <row r="724" ht="13.5" customHeight="1" x14ac:dyDescent="0.15"/>
    <row r="725" ht="13.5" customHeight="1" x14ac:dyDescent="0.15"/>
    <row r="726" ht="13.5" customHeight="1" x14ac:dyDescent="0.15"/>
    <row r="727" ht="13.5" customHeight="1" x14ac:dyDescent="0.15"/>
    <row r="728" ht="13.5" customHeight="1" x14ac:dyDescent="0.15"/>
    <row r="729" ht="13.5" customHeight="1" x14ac:dyDescent="0.15"/>
    <row r="730" ht="13.5" customHeight="1" x14ac:dyDescent="0.15"/>
    <row r="731" ht="13.5" customHeight="1" x14ac:dyDescent="0.15"/>
    <row r="732" ht="13.5" customHeight="1" x14ac:dyDescent="0.15"/>
    <row r="733" ht="13.5" customHeight="1" x14ac:dyDescent="0.15"/>
    <row r="734" ht="13.5" customHeight="1" x14ac:dyDescent="0.15"/>
    <row r="735" ht="13.5" customHeight="1" x14ac:dyDescent="0.15"/>
    <row r="736" ht="13.5" customHeight="1" x14ac:dyDescent="0.15"/>
    <row r="737" ht="13.5" customHeight="1" x14ac:dyDescent="0.15"/>
    <row r="738" ht="13.5" customHeight="1" x14ac:dyDescent="0.15"/>
    <row r="739" ht="13.5" customHeight="1" x14ac:dyDescent="0.15"/>
    <row r="740" ht="13.5" customHeight="1" x14ac:dyDescent="0.15"/>
    <row r="741" ht="13.5" customHeight="1" x14ac:dyDescent="0.15"/>
    <row r="742" ht="13.5" customHeight="1" x14ac:dyDescent="0.15"/>
    <row r="743" ht="13.5" customHeight="1" x14ac:dyDescent="0.15"/>
    <row r="744" ht="13.5" customHeight="1" x14ac:dyDescent="0.15"/>
    <row r="745" ht="13.5" customHeight="1" x14ac:dyDescent="0.15"/>
    <row r="746" ht="13.5" customHeight="1" x14ac:dyDescent="0.15"/>
    <row r="747" ht="13.5" customHeight="1" x14ac:dyDescent="0.15"/>
    <row r="748" ht="13.5" customHeight="1" x14ac:dyDescent="0.15"/>
    <row r="749" ht="13.5" customHeight="1" x14ac:dyDescent="0.15"/>
    <row r="750" ht="13.5" customHeight="1" x14ac:dyDescent="0.15"/>
    <row r="751" ht="13.5" customHeight="1" x14ac:dyDescent="0.15"/>
    <row r="752" ht="13.5" customHeight="1" x14ac:dyDescent="0.15"/>
    <row r="753" ht="13.5" customHeight="1" x14ac:dyDescent="0.15"/>
    <row r="754" ht="13.5" customHeight="1" x14ac:dyDescent="0.15"/>
    <row r="755" ht="13.5" customHeight="1" x14ac:dyDescent="0.15"/>
    <row r="756" ht="13.5" customHeight="1" x14ac:dyDescent="0.15"/>
    <row r="757" ht="13.5" customHeight="1" x14ac:dyDescent="0.15"/>
    <row r="758" ht="13.5" customHeight="1" x14ac:dyDescent="0.15"/>
    <row r="759" ht="13.5" customHeight="1" x14ac:dyDescent="0.15"/>
    <row r="760" ht="13.5" customHeight="1" x14ac:dyDescent="0.15"/>
    <row r="761" ht="13.5" customHeight="1" x14ac:dyDescent="0.15"/>
    <row r="762" ht="13.5" customHeight="1" x14ac:dyDescent="0.15"/>
    <row r="763" ht="13.5" customHeight="1" x14ac:dyDescent="0.15"/>
    <row r="764" ht="13.5" customHeight="1" x14ac:dyDescent="0.15"/>
    <row r="765" ht="13.5" customHeight="1" x14ac:dyDescent="0.15"/>
    <row r="766" ht="13.5" customHeight="1" x14ac:dyDescent="0.15"/>
    <row r="767" ht="13.5" customHeight="1" x14ac:dyDescent="0.15"/>
    <row r="768" ht="13.5" customHeight="1" x14ac:dyDescent="0.15"/>
    <row r="769" ht="13.5" customHeight="1" x14ac:dyDescent="0.15"/>
    <row r="770" ht="13.5" customHeight="1" x14ac:dyDescent="0.15"/>
    <row r="771" ht="13.5" customHeight="1" x14ac:dyDescent="0.15"/>
    <row r="772" ht="13.5" customHeight="1" x14ac:dyDescent="0.15"/>
    <row r="773" ht="13.5" customHeight="1" x14ac:dyDescent="0.15"/>
    <row r="774" ht="13.5" customHeight="1" x14ac:dyDescent="0.15"/>
    <row r="775" ht="13.5" customHeight="1" x14ac:dyDescent="0.15"/>
    <row r="776" ht="13.5" customHeight="1" x14ac:dyDescent="0.15"/>
    <row r="777" ht="13.5" customHeight="1" x14ac:dyDescent="0.15"/>
    <row r="778" ht="13.5" customHeight="1" x14ac:dyDescent="0.15"/>
    <row r="779" ht="13.5" customHeight="1" x14ac:dyDescent="0.15"/>
    <row r="780" ht="13.5" customHeight="1" x14ac:dyDescent="0.15"/>
    <row r="781" ht="13.5" customHeight="1" x14ac:dyDescent="0.15"/>
    <row r="782" ht="13.5" customHeight="1" x14ac:dyDescent="0.15"/>
    <row r="783" ht="13.5" customHeight="1" x14ac:dyDescent="0.15"/>
    <row r="784" ht="13.5" customHeight="1" x14ac:dyDescent="0.15"/>
    <row r="785" ht="13.5" customHeight="1" x14ac:dyDescent="0.15"/>
    <row r="786" ht="13.5" customHeight="1" x14ac:dyDescent="0.15"/>
    <row r="787" ht="13.5" customHeight="1" x14ac:dyDescent="0.15"/>
    <row r="788" ht="13.5" customHeight="1" x14ac:dyDescent="0.15"/>
    <row r="789" ht="13.5" customHeight="1" x14ac:dyDescent="0.15"/>
    <row r="790" ht="13.5" customHeight="1" x14ac:dyDescent="0.15"/>
    <row r="791" ht="13.5" customHeight="1" x14ac:dyDescent="0.15"/>
    <row r="792" ht="13.5" customHeight="1" x14ac:dyDescent="0.15"/>
    <row r="793" ht="13.5" customHeight="1" x14ac:dyDescent="0.15"/>
    <row r="794" ht="13.5" customHeight="1" x14ac:dyDescent="0.15"/>
    <row r="795" ht="13.5" customHeight="1" x14ac:dyDescent="0.15"/>
    <row r="796" ht="13.5" customHeight="1" x14ac:dyDescent="0.15"/>
    <row r="797" ht="13.5" customHeight="1" x14ac:dyDescent="0.15"/>
    <row r="798" ht="13.5" customHeight="1" x14ac:dyDescent="0.15"/>
    <row r="799" ht="13.5" customHeight="1" x14ac:dyDescent="0.15"/>
    <row r="800" ht="13.5" customHeight="1" x14ac:dyDescent="0.15"/>
    <row r="801" ht="13.5" customHeight="1" x14ac:dyDescent="0.15"/>
    <row r="802" ht="13.5" customHeight="1" x14ac:dyDescent="0.15"/>
    <row r="803" ht="13.5" customHeight="1" x14ac:dyDescent="0.15"/>
    <row r="804" ht="13.5" customHeight="1" x14ac:dyDescent="0.15"/>
    <row r="805" ht="13.5" customHeight="1" x14ac:dyDescent="0.15"/>
    <row r="806" ht="13.5" customHeight="1" x14ac:dyDescent="0.15"/>
    <row r="807" ht="13.5" customHeight="1" x14ac:dyDescent="0.15"/>
    <row r="808" ht="13.5" customHeight="1" x14ac:dyDescent="0.15"/>
    <row r="809" ht="13.5" customHeight="1" x14ac:dyDescent="0.15"/>
    <row r="810" ht="13.5" customHeight="1" x14ac:dyDescent="0.15"/>
    <row r="811" ht="13.5" customHeight="1" x14ac:dyDescent="0.15"/>
    <row r="812" ht="13.5" customHeight="1" x14ac:dyDescent="0.15"/>
    <row r="813" ht="13.5" customHeight="1" x14ac:dyDescent="0.15"/>
    <row r="814" ht="13.5" customHeight="1" x14ac:dyDescent="0.15"/>
    <row r="815" ht="13.5" customHeight="1" x14ac:dyDescent="0.15"/>
    <row r="816" ht="13.5" customHeight="1" x14ac:dyDescent="0.15"/>
    <row r="817" ht="13.5" customHeight="1" x14ac:dyDescent="0.15"/>
    <row r="818" ht="13.5" customHeight="1" x14ac:dyDescent="0.15"/>
    <row r="819" ht="13.5" customHeight="1" x14ac:dyDescent="0.15"/>
    <row r="820" ht="13.5" customHeight="1" x14ac:dyDescent="0.15"/>
    <row r="821" ht="13.5" customHeight="1" x14ac:dyDescent="0.15"/>
    <row r="822" ht="13.5" customHeight="1" x14ac:dyDescent="0.15"/>
    <row r="823" ht="13.5" customHeight="1" x14ac:dyDescent="0.15"/>
    <row r="824" ht="13.5" customHeight="1" x14ac:dyDescent="0.15"/>
    <row r="825" ht="13.5" customHeight="1" x14ac:dyDescent="0.15"/>
    <row r="826" ht="13.5" customHeight="1" x14ac:dyDescent="0.15"/>
    <row r="827" ht="13.5" customHeight="1" x14ac:dyDescent="0.15"/>
    <row r="828" ht="13.5" customHeight="1" x14ac:dyDescent="0.15"/>
    <row r="829" ht="13.5" customHeight="1" x14ac:dyDescent="0.15"/>
    <row r="830" ht="13.5" customHeight="1" x14ac:dyDescent="0.15"/>
    <row r="831" ht="13.5" customHeight="1" x14ac:dyDescent="0.15"/>
    <row r="832" ht="13.5" customHeight="1" x14ac:dyDescent="0.15"/>
    <row r="833" ht="13.5" customHeight="1" x14ac:dyDescent="0.15"/>
    <row r="834" ht="13.5" customHeight="1" x14ac:dyDescent="0.15"/>
    <row r="835" ht="13.5" customHeight="1" x14ac:dyDescent="0.15"/>
    <row r="836" ht="13.5" customHeight="1" x14ac:dyDescent="0.15"/>
    <row r="837" ht="13.5" customHeight="1" x14ac:dyDescent="0.15"/>
    <row r="838" ht="13.5" customHeight="1" x14ac:dyDescent="0.15"/>
    <row r="839" ht="13.5" customHeight="1" x14ac:dyDescent="0.15"/>
    <row r="840" ht="13.5" customHeight="1" x14ac:dyDescent="0.15"/>
    <row r="841" ht="13.5" customHeight="1" x14ac:dyDescent="0.15"/>
    <row r="842" ht="13.5" customHeight="1" x14ac:dyDescent="0.15"/>
    <row r="843" ht="13.5" customHeight="1" x14ac:dyDescent="0.15"/>
    <row r="844" ht="13.5" customHeight="1" x14ac:dyDescent="0.15"/>
    <row r="845" ht="13.5" customHeight="1" x14ac:dyDescent="0.15"/>
    <row r="846" ht="13.5" customHeight="1" x14ac:dyDescent="0.15"/>
    <row r="847" ht="13.5" customHeight="1" x14ac:dyDescent="0.15"/>
    <row r="848" ht="13.5" customHeight="1" x14ac:dyDescent="0.15"/>
    <row r="849" ht="13.5" customHeight="1" x14ac:dyDescent="0.15"/>
    <row r="850" ht="13.5" customHeight="1" x14ac:dyDescent="0.15"/>
    <row r="851" ht="13.5" customHeight="1" x14ac:dyDescent="0.15"/>
    <row r="852" ht="13.5" customHeight="1" x14ac:dyDescent="0.15"/>
    <row r="853" ht="13.5" customHeight="1" x14ac:dyDescent="0.15"/>
    <row r="854" ht="13.5" customHeight="1" x14ac:dyDescent="0.15"/>
    <row r="855" ht="13.5" customHeight="1" x14ac:dyDescent="0.15"/>
    <row r="856" ht="13.5" customHeight="1" x14ac:dyDescent="0.15"/>
    <row r="857" ht="13.5" customHeight="1" x14ac:dyDescent="0.15"/>
    <row r="858" ht="13.5" customHeight="1" x14ac:dyDescent="0.15"/>
    <row r="859" ht="13.5" customHeight="1" x14ac:dyDescent="0.15"/>
    <row r="860" ht="13.5" customHeight="1" x14ac:dyDescent="0.15"/>
    <row r="861" ht="13.5" customHeight="1" x14ac:dyDescent="0.15"/>
    <row r="862" ht="13.5" customHeight="1" x14ac:dyDescent="0.15"/>
    <row r="863" ht="13.5" customHeight="1" x14ac:dyDescent="0.15"/>
    <row r="864" ht="13.5" customHeight="1" x14ac:dyDescent="0.15"/>
    <row r="865" ht="13.5" customHeight="1" x14ac:dyDescent="0.15"/>
    <row r="866" ht="13.5" customHeight="1" x14ac:dyDescent="0.15"/>
    <row r="867" ht="13.5" customHeight="1" x14ac:dyDescent="0.15"/>
    <row r="868" ht="13.5" customHeight="1" x14ac:dyDescent="0.15"/>
    <row r="869" ht="13.5" customHeight="1" x14ac:dyDescent="0.15"/>
    <row r="870" ht="13.5" customHeight="1" x14ac:dyDescent="0.15"/>
    <row r="871" ht="13.5" customHeight="1" x14ac:dyDescent="0.15"/>
    <row r="872" ht="13.5" customHeight="1" x14ac:dyDescent="0.15"/>
    <row r="873" ht="13.5" customHeight="1" x14ac:dyDescent="0.15"/>
    <row r="874" ht="13.5" customHeight="1" x14ac:dyDescent="0.15"/>
    <row r="875" ht="13.5" customHeight="1" x14ac:dyDescent="0.15"/>
    <row r="876" ht="13.5" customHeight="1" x14ac:dyDescent="0.15"/>
    <row r="877" ht="13.5" customHeight="1" x14ac:dyDescent="0.15"/>
    <row r="878" ht="13.5" customHeight="1" x14ac:dyDescent="0.15"/>
    <row r="879" ht="13.5" customHeight="1" x14ac:dyDescent="0.15"/>
    <row r="880" ht="13.5" customHeight="1" x14ac:dyDescent="0.15"/>
    <row r="881" ht="13.5" customHeight="1" x14ac:dyDescent="0.15"/>
    <row r="882" ht="13.5" customHeight="1" x14ac:dyDescent="0.15"/>
    <row r="883" ht="13.5" customHeight="1" x14ac:dyDescent="0.15"/>
    <row r="884" ht="13.5" customHeight="1" x14ac:dyDescent="0.15"/>
    <row r="885" ht="13.5" customHeight="1" x14ac:dyDescent="0.15"/>
    <row r="886" ht="13.5" customHeight="1" x14ac:dyDescent="0.15"/>
    <row r="887" ht="13.5" customHeight="1" x14ac:dyDescent="0.15"/>
    <row r="888" ht="13.5" customHeight="1" x14ac:dyDescent="0.15"/>
    <row r="889" ht="13.5" customHeight="1" x14ac:dyDescent="0.15"/>
    <row r="890" ht="13.5" customHeight="1" x14ac:dyDescent="0.15"/>
    <row r="891" ht="13.5" customHeight="1" x14ac:dyDescent="0.15"/>
    <row r="892" ht="13.5" customHeight="1" x14ac:dyDescent="0.15"/>
    <row r="893" ht="13.5" customHeight="1" x14ac:dyDescent="0.15"/>
    <row r="894" ht="13.5" customHeight="1" x14ac:dyDescent="0.15"/>
    <row r="895" ht="13.5" customHeight="1" x14ac:dyDescent="0.15"/>
    <row r="896" ht="13.5" customHeight="1" x14ac:dyDescent="0.15"/>
    <row r="897" ht="13.5" customHeight="1" x14ac:dyDescent="0.15"/>
    <row r="898" ht="13.5" customHeight="1" x14ac:dyDescent="0.15"/>
    <row r="899" ht="13.5" customHeight="1" x14ac:dyDescent="0.15"/>
    <row r="900" ht="13.5" customHeight="1" x14ac:dyDescent="0.15"/>
    <row r="901" ht="13.5" customHeight="1" x14ac:dyDescent="0.15"/>
    <row r="902" ht="13.5" customHeight="1" x14ac:dyDescent="0.15"/>
    <row r="903" ht="13.5" customHeight="1" x14ac:dyDescent="0.15"/>
    <row r="904" ht="13.5" customHeight="1" x14ac:dyDescent="0.15"/>
    <row r="905" ht="13.5" customHeight="1" x14ac:dyDescent="0.15"/>
    <row r="906" ht="13.5" customHeight="1" x14ac:dyDescent="0.15"/>
    <row r="907" ht="13.5" customHeight="1" x14ac:dyDescent="0.15"/>
    <row r="908" ht="13.5" customHeight="1" x14ac:dyDescent="0.15"/>
    <row r="909" ht="13.5" customHeight="1" x14ac:dyDescent="0.15"/>
    <row r="910" ht="13.5" customHeight="1" x14ac:dyDescent="0.15"/>
    <row r="911" ht="13.5" customHeight="1" x14ac:dyDescent="0.15"/>
    <row r="912" ht="13.5" customHeight="1" x14ac:dyDescent="0.15"/>
    <row r="913" ht="13.5" customHeight="1" x14ac:dyDescent="0.15"/>
    <row r="914" ht="13.5" customHeight="1" x14ac:dyDescent="0.15"/>
    <row r="915" ht="13.5" customHeight="1" x14ac:dyDescent="0.15"/>
    <row r="916" ht="13.5" customHeight="1" x14ac:dyDescent="0.15"/>
    <row r="917" ht="13.5" customHeight="1" x14ac:dyDescent="0.15"/>
    <row r="918" ht="13.5" customHeight="1" x14ac:dyDescent="0.15"/>
    <row r="919" ht="13.5" customHeight="1" x14ac:dyDescent="0.15"/>
    <row r="920" ht="13.5" customHeight="1" x14ac:dyDescent="0.15"/>
    <row r="921" ht="13.5" customHeight="1" x14ac:dyDescent="0.15"/>
    <row r="922" ht="13.5" customHeight="1" x14ac:dyDescent="0.15"/>
    <row r="923" ht="13.5" customHeight="1" x14ac:dyDescent="0.15"/>
    <row r="924" ht="13.5" customHeight="1" x14ac:dyDescent="0.15"/>
    <row r="925" ht="13.5" customHeight="1" x14ac:dyDescent="0.15"/>
    <row r="926" ht="13.5" customHeight="1" x14ac:dyDescent="0.15"/>
    <row r="927" ht="13.5" customHeight="1" x14ac:dyDescent="0.15"/>
    <row r="928" ht="13.5" customHeight="1" x14ac:dyDescent="0.15"/>
    <row r="929" ht="13.5" customHeight="1" x14ac:dyDescent="0.15"/>
    <row r="930" ht="13.5" customHeight="1" x14ac:dyDescent="0.15"/>
    <row r="931" ht="13.5" customHeight="1" x14ac:dyDescent="0.15"/>
    <row r="932" ht="13.5" customHeight="1" x14ac:dyDescent="0.15"/>
    <row r="933" ht="13.5" customHeight="1" x14ac:dyDescent="0.15"/>
    <row r="934" ht="13.5" customHeight="1" x14ac:dyDescent="0.15"/>
    <row r="935" ht="13.5" customHeight="1" x14ac:dyDescent="0.15"/>
    <row r="936" ht="13.5" customHeight="1" x14ac:dyDescent="0.15"/>
    <row r="937" ht="13.5" customHeight="1" x14ac:dyDescent="0.15"/>
    <row r="938" ht="13.5" customHeight="1" x14ac:dyDescent="0.15"/>
    <row r="939" ht="13.5" customHeight="1" x14ac:dyDescent="0.15"/>
    <row r="940" ht="13.5" customHeight="1" x14ac:dyDescent="0.15"/>
    <row r="941" ht="13.5" customHeight="1" x14ac:dyDescent="0.15"/>
    <row r="942" ht="13.5" customHeight="1" x14ac:dyDescent="0.15"/>
    <row r="943" ht="13.5" customHeight="1" x14ac:dyDescent="0.15"/>
    <row r="944" ht="13.5" customHeight="1" x14ac:dyDescent="0.15"/>
    <row r="945" ht="13.5" customHeight="1" x14ac:dyDescent="0.15"/>
    <row r="946" ht="13.5" customHeight="1" x14ac:dyDescent="0.15"/>
    <row r="947" ht="13.5" customHeight="1" x14ac:dyDescent="0.15"/>
    <row r="948" ht="13.5" customHeight="1" x14ac:dyDescent="0.15"/>
    <row r="949" ht="13.5" customHeight="1" x14ac:dyDescent="0.15"/>
    <row r="950" ht="13.5" customHeight="1" x14ac:dyDescent="0.15"/>
    <row r="951" ht="13.5" customHeight="1" x14ac:dyDescent="0.15"/>
    <row r="952" ht="13.5" customHeight="1" x14ac:dyDescent="0.15"/>
    <row r="953" ht="13.5" customHeight="1" x14ac:dyDescent="0.15"/>
    <row r="954" ht="13.5" customHeight="1" x14ac:dyDescent="0.15"/>
    <row r="955" ht="13.5" customHeight="1" x14ac:dyDescent="0.15"/>
    <row r="956" ht="13.5" customHeight="1" x14ac:dyDescent="0.15"/>
    <row r="957" ht="13.5" customHeight="1" x14ac:dyDescent="0.15"/>
    <row r="958" ht="13.5" customHeight="1" x14ac:dyDescent="0.15"/>
    <row r="959" ht="13.5" customHeight="1" x14ac:dyDescent="0.15"/>
    <row r="960" ht="13.5" customHeight="1" x14ac:dyDescent="0.15"/>
    <row r="961" ht="13.5" customHeight="1" x14ac:dyDescent="0.15"/>
    <row r="962" ht="13.5" customHeight="1" x14ac:dyDescent="0.15"/>
    <row r="963" ht="13.5" customHeight="1" x14ac:dyDescent="0.15"/>
    <row r="964" ht="13.5" customHeight="1" x14ac:dyDescent="0.15"/>
    <row r="965" ht="13.5" customHeight="1" x14ac:dyDescent="0.15"/>
    <row r="966" ht="13.5" customHeight="1" x14ac:dyDescent="0.15"/>
    <row r="967" ht="13.5" customHeight="1" x14ac:dyDescent="0.15"/>
    <row r="968" ht="13.5" customHeight="1" x14ac:dyDescent="0.15"/>
    <row r="969" ht="13.5" customHeight="1" x14ac:dyDescent="0.15"/>
    <row r="970" ht="13.5" customHeight="1" x14ac:dyDescent="0.15"/>
    <row r="971" ht="13.5" customHeight="1" x14ac:dyDescent="0.15"/>
    <row r="972" ht="13.5" customHeight="1" x14ac:dyDescent="0.15"/>
    <row r="973" ht="13.5" customHeight="1" x14ac:dyDescent="0.15"/>
    <row r="974" ht="13.5" customHeight="1" x14ac:dyDescent="0.15"/>
    <row r="975" ht="13.5" customHeight="1" x14ac:dyDescent="0.15"/>
    <row r="976" ht="13.5" customHeight="1" x14ac:dyDescent="0.15"/>
    <row r="977" ht="13.5" customHeight="1" x14ac:dyDescent="0.15"/>
    <row r="978" ht="13.5" customHeight="1" x14ac:dyDescent="0.15"/>
    <row r="979" ht="13.5" customHeight="1" x14ac:dyDescent="0.15"/>
    <row r="980" ht="13.5" customHeight="1" x14ac:dyDescent="0.15"/>
    <row r="981" ht="13.5" customHeight="1" x14ac:dyDescent="0.15"/>
    <row r="982" ht="13.5" customHeight="1" x14ac:dyDescent="0.15"/>
    <row r="983" ht="13.5" customHeight="1" x14ac:dyDescent="0.15"/>
    <row r="984" ht="13.5" customHeight="1" x14ac:dyDescent="0.15"/>
    <row r="985" ht="13.5" customHeight="1" x14ac:dyDescent="0.15"/>
    <row r="986" ht="13.5" customHeight="1" x14ac:dyDescent="0.15"/>
    <row r="987" ht="13.5" customHeight="1" x14ac:dyDescent="0.15"/>
    <row r="988" ht="13.5" customHeight="1" x14ac:dyDescent="0.15"/>
    <row r="989" ht="13.5" customHeight="1" x14ac:dyDescent="0.15"/>
    <row r="990" ht="13.5" customHeight="1" x14ac:dyDescent="0.15"/>
    <row r="991" ht="13.5" customHeight="1" x14ac:dyDescent="0.15"/>
    <row r="992" ht="13.5" customHeight="1" x14ac:dyDescent="0.15"/>
    <row r="993" ht="13.5" customHeight="1" x14ac:dyDescent="0.15"/>
    <row r="994" ht="13.5" customHeight="1" x14ac:dyDescent="0.15"/>
    <row r="995" ht="13.5" customHeight="1" x14ac:dyDescent="0.15"/>
    <row r="996" ht="13.5" customHeight="1" x14ac:dyDescent="0.15"/>
    <row r="997" ht="13.5" customHeight="1" x14ac:dyDescent="0.15"/>
    <row r="998" ht="13.5" customHeight="1" x14ac:dyDescent="0.15"/>
    <row r="999" ht="13.5" customHeight="1" x14ac:dyDescent="0.15"/>
    <row r="1000" ht="13.5" customHeight="1" x14ac:dyDescent="0.15"/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1009"/>
  <sheetViews>
    <sheetView showGridLines="0" topLeftCell="A20" zoomScale="111" workbookViewId="0">
      <selection activeCell="BL74" sqref="BL74"/>
    </sheetView>
  </sheetViews>
  <sheetFormatPr baseColWidth="10" defaultColWidth="12.6640625" defaultRowHeight="15" customHeight="1" outlineLevelCol="1" x14ac:dyDescent="0.15"/>
  <cols>
    <col min="1" max="1" width="1.5" customWidth="1"/>
    <col min="2" max="2" width="45" customWidth="1"/>
    <col min="3" max="3" width="3.33203125" customWidth="1"/>
    <col min="4" max="11" width="9.5" hidden="1" customWidth="1" outlineLevel="1"/>
    <col min="12" max="12" width="9.5" hidden="1" customWidth="1" collapsed="1"/>
    <col min="13" max="16" width="9.5" hidden="1" customWidth="1" outlineLevel="1"/>
    <col min="17" max="17" width="9.83203125" customWidth="1" collapsed="1"/>
    <col min="18" max="21" width="9.83203125" hidden="1" customWidth="1" outlineLevel="1"/>
    <col min="22" max="22" width="9.83203125" customWidth="1" collapsed="1"/>
    <col min="23" max="26" width="9.83203125" hidden="1" customWidth="1" outlineLevel="1"/>
    <col min="27" max="27" width="9.83203125" customWidth="1" collapsed="1"/>
    <col min="28" max="29" width="9.5" hidden="1" customWidth="1" outlineLevel="1"/>
    <col min="30" max="30" width="8.1640625" hidden="1" customWidth="1" outlineLevel="1"/>
    <col min="31" max="31" width="9.1640625" hidden="1" customWidth="1" outlineLevel="1"/>
    <col min="32" max="32" width="9.5" customWidth="1" collapsed="1"/>
    <col min="33" max="36" width="9.5" hidden="1" customWidth="1" outlineLevel="1"/>
    <col min="37" max="37" width="9.5" customWidth="1" collapsed="1"/>
    <col min="38" max="41" width="9.5" hidden="1" customWidth="1" outlineLevel="1"/>
    <col min="42" max="42" width="9.5" customWidth="1" collapsed="1"/>
    <col min="43" max="46" width="9.5" hidden="1" customWidth="1" outlineLevel="1"/>
    <col min="47" max="47" width="9.5" customWidth="1" collapsed="1"/>
    <col min="48" max="51" width="9.5" hidden="1" customWidth="1" outlineLevel="1"/>
    <col min="52" max="52" width="9.5" customWidth="1" collapsed="1"/>
    <col min="53" max="56" width="9.5" hidden="1" customWidth="1" outlineLevel="1"/>
    <col min="57" max="57" width="9.5" customWidth="1" collapsed="1"/>
    <col min="58" max="62" width="8" customWidth="1"/>
  </cols>
  <sheetData>
    <row r="1" spans="1:62" ht="9.75" customHeight="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</row>
    <row r="2" spans="1:62" ht="15" customHeight="1" x14ac:dyDescent="0.2">
      <c r="A2" s="10"/>
      <c r="B2" s="11"/>
      <c r="C2" s="192"/>
      <c r="D2" s="13"/>
      <c r="E2" s="14"/>
      <c r="F2" s="15"/>
      <c r="G2" s="16"/>
      <c r="H2" s="13"/>
      <c r="I2" s="14"/>
      <c r="J2" s="15"/>
      <c r="K2" s="16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3"/>
      <c r="AC2" s="14"/>
      <c r="AD2" s="15"/>
      <c r="AE2" s="16"/>
      <c r="AF2" s="17"/>
      <c r="AG2" s="13"/>
      <c r="AH2" s="14"/>
      <c r="AI2" s="15"/>
      <c r="AJ2" s="16"/>
      <c r="AK2" s="17"/>
      <c r="AL2" s="13"/>
      <c r="AM2" s="14"/>
      <c r="AN2" s="15"/>
      <c r="AO2" s="16"/>
      <c r="AP2" s="17"/>
      <c r="AQ2" s="13"/>
      <c r="AR2" s="14"/>
      <c r="AS2" s="15"/>
      <c r="AT2" s="16"/>
      <c r="AU2" s="17"/>
      <c r="AV2" s="13"/>
      <c r="AW2" s="14"/>
      <c r="AX2" s="15"/>
      <c r="AY2" s="16"/>
      <c r="AZ2" s="17"/>
      <c r="BA2" s="13"/>
      <c r="BB2" s="14"/>
      <c r="BC2" s="15"/>
      <c r="BD2" s="16"/>
      <c r="BE2" s="17"/>
      <c r="BF2" s="10"/>
      <c r="BG2" s="10"/>
      <c r="BH2" s="10"/>
      <c r="BI2" s="10"/>
      <c r="BJ2" s="10"/>
    </row>
    <row r="3" spans="1:62" ht="33.75" customHeight="1" x14ac:dyDescent="0.2">
      <c r="A3" s="10"/>
      <c r="B3" s="18"/>
      <c r="C3" s="193"/>
      <c r="D3" s="20"/>
      <c r="E3" s="21"/>
      <c r="F3" s="22"/>
      <c r="G3" s="23"/>
      <c r="H3" s="20"/>
      <c r="I3" s="21"/>
      <c r="J3" s="22"/>
      <c r="K3" s="23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0"/>
      <c r="AC3" s="21"/>
      <c r="AD3" s="22"/>
      <c r="AE3" s="23"/>
      <c r="AF3" s="24"/>
      <c r="AG3" s="20"/>
      <c r="AH3" s="21"/>
      <c r="AI3" s="22"/>
      <c r="AJ3" s="23"/>
      <c r="AK3" s="24"/>
      <c r="AL3" s="20"/>
      <c r="AM3" s="21"/>
      <c r="AN3" s="22"/>
      <c r="AO3" s="23"/>
      <c r="AP3" s="24"/>
      <c r="AQ3" s="20"/>
      <c r="AR3" s="21"/>
      <c r="AS3" s="22"/>
      <c r="AT3" s="23"/>
      <c r="AU3" s="24"/>
      <c r="AV3" s="20"/>
      <c r="AW3" s="21"/>
      <c r="AX3" s="22"/>
      <c r="AY3" s="23"/>
      <c r="AZ3" s="24"/>
      <c r="BA3" s="20"/>
      <c r="BB3" s="21"/>
      <c r="BC3" s="22"/>
      <c r="BD3" s="23"/>
      <c r="BE3" s="24"/>
      <c r="BF3" s="25"/>
      <c r="BG3" s="26"/>
      <c r="BH3" s="26"/>
      <c r="BI3" s="26"/>
      <c r="BJ3" s="26"/>
    </row>
    <row r="4" spans="1:62" ht="15" customHeight="1" x14ac:dyDescent="0.2">
      <c r="A4" s="10"/>
      <c r="B4" s="27" t="str">
        <f>'Balance Sheet'!B4</f>
        <v>American Tower</v>
      </c>
      <c r="C4" s="193"/>
      <c r="D4" s="28" t="e">
        <f t="shared" ref="D4:G4" si="0">#REF!</f>
        <v>#REF!</v>
      </c>
      <c r="E4" s="29" t="e">
        <f t="shared" si="0"/>
        <v>#REF!</v>
      </c>
      <c r="F4" s="30" t="e">
        <f t="shared" si="0"/>
        <v>#REF!</v>
      </c>
      <c r="G4" s="31" t="e">
        <f t="shared" si="0"/>
        <v>#REF!</v>
      </c>
      <c r="H4" s="28">
        <f t="shared" ref="H4:K4" si="1">$L$4</f>
        <v>2017</v>
      </c>
      <c r="I4" s="29">
        <f t="shared" si="1"/>
        <v>2017</v>
      </c>
      <c r="J4" s="30">
        <f t="shared" si="1"/>
        <v>2017</v>
      </c>
      <c r="K4" s="31">
        <f t="shared" si="1"/>
        <v>2017</v>
      </c>
      <c r="L4" s="32">
        <f>'Income Statement'!L4</f>
        <v>2017</v>
      </c>
      <c r="M4" s="28" t="s">
        <v>177</v>
      </c>
      <c r="N4" s="28" t="s">
        <v>178</v>
      </c>
      <c r="O4" s="28" t="s">
        <v>179</v>
      </c>
      <c r="P4" s="28" t="s">
        <v>180</v>
      </c>
      <c r="Q4" s="32">
        <f>L4+1</f>
        <v>2018</v>
      </c>
      <c r="R4" s="28" t="s">
        <v>181</v>
      </c>
      <c r="S4" s="28" t="s">
        <v>88</v>
      </c>
      <c r="T4" s="28" t="s">
        <v>89</v>
      </c>
      <c r="U4" s="28" t="s">
        <v>90</v>
      </c>
      <c r="V4" s="32">
        <f>Q4+1</f>
        <v>2019</v>
      </c>
      <c r="W4" s="28" t="s">
        <v>91</v>
      </c>
      <c r="X4" s="28" t="s">
        <v>92</v>
      </c>
      <c r="Y4" s="194" t="s">
        <v>93</v>
      </c>
      <c r="Z4" s="28" t="s">
        <v>94</v>
      </c>
      <c r="AA4" s="32">
        <f>V4+1</f>
        <v>2020</v>
      </c>
      <c r="AB4" s="28">
        <f t="shared" ref="AB4:AD4" si="2">$AF$4</f>
        <v>2021</v>
      </c>
      <c r="AC4" s="29">
        <f t="shared" si="2"/>
        <v>2021</v>
      </c>
      <c r="AD4" s="30">
        <f t="shared" si="2"/>
        <v>2021</v>
      </c>
      <c r="AE4" s="31" t="s">
        <v>17</v>
      </c>
      <c r="AF4" s="34">
        <f>AA4+1</f>
        <v>2021</v>
      </c>
      <c r="AG4" s="28">
        <f t="shared" ref="AG4:AJ4" si="3">$AK$4</f>
        <v>2022</v>
      </c>
      <c r="AH4" s="29">
        <f t="shared" si="3"/>
        <v>2022</v>
      </c>
      <c r="AI4" s="30">
        <f t="shared" si="3"/>
        <v>2022</v>
      </c>
      <c r="AJ4" s="31">
        <f t="shared" si="3"/>
        <v>2022</v>
      </c>
      <c r="AK4" s="34">
        <f>AF4+1</f>
        <v>2022</v>
      </c>
      <c r="AL4" s="28">
        <f t="shared" ref="AL4:AO4" si="4">$AP$4</f>
        <v>2023</v>
      </c>
      <c r="AM4" s="29">
        <f t="shared" si="4"/>
        <v>2023</v>
      </c>
      <c r="AN4" s="30">
        <f t="shared" si="4"/>
        <v>2023</v>
      </c>
      <c r="AO4" s="31">
        <f t="shared" si="4"/>
        <v>2023</v>
      </c>
      <c r="AP4" s="34">
        <f>$AK$4+1</f>
        <v>2023</v>
      </c>
      <c r="AQ4" s="28">
        <f t="shared" ref="AQ4:AT4" si="5">$AU$4</f>
        <v>2024</v>
      </c>
      <c r="AR4" s="29">
        <f t="shared" si="5"/>
        <v>2024</v>
      </c>
      <c r="AS4" s="30">
        <f t="shared" si="5"/>
        <v>2024</v>
      </c>
      <c r="AT4" s="31">
        <f t="shared" si="5"/>
        <v>2024</v>
      </c>
      <c r="AU4" s="34">
        <f>AP4+1</f>
        <v>2024</v>
      </c>
      <c r="AV4" s="28">
        <f t="shared" ref="AV4:AY4" si="6">$AZ$4</f>
        <v>2025</v>
      </c>
      <c r="AW4" s="29">
        <f t="shared" si="6"/>
        <v>2025</v>
      </c>
      <c r="AX4" s="30">
        <f t="shared" si="6"/>
        <v>2025</v>
      </c>
      <c r="AY4" s="31">
        <f t="shared" si="6"/>
        <v>2025</v>
      </c>
      <c r="AZ4" s="34">
        <f>AU4+1</f>
        <v>2025</v>
      </c>
      <c r="BA4" s="28">
        <f t="shared" ref="BA4:BD4" si="7">$BE$4</f>
        <v>2026</v>
      </c>
      <c r="BB4" s="29">
        <f t="shared" si="7"/>
        <v>2026</v>
      </c>
      <c r="BC4" s="30">
        <f t="shared" si="7"/>
        <v>2026</v>
      </c>
      <c r="BD4" s="31">
        <f t="shared" si="7"/>
        <v>2026</v>
      </c>
      <c r="BE4" s="34">
        <f>AZ4+1</f>
        <v>2026</v>
      </c>
      <c r="BF4" s="35"/>
      <c r="BG4" s="113"/>
      <c r="BH4" s="113"/>
      <c r="BI4" s="113"/>
      <c r="BJ4" s="113"/>
    </row>
    <row r="5" spans="1:62" ht="12.75" customHeight="1" x14ac:dyDescent="0.2">
      <c r="A5" s="10"/>
      <c r="B5" s="36" t="str">
        <f ca="1">MID(CELL("filename",A1),FIND("]",CELL("filename",A1))+1,255)&amp;" "&amp;MID('Balance Sheet'!B5,FIND("(",'Balance Sheet'!B5),1000)</f>
        <v>Cash Flow Statement ($USD in Millions)</v>
      </c>
      <c r="C5" s="195"/>
      <c r="D5" s="38" t="e">
        <f>EOMONTH(#REF!,3)</f>
        <v>#REF!</v>
      </c>
      <c r="E5" s="39" t="e">
        <f t="shared" ref="E5:G5" si="8">EOMONTH(D5,3)</f>
        <v>#REF!</v>
      </c>
      <c r="F5" s="39" t="e">
        <f t="shared" si="8"/>
        <v>#REF!</v>
      </c>
      <c r="G5" s="40" t="e">
        <f t="shared" si="8"/>
        <v>#REF!</v>
      </c>
      <c r="H5" s="41" t="e">
        <f>'Balance Sheet'!H5</f>
        <v>#REF!</v>
      </c>
      <c r="I5" s="41" t="e">
        <f>'Balance Sheet'!I5</f>
        <v>#REF!</v>
      </c>
      <c r="J5" s="41" t="e">
        <f>'Balance Sheet'!J5</f>
        <v>#REF!</v>
      </c>
      <c r="K5" s="41" t="e">
        <f>'Balance Sheet'!K5</f>
        <v>#REF!</v>
      </c>
      <c r="L5" s="41">
        <f>'Balance Sheet'!L5</f>
        <v>43100</v>
      </c>
      <c r="M5" s="114">
        <v>43190</v>
      </c>
      <c r="N5" s="114">
        <v>43373</v>
      </c>
      <c r="O5" s="114">
        <v>43281</v>
      </c>
      <c r="P5" s="114">
        <v>43465</v>
      </c>
      <c r="Q5" s="41">
        <f>'Balance Sheet'!Q5</f>
        <v>43465</v>
      </c>
      <c r="R5" s="114">
        <v>43555</v>
      </c>
      <c r="S5" s="114">
        <v>43646</v>
      </c>
      <c r="T5" s="41">
        <v>43738</v>
      </c>
      <c r="U5" s="114">
        <v>43830</v>
      </c>
      <c r="V5" s="41">
        <f>'Balance Sheet'!V5</f>
        <v>43830</v>
      </c>
      <c r="W5" s="114">
        <v>43921</v>
      </c>
      <c r="X5" s="114">
        <v>44012</v>
      </c>
      <c r="Y5" s="114">
        <v>44104</v>
      </c>
      <c r="Z5" s="114">
        <v>44196</v>
      </c>
      <c r="AA5" s="41">
        <f>'Balance Sheet'!AA5</f>
        <v>44196</v>
      </c>
      <c r="AB5" s="41">
        <f>'Balance Sheet'!AB5</f>
        <v>44286</v>
      </c>
      <c r="AC5" s="41">
        <f>'Balance Sheet'!AC5</f>
        <v>44377</v>
      </c>
      <c r="AD5" s="41">
        <f>'Balance Sheet'!AD5</f>
        <v>44469</v>
      </c>
      <c r="AE5" s="41">
        <f>'Balance Sheet'!AE5</f>
        <v>44561</v>
      </c>
      <c r="AF5" s="41">
        <f>'Balance Sheet'!AF5</f>
        <v>44561</v>
      </c>
      <c r="AG5" s="41">
        <f>'Balance Sheet'!AG5</f>
        <v>44651</v>
      </c>
      <c r="AH5" s="41">
        <f>'Balance Sheet'!AH5</f>
        <v>44742</v>
      </c>
      <c r="AI5" s="41">
        <f>'Balance Sheet'!AI5</f>
        <v>44834</v>
      </c>
      <c r="AJ5" s="41">
        <f>'Balance Sheet'!AJ5</f>
        <v>44926</v>
      </c>
      <c r="AK5" s="41">
        <f>'Balance Sheet'!AK5</f>
        <v>44926</v>
      </c>
      <c r="AL5" s="41">
        <f>'Balance Sheet'!AL5</f>
        <v>45016</v>
      </c>
      <c r="AM5" s="41">
        <f>'Balance Sheet'!AM5</f>
        <v>45107</v>
      </c>
      <c r="AN5" s="41">
        <f>'Balance Sheet'!AN5</f>
        <v>45199</v>
      </c>
      <c r="AO5" s="41">
        <f>'Balance Sheet'!AO5</f>
        <v>45291</v>
      </c>
      <c r="AP5" s="41">
        <f>'Balance Sheet'!AP5</f>
        <v>45291</v>
      </c>
      <c r="AQ5" s="41">
        <f>'Balance Sheet'!AQ5</f>
        <v>45382</v>
      </c>
      <c r="AR5" s="41">
        <f>'Balance Sheet'!AR5</f>
        <v>45473</v>
      </c>
      <c r="AS5" s="41">
        <f>'Balance Sheet'!AS5</f>
        <v>45565</v>
      </c>
      <c r="AT5" s="41">
        <f>'Balance Sheet'!AT5</f>
        <v>45657</v>
      </c>
      <c r="AU5" s="41">
        <f>'Balance Sheet'!AU5</f>
        <v>45657</v>
      </c>
      <c r="AV5" s="41">
        <f>'Balance Sheet'!AV5</f>
        <v>45747</v>
      </c>
      <c r="AW5" s="41">
        <f>'Balance Sheet'!AW5</f>
        <v>45838</v>
      </c>
      <c r="AX5" s="41">
        <f>'Balance Sheet'!AX5</f>
        <v>45930</v>
      </c>
      <c r="AY5" s="41">
        <f>'Balance Sheet'!AY5</f>
        <v>46022</v>
      </c>
      <c r="AZ5" s="41">
        <f>'Balance Sheet'!AZ5</f>
        <v>46022</v>
      </c>
      <c r="BA5" s="41">
        <f>'Balance Sheet'!BA5</f>
        <v>46112</v>
      </c>
      <c r="BB5" s="41">
        <f>'Balance Sheet'!BB5</f>
        <v>46203</v>
      </c>
      <c r="BC5" s="41">
        <f>'Balance Sheet'!BC5</f>
        <v>46295</v>
      </c>
      <c r="BD5" s="41">
        <f>'Balance Sheet'!BD5</f>
        <v>46387</v>
      </c>
      <c r="BE5" s="41">
        <f>'Balance Sheet'!BE5</f>
        <v>46387</v>
      </c>
      <c r="BF5" s="35"/>
      <c r="BG5" s="113"/>
      <c r="BH5" s="113"/>
      <c r="BI5" s="113"/>
      <c r="BJ5" s="113"/>
    </row>
    <row r="6" spans="1:62" ht="4.5" customHeight="1" x14ac:dyDescent="0.1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45"/>
      <c r="M6" s="45"/>
      <c r="N6" s="10"/>
      <c r="O6" s="10"/>
      <c r="P6" s="196"/>
      <c r="Q6" s="10"/>
      <c r="R6" s="45"/>
      <c r="S6" s="10"/>
      <c r="T6" s="10"/>
      <c r="U6" s="10"/>
      <c r="V6" s="45"/>
      <c r="W6" s="45"/>
      <c r="X6" s="10"/>
      <c r="Y6" s="10"/>
      <c r="Z6" s="10"/>
      <c r="AA6" s="47"/>
      <c r="AB6" s="10"/>
      <c r="AC6" s="10"/>
      <c r="AD6" s="10"/>
      <c r="AE6" s="10"/>
      <c r="AF6" s="47"/>
      <c r="AG6" s="10"/>
      <c r="AH6" s="10"/>
      <c r="AI6" s="10"/>
      <c r="AJ6" s="10"/>
      <c r="AK6" s="47"/>
      <c r="AL6" s="10"/>
      <c r="AM6" s="10"/>
      <c r="AN6" s="10"/>
      <c r="AO6" s="10"/>
      <c r="AP6" s="47"/>
      <c r="AQ6" s="10"/>
      <c r="AR6" s="10"/>
      <c r="AS6" s="10"/>
      <c r="AT6" s="10"/>
      <c r="AU6" s="47"/>
      <c r="AV6" s="10"/>
      <c r="AW6" s="10"/>
      <c r="AX6" s="10"/>
      <c r="AY6" s="10"/>
      <c r="AZ6" s="47"/>
      <c r="BA6" s="10"/>
      <c r="BB6" s="10"/>
      <c r="BC6" s="10"/>
      <c r="BD6" s="10"/>
      <c r="BE6" s="47"/>
      <c r="BF6" s="10"/>
      <c r="BG6" s="10"/>
      <c r="BH6" s="10"/>
      <c r="BI6" s="10"/>
      <c r="BJ6" s="10"/>
    </row>
    <row r="7" spans="1:62" ht="9.75" customHeight="1" x14ac:dyDescent="0.15">
      <c r="A7" s="10"/>
      <c r="B7" s="48" t="s">
        <v>182</v>
      </c>
      <c r="C7" s="10"/>
      <c r="D7" s="49"/>
      <c r="E7" s="49"/>
      <c r="F7" s="49"/>
      <c r="G7" s="49"/>
      <c r="H7" s="49"/>
      <c r="I7" s="49"/>
      <c r="J7" s="49"/>
      <c r="K7" s="49"/>
      <c r="L7" s="50"/>
      <c r="M7" s="50"/>
      <c r="N7" s="49"/>
      <c r="O7" s="49"/>
      <c r="P7" s="49"/>
      <c r="Q7" s="51"/>
      <c r="R7" s="50"/>
      <c r="S7" s="49"/>
      <c r="T7" s="49"/>
      <c r="U7" s="49"/>
      <c r="V7" s="50"/>
      <c r="W7" s="50"/>
      <c r="X7" s="49"/>
      <c r="Y7" s="49"/>
      <c r="Z7" s="49"/>
      <c r="AA7" s="51"/>
      <c r="AB7" s="49"/>
      <c r="AC7" s="49"/>
      <c r="AD7" s="49"/>
      <c r="AE7" s="49"/>
      <c r="AF7" s="51"/>
      <c r="AG7" s="49"/>
      <c r="AH7" s="49"/>
      <c r="AI7" s="49"/>
      <c r="AJ7" s="49"/>
      <c r="AK7" s="51"/>
      <c r="AL7" s="49"/>
      <c r="AM7" s="49"/>
      <c r="AN7" s="49"/>
      <c r="AO7" s="49"/>
      <c r="AP7" s="51"/>
      <c r="AQ7" s="49"/>
      <c r="AR7" s="49"/>
      <c r="AS7" s="49"/>
      <c r="AT7" s="49"/>
      <c r="AU7" s="51"/>
      <c r="AV7" s="49"/>
      <c r="AW7" s="49"/>
      <c r="AX7" s="49"/>
      <c r="AY7" s="49"/>
      <c r="AZ7" s="51"/>
      <c r="BA7" s="49"/>
      <c r="BB7" s="49"/>
      <c r="BC7" s="49"/>
      <c r="BD7" s="49"/>
      <c r="BE7" s="51"/>
      <c r="BF7" s="10"/>
      <c r="BG7" s="10"/>
      <c r="BH7" s="10"/>
      <c r="BI7" s="10"/>
      <c r="BJ7" s="10"/>
    </row>
    <row r="8" spans="1:62" ht="4.5" customHeight="1" x14ac:dyDescent="0.15">
      <c r="A8" s="10"/>
      <c r="B8" s="10"/>
      <c r="C8" s="10"/>
      <c r="D8" s="49"/>
      <c r="E8" s="49"/>
      <c r="F8" s="49"/>
      <c r="G8" s="49"/>
      <c r="H8" s="49"/>
      <c r="I8" s="49"/>
      <c r="J8" s="49"/>
      <c r="K8" s="49"/>
      <c r="L8" s="50"/>
      <c r="M8" s="50"/>
      <c r="N8" s="49"/>
      <c r="O8" s="49"/>
      <c r="P8" s="49"/>
      <c r="Q8" s="51"/>
      <c r="R8" s="50"/>
      <c r="S8" s="49"/>
      <c r="T8" s="49"/>
      <c r="U8" s="49"/>
      <c r="V8" s="50"/>
      <c r="W8" s="50"/>
      <c r="X8" s="49"/>
      <c r="Y8" s="49"/>
      <c r="Z8" s="49"/>
      <c r="AA8" s="51"/>
      <c r="AB8" s="49"/>
      <c r="AC8" s="49"/>
      <c r="AD8" s="49"/>
      <c r="AE8" s="49"/>
      <c r="AF8" s="51"/>
      <c r="AG8" s="49"/>
      <c r="AH8" s="49"/>
      <c r="AI8" s="49"/>
      <c r="AJ8" s="49"/>
      <c r="AK8" s="51"/>
      <c r="AL8" s="49"/>
      <c r="AM8" s="49"/>
      <c r="AN8" s="49"/>
      <c r="AO8" s="49"/>
      <c r="AP8" s="51"/>
      <c r="AQ8" s="49"/>
      <c r="AR8" s="49"/>
      <c r="AS8" s="49"/>
      <c r="AT8" s="49"/>
      <c r="AU8" s="51"/>
      <c r="AV8" s="49"/>
      <c r="AW8" s="49"/>
      <c r="AX8" s="49"/>
      <c r="AY8" s="49"/>
      <c r="AZ8" s="51"/>
      <c r="BA8" s="49"/>
      <c r="BB8" s="49"/>
      <c r="BC8" s="49"/>
      <c r="BD8" s="49"/>
      <c r="BE8" s="51"/>
      <c r="BF8" s="10"/>
      <c r="BG8" s="10"/>
      <c r="BH8" s="10"/>
      <c r="BI8" s="10"/>
      <c r="BJ8" s="10"/>
    </row>
    <row r="9" spans="1:62" ht="9.75" customHeight="1" x14ac:dyDescent="0.15">
      <c r="A9" s="10"/>
      <c r="B9" s="10" t="s">
        <v>126</v>
      </c>
      <c r="C9" s="10"/>
      <c r="D9" s="49"/>
      <c r="E9" s="49"/>
      <c r="F9" s="49"/>
      <c r="G9" s="49"/>
      <c r="H9" s="49"/>
      <c r="I9" s="49"/>
      <c r="J9" s="49"/>
      <c r="K9" s="49"/>
      <c r="L9" s="50" t="e">
        <f>'Income Statement'!L32</f>
        <v>#REF!</v>
      </c>
      <c r="M9" s="50">
        <v>280.3</v>
      </c>
      <c r="N9" s="49">
        <v>314.39999999999998</v>
      </c>
      <c r="O9" s="49">
        <v>378</v>
      </c>
      <c r="P9" s="49">
        <f>Q9-O9-N9-M9</f>
        <v>291.99999999999892</v>
      </c>
      <c r="Q9" s="51">
        <f>'Income Statement'!Q32</f>
        <v>1264.6999999999989</v>
      </c>
      <c r="R9" s="50">
        <v>407.6</v>
      </c>
      <c r="S9" s="49">
        <v>434</v>
      </c>
      <c r="T9" s="49">
        <f>1347.2-S9-R9</f>
        <v>505.6</v>
      </c>
      <c r="U9" s="49">
        <f>V9-T9-S9-R9</f>
        <v>569.4</v>
      </c>
      <c r="V9" s="50">
        <f>'Income Statement'!V32</f>
        <v>1916.6</v>
      </c>
      <c r="W9" s="50">
        <v>418.6</v>
      </c>
      <c r="X9" s="49">
        <f>867-418.6</f>
        <v>448.4</v>
      </c>
      <c r="Y9" s="49">
        <v>462.9</v>
      </c>
      <c r="Z9" s="49">
        <f>AA9-Y9-X9-W9</f>
        <v>361.59999999999991</v>
      </c>
      <c r="AA9" s="51">
        <f>'Income Statement'!AA32</f>
        <v>1691.5</v>
      </c>
      <c r="AB9" s="50">
        <v>652.29999999999995</v>
      </c>
      <c r="AC9" s="49">
        <v>747.9</v>
      </c>
      <c r="AD9" s="49">
        <v>726.4</v>
      </c>
      <c r="AE9" s="197">
        <f>AF9-AD9-AC9-AB9</f>
        <v>1409.5121808000015</v>
      </c>
      <c r="AF9" s="51">
        <f>'Income Statement'!AF32</f>
        <v>3536.1121808000016</v>
      </c>
      <c r="AG9" s="51">
        <f>'Income Statement'!AG32</f>
        <v>749.0290668838594</v>
      </c>
      <c r="AH9" s="51">
        <f>'Income Statement'!AH32</f>
        <v>791.01239928334735</v>
      </c>
      <c r="AI9" s="51">
        <f>'Income Statement'!AI32</f>
        <v>869.09981891426924</v>
      </c>
      <c r="AJ9" s="51">
        <f>'Income Statement'!AJ32</f>
        <v>845.70221210110253</v>
      </c>
      <c r="AK9" s="51">
        <f>'Income Statement'!AK32</f>
        <v>3254.8434971825782</v>
      </c>
      <c r="AL9" s="51">
        <f>'Income Statement'!AL8</f>
        <v>2763.2932738</v>
      </c>
      <c r="AM9" s="51">
        <f>'Income Statement'!AM8</f>
        <v>2900.0546964</v>
      </c>
      <c r="AN9" s="51">
        <f>'Income Statement'!AN8</f>
        <v>3096.9420068999998</v>
      </c>
      <c r="AO9" s="51">
        <f>'Income Statement'!AO8</f>
        <v>2977.5834320464005</v>
      </c>
      <c r="AP9" s="51">
        <f>'Income Statement'!AP32</f>
        <v>3736.2957049997976</v>
      </c>
      <c r="AQ9" s="51" t="e">
        <f>'Income Statement'!#REF!</f>
        <v>#REF!</v>
      </c>
      <c r="AR9" s="51" t="e">
        <f>'Income Statement'!#REF!</f>
        <v>#REF!</v>
      </c>
      <c r="AS9" s="51" t="e">
        <f>'Income Statement'!#REF!</f>
        <v>#REF!</v>
      </c>
      <c r="AT9" s="51" t="e">
        <f>'Income Statement'!#REF!</f>
        <v>#REF!</v>
      </c>
      <c r="AU9" s="51">
        <f>'Income Statement'!AQ32</f>
        <v>3980.1175273760573</v>
      </c>
      <c r="AV9" s="51" t="e">
        <f>'Income Statement'!#REF!</f>
        <v>#REF!</v>
      </c>
      <c r="AW9" s="51" t="e">
        <f>'Income Statement'!#REF!</f>
        <v>#REF!</v>
      </c>
      <c r="AX9" s="51" t="e">
        <f>'Income Statement'!#REF!</f>
        <v>#REF!</v>
      </c>
      <c r="AY9" s="51" t="e">
        <f>'Income Statement'!#REF!</f>
        <v>#REF!</v>
      </c>
      <c r="AZ9" s="51">
        <f>'Income Statement'!AR32</f>
        <v>4107.117342735648</v>
      </c>
      <c r="BA9" s="51" t="e">
        <f>'Income Statement'!#REF!</f>
        <v>#REF!</v>
      </c>
      <c r="BB9" s="51" t="e">
        <f>'Income Statement'!#REF!</f>
        <v>#REF!</v>
      </c>
      <c r="BC9" s="51" t="e">
        <f>'Income Statement'!#REF!</f>
        <v>#REF!</v>
      </c>
      <c r="BD9" s="51" t="e">
        <f>'Income Statement'!#REF!</f>
        <v>#REF!</v>
      </c>
      <c r="BE9" s="51">
        <f>'Income Statement'!AS32</f>
        <v>4101.6779722793171</v>
      </c>
      <c r="BF9" s="10"/>
      <c r="BG9" s="10"/>
      <c r="BH9" s="10"/>
      <c r="BI9" s="10"/>
      <c r="BJ9" s="10"/>
    </row>
    <row r="10" spans="1:62" ht="9.75" customHeight="1" x14ac:dyDescent="0.15">
      <c r="A10" s="10"/>
      <c r="B10" s="10" t="s">
        <v>183</v>
      </c>
      <c r="C10" s="10"/>
      <c r="D10" s="49"/>
      <c r="E10" s="49"/>
      <c r="F10" s="49"/>
      <c r="G10" s="49"/>
      <c r="H10" s="49"/>
      <c r="I10" s="49"/>
      <c r="J10" s="49"/>
      <c r="K10" s="49"/>
      <c r="L10" s="50"/>
      <c r="M10" s="50"/>
      <c r="N10" s="49"/>
      <c r="O10" s="49"/>
      <c r="P10" s="49"/>
      <c r="Q10" s="51"/>
      <c r="R10" s="50"/>
      <c r="S10" s="49"/>
      <c r="T10" s="49"/>
      <c r="U10" s="49"/>
      <c r="V10" s="50"/>
      <c r="W10" s="50"/>
      <c r="X10" s="49"/>
      <c r="Y10" s="49"/>
      <c r="Z10" s="49"/>
      <c r="AA10" s="51"/>
      <c r="AB10" s="49"/>
      <c r="AC10" s="49"/>
      <c r="AD10" s="49"/>
      <c r="AE10" s="49"/>
      <c r="AF10" s="51"/>
      <c r="AG10" s="49"/>
      <c r="AH10" s="49"/>
      <c r="AI10" s="49"/>
      <c r="AJ10" s="49"/>
      <c r="AK10" s="51"/>
      <c r="AL10" s="49"/>
      <c r="AM10" s="49"/>
      <c r="AN10" s="49"/>
      <c r="AO10" s="49"/>
      <c r="AP10" s="51"/>
      <c r="AQ10" s="49"/>
      <c r="AR10" s="49"/>
      <c r="AS10" s="49"/>
      <c r="AT10" s="49"/>
      <c r="AU10" s="51"/>
      <c r="AV10" s="49"/>
      <c r="AW10" s="49"/>
      <c r="AX10" s="49"/>
      <c r="AY10" s="49"/>
      <c r="AZ10" s="51"/>
      <c r="BA10" s="49"/>
      <c r="BB10" s="49"/>
      <c r="BC10" s="49"/>
      <c r="BD10" s="49"/>
      <c r="BE10" s="51"/>
      <c r="BF10" s="10"/>
      <c r="BG10" s="10"/>
      <c r="BH10" s="10"/>
      <c r="BI10" s="10"/>
      <c r="BJ10" s="10"/>
    </row>
    <row r="11" spans="1:62" ht="9.75" customHeight="1" x14ac:dyDescent="0.15">
      <c r="A11" s="10"/>
      <c r="B11" s="10" t="s">
        <v>111</v>
      </c>
      <c r="C11" s="10"/>
      <c r="D11" s="10"/>
      <c r="E11" s="49"/>
      <c r="F11" s="49"/>
      <c r="G11" s="49"/>
      <c r="H11" s="49"/>
      <c r="I11" s="49"/>
      <c r="J11" s="49"/>
      <c r="K11" s="49"/>
      <c r="L11" s="54"/>
      <c r="M11" s="54">
        <v>446.3</v>
      </c>
      <c r="N11" s="55">
        <v>449.7</v>
      </c>
      <c r="O11" s="55">
        <v>448.9</v>
      </c>
      <c r="P11" s="55">
        <f>Q11-O11-N11-M11</f>
        <v>765.90000000000009</v>
      </c>
      <c r="Q11" s="57">
        <v>2110.8000000000002</v>
      </c>
      <c r="R11" s="54">
        <v>436.9</v>
      </c>
      <c r="S11" s="55">
        <v>449</v>
      </c>
      <c r="T11" s="55">
        <f>1328.6-S11-R11</f>
        <v>442.69999999999993</v>
      </c>
      <c r="U11" s="55">
        <f>V11-T11-S11-R11</f>
        <v>449.8000000000003</v>
      </c>
      <c r="V11" s="54">
        <v>1778.4</v>
      </c>
      <c r="W11" s="54">
        <v>472.3</v>
      </c>
      <c r="X11" s="55">
        <v>454.9</v>
      </c>
      <c r="Y11" s="55">
        <v>473.9</v>
      </c>
      <c r="Z11" s="55">
        <f>AA11-Y11-X11-W11</f>
        <v>481.2000000000001</v>
      </c>
      <c r="AA11" s="57">
        <v>1882.3</v>
      </c>
      <c r="AB11" s="55">
        <v>522.5</v>
      </c>
      <c r="AC11" s="55">
        <v>554.79999999999995</v>
      </c>
      <c r="AD11" s="55">
        <v>611.29999999999995</v>
      </c>
      <c r="AE11" s="55">
        <f>AF11-AD11-AC11-AB11</f>
        <v>536.01092800000015</v>
      </c>
      <c r="AF11" s="80">
        <f>'CapEx + D&amp;A'!AF16</f>
        <v>2224.6109280000001</v>
      </c>
      <c r="AG11" s="80">
        <f>'CapEx + D&amp;A'!AG16</f>
        <v>587.40019199999995</v>
      </c>
      <c r="AH11" s="80">
        <f>'CapEx + D&amp;A'!AH16</f>
        <v>625.05717600000003</v>
      </c>
      <c r="AI11" s="80">
        <f>'CapEx + D&amp;A'!AI16</f>
        <v>668.14802400000008</v>
      </c>
      <c r="AJ11" s="80">
        <f>'CapEx + D&amp;A'!AJ16</f>
        <v>634.21623979200001</v>
      </c>
      <c r="AK11" s="80">
        <f>'CapEx + D&amp;A'!AK16</f>
        <v>2263.3394686127999</v>
      </c>
      <c r="AL11" s="80">
        <f>'CapEx + D&amp;A'!AL16</f>
        <v>672.64945771199996</v>
      </c>
      <c r="AM11" s="80">
        <f>'CapEx + D&amp;A'!AM16</f>
        <v>717.80496549600002</v>
      </c>
      <c r="AN11" s="80">
        <f>'CapEx + D&amp;A'!AN16</f>
        <v>771.69813285599992</v>
      </c>
      <c r="AO11" s="80">
        <f>'CapEx + D&amp;A'!AO16</f>
        <v>722.98652156193612</v>
      </c>
      <c r="AP11" s="80">
        <f>'CapEx + D&amp;A'!AP16</f>
        <v>2308.1112621007487</v>
      </c>
      <c r="AQ11" s="80">
        <f>'CapEx + D&amp;A'!AQ16</f>
        <v>672.64945771199996</v>
      </c>
      <c r="AR11" s="80">
        <f>'CapEx + D&amp;A'!AR16</f>
        <v>717.80496549600002</v>
      </c>
      <c r="AS11" s="80">
        <f>'CapEx + D&amp;A'!AS16</f>
        <v>771.69813285599992</v>
      </c>
      <c r="AT11" s="80">
        <f>'CapEx + D&amp;A'!AT16</f>
        <v>722.98652156193612</v>
      </c>
      <c r="AU11" s="80">
        <f>'CapEx + D&amp;A'!AU16</f>
        <v>2174.1576969557354</v>
      </c>
      <c r="AV11" s="80">
        <f>'CapEx + D&amp;A'!AV16</f>
        <v>672.64945771199996</v>
      </c>
      <c r="AW11" s="80">
        <f>'CapEx + D&amp;A'!AW16</f>
        <v>717.80496549600002</v>
      </c>
      <c r="AX11" s="80">
        <f>'CapEx + D&amp;A'!AX16</f>
        <v>771.69813285599992</v>
      </c>
      <c r="AY11" s="80">
        <f>'CapEx + D&amp;A'!AY16</f>
        <v>722.98652156193612</v>
      </c>
      <c r="AZ11" s="80">
        <f>'CapEx + D&amp;A'!AZ16</f>
        <v>1965.08823590829</v>
      </c>
      <c r="BA11" s="80">
        <f>'CapEx + D&amp;A'!BA16</f>
        <v>672.64945771199996</v>
      </c>
      <c r="BB11" s="80">
        <f>'CapEx + D&amp;A'!BB16</f>
        <v>717.80496549600002</v>
      </c>
      <c r="BC11" s="80">
        <f>'CapEx + D&amp;A'!BC16</f>
        <v>771.69813285599992</v>
      </c>
      <c r="BD11" s="80">
        <f>'CapEx + D&amp;A'!BD16</f>
        <v>722.98652156193612</v>
      </c>
      <c r="BE11" s="80">
        <f>'CapEx + D&amp;A'!BE16</f>
        <v>1692.7379416100814</v>
      </c>
      <c r="BF11" s="10"/>
      <c r="BG11" s="10"/>
      <c r="BH11" s="10"/>
      <c r="BI11" s="10"/>
      <c r="BJ11" s="10"/>
    </row>
    <row r="12" spans="1:62" ht="9.75" customHeight="1" x14ac:dyDescent="0.15">
      <c r="A12" s="126"/>
      <c r="B12" s="154" t="s">
        <v>184</v>
      </c>
      <c r="C12" s="126"/>
      <c r="D12" s="126"/>
      <c r="E12" s="126"/>
      <c r="F12" s="126"/>
      <c r="G12" s="126"/>
      <c r="H12" s="126"/>
      <c r="I12" s="126"/>
      <c r="J12" s="126"/>
      <c r="K12" s="126"/>
      <c r="L12" s="125"/>
      <c r="M12" s="125">
        <f t="shared" ref="M12:AP12" si="9">-M11/M37</f>
        <v>2.2483627204030228</v>
      </c>
      <c r="N12" s="126">
        <f t="shared" si="9"/>
        <v>1.9863074204946995</v>
      </c>
      <c r="O12" s="126">
        <f t="shared" si="9"/>
        <v>-2.4199460916442046</v>
      </c>
      <c r="P12" s="126">
        <f t="shared" si="9"/>
        <v>1.1366874443455031</v>
      </c>
      <c r="Q12" s="127">
        <f t="shared" si="9"/>
        <v>2.3114323258869911</v>
      </c>
      <c r="R12" s="125">
        <f t="shared" si="9"/>
        <v>1.9787137681159419</v>
      </c>
      <c r="S12" s="126">
        <f t="shared" si="9"/>
        <v>1.8477366255144032</v>
      </c>
      <c r="T12" s="126">
        <f t="shared" si="9"/>
        <v>1.7007299270072989</v>
      </c>
      <c r="U12" s="126">
        <f t="shared" si="9"/>
        <v>1.6833832335329353</v>
      </c>
      <c r="V12" s="125">
        <f t="shared" si="9"/>
        <v>1.7940078684555636</v>
      </c>
      <c r="W12" s="125">
        <f t="shared" si="9"/>
        <v>2.2028917910447761</v>
      </c>
      <c r="X12" s="126">
        <f t="shared" si="9"/>
        <v>2.1610451306413299</v>
      </c>
      <c r="Y12" s="126">
        <f t="shared" si="9"/>
        <v>1.9438063986874485</v>
      </c>
      <c r="Z12" s="126">
        <f t="shared" si="9"/>
        <v>1.3256198347107437</v>
      </c>
      <c r="AA12" s="127">
        <f t="shared" si="9"/>
        <v>1.8244644761073954</v>
      </c>
      <c r="AB12" s="127" t="e">
        <f t="shared" si="9"/>
        <v>#DIV/0!</v>
      </c>
      <c r="AC12" s="127">
        <f t="shared" si="9"/>
        <v>0.92052430728388901</v>
      </c>
      <c r="AD12" s="127">
        <f t="shared" si="9"/>
        <v>0.66684847823715498</v>
      </c>
      <c r="AE12" s="127">
        <f t="shared" si="9"/>
        <v>0.41765566550826738</v>
      </c>
      <c r="AF12" s="127">
        <f t="shared" si="9"/>
        <v>0.53333333333333333</v>
      </c>
      <c r="AG12" s="127">
        <f t="shared" si="9"/>
        <v>0.48</v>
      </c>
      <c r="AH12" s="127">
        <f t="shared" si="9"/>
        <v>0.43636363636363634</v>
      </c>
      <c r="AI12" s="127">
        <f t="shared" si="9"/>
        <v>0.39999999999999997</v>
      </c>
      <c r="AJ12" s="127">
        <f t="shared" si="9"/>
        <v>0.36923076923076914</v>
      </c>
      <c r="AK12" s="127">
        <f t="shared" si="9"/>
        <v>0.30857142857142855</v>
      </c>
      <c r="AL12" s="127">
        <f t="shared" si="9"/>
        <v>0.3199999999999999</v>
      </c>
      <c r="AM12" s="127">
        <f t="shared" si="9"/>
        <v>0.29999999999999988</v>
      </c>
      <c r="AN12" s="127">
        <f t="shared" si="9"/>
        <v>0.28235294117647047</v>
      </c>
      <c r="AO12" s="127">
        <f t="shared" si="9"/>
        <v>0.26666666666666655</v>
      </c>
      <c r="AP12" s="127">
        <f t="shared" si="9"/>
        <v>0.19393939393939394</v>
      </c>
      <c r="AQ12" s="126"/>
      <c r="AR12" s="126"/>
      <c r="AS12" s="126"/>
      <c r="AT12" s="126"/>
      <c r="AU12" s="127"/>
      <c r="AV12" s="126"/>
      <c r="AW12" s="126"/>
      <c r="AX12" s="126"/>
      <c r="AY12" s="126"/>
      <c r="AZ12" s="127"/>
      <c r="BA12" s="126"/>
      <c r="BB12" s="126"/>
      <c r="BC12" s="126"/>
      <c r="BD12" s="126"/>
      <c r="BE12" s="127"/>
      <c r="BF12" s="126"/>
      <c r="BG12" s="126"/>
      <c r="BH12" s="126"/>
      <c r="BI12" s="126"/>
      <c r="BJ12" s="126"/>
    </row>
    <row r="13" spans="1:62" ht="9.75" customHeight="1" x14ac:dyDescent="0.15">
      <c r="A13" s="10"/>
      <c r="B13" s="10" t="s">
        <v>185</v>
      </c>
      <c r="C13" s="10"/>
      <c r="D13" s="10"/>
      <c r="E13" s="49"/>
      <c r="F13" s="49"/>
      <c r="G13" s="49"/>
      <c r="H13" s="49"/>
      <c r="I13" s="49"/>
      <c r="J13" s="49"/>
      <c r="K13" s="49"/>
      <c r="L13" s="54"/>
      <c r="M13" s="54"/>
      <c r="N13" s="55"/>
      <c r="O13" s="55"/>
      <c r="P13" s="55"/>
      <c r="Q13" s="57"/>
      <c r="R13" s="54">
        <v>152.6</v>
      </c>
      <c r="S13" s="55">
        <v>146</v>
      </c>
      <c r="T13" s="55">
        <f>440.1-S13-R13</f>
        <v>141.50000000000003</v>
      </c>
      <c r="U13" s="55">
        <f t="shared" ref="U13:U14" si="10">V13-T13-S13-R13</f>
        <v>-440.1</v>
      </c>
      <c r="V13" s="54"/>
      <c r="W13" s="54"/>
      <c r="X13" s="55"/>
      <c r="Y13" s="55"/>
      <c r="Z13" s="55"/>
      <c r="AA13" s="57"/>
      <c r="AB13" s="55"/>
      <c r="AC13" s="55"/>
      <c r="AD13" s="55"/>
      <c r="AE13" s="55"/>
      <c r="AF13" s="80"/>
      <c r="AG13" s="81"/>
      <c r="AH13" s="81"/>
      <c r="AI13" s="81"/>
      <c r="AJ13" s="81"/>
      <c r="AK13" s="80"/>
      <c r="AL13" s="81"/>
      <c r="AM13" s="81"/>
      <c r="AN13" s="81"/>
      <c r="AO13" s="81"/>
      <c r="AP13" s="80"/>
      <c r="AQ13" s="81"/>
      <c r="AR13" s="81"/>
      <c r="AS13" s="81"/>
      <c r="AT13" s="81"/>
      <c r="AU13" s="80"/>
      <c r="AV13" s="81"/>
      <c r="AW13" s="81"/>
      <c r="AX13" s="81"/>
      <c r="AY13" s="81"/>
      <c r="AZ13" s="80"/>
      <c r="BA13" s="81"/>
      <c r="BB13" s="81"/>
      <c r="BC13" s="81"/>
      <c r="BD13" s="81"/>
      <c r="BE13" s="80"/>
      <c r="BF13" s="10"/>
      <c r="BG13" s="10"/>
      <c r="BH13" s="10"/>
      <c r="BI13" s="10"/>
      <c r="BJ13" s="10"/>
    </row>
    <row r="14" spans="1:62" ht="9.75" customHeight="1" x14ac:dyDescent="0.15">
      <c r="A14" s="10"/>
      <c r="B14" s="10" t="s">
        <v>165</v>
      </c>
      <c r="C14" s="10"/>
      <c r="D14" s="10"/>
      <c r="E14" s="49"/>
      <c r="F14" s="49"/>
      <c r="G14" s="49"/>
      <c r="H14" s="49"/>
      <c r="I14" s="49"/>
      <c r="J14" s="49"/>
      <c r="K14" s="49"/>
      <c r="L14" s="54"/>
      <c r="M14" s="54">
        <v>42.7</v>
      </c>
      <c r="N14" s="55">
        <v>24.8</v>
      </c>
      <c r="O14" s="55">
        <v>43.8</v>
      </c>
      <c r="P14" s="55">
        <v>291.99999999999892</v>
      </c>
      <c r="Q14" s="57">
        <v>137.5</v>
      </c>
      <c r="R14" s="54">
        <v>42.5</v>
      </c>
      <c r="S14" s="55">
        <v>21</v>
      </c>
      <c r="T14" s="55">
        <f>87.9-S14-R14</f>
        <v>24.400000000000006</v>
      </c>
      <c r="U14" s="55">
        <f t="shared" si="10"/>
        <v>23.5</v>
      </c>
      <c r="V14" s="54">
        <v>111.4</v>
      </c>
      <c r="W14" s="54">
        <v>47.7</v>
      </c>
      <c r="X14" s="55">
        <v>27.2</v>
      </c>
      <c r="Y14" s="55">
        <v>24.1</v>
      </c>
      <c r="Z14" s="55">
        <f>AA14-Y14-X14-W14</f>
        <v>21.799999999999983</v>
      </c>
      <c r="AA14" s="57">
        <v>120.8</v>
      </c>
      <c r="AB14" s="55">
        <v>38</v>
      </c>
      <c r="AC14" s="55">
        <v>31.9</v>
      </c>
      <c r="AD14" s="55">
        <v>28.1</v>
      </c>
      <c r="AE14" s="55"/>
      <c r="AF14" s="57"/>
      <c r="AG14" s="55"/>
      <c r="AH14" s="55"/>
      <c r="AI14" s="55"/>
      <c r="AJ14" s="55"/>
      <c r="AK14" s="57"/>
      <c r="AL14" s="55"/>
      <c r="AM14" s="55"/>
      <c r="AN14" s="55"/>
      <c r="AO14" s="55"/>
      <c r="AP14" s="57"/>
      <c r="AQ14" s="55"/>
      <c r="AR14" s="55"/>
      <c r="AS14" s="55"/>
      <c r="AT14" s="55"/>
      <c r="AU14" s="57"/>
      <c r="AV14" s="55"/>
      <c r="AW14" s="55"/>
      <c r="AX14" s="55"/>
      <c r="AY14" s="55"/>
      <c r="AZ14" s="57"/>
      <c r="BA14" s="55"/>
      <c r="BB14" s="55"/>
      <c r="BC14" s="55"/>
      <c r="BD14" s="55"/>
      <c r="BE14" s="57"/>
      <c r="BF14" s="10"/>
      <c r="BG14" s="10"/>
      <c r="BH14" s="10"/>
      <c r="BI14" s="10"/>
      <c r="BJ14" s="10"/>
    </row>
    <row r="15" spans="1:62" ht="9.75" customHeight="1" x14ac:dyDescent="0.15">
      <c r="A15" s="10"/>
      <c r="B15" s="10" t="s">
        <v>186</v>
      </c>
      <c r="C15" s="10"/>
      <c r="D15" s="10"/>
      <c r="E15" s="49"/>
      <c r="F15" s="49"/>
      <c r="G15" s="49"/>
      <c r="H15" s="49"/>
      <c r="I15" s="49"/>
      <c r="J15" s="49"/>
      <c r="K15" s="49"/>
      <c r="L15" s="54"/>
      <c r="M15" s="54"/>
      <c r="N15" s="55"/>
      <c r="O15" s="55"/>
      <c r="P15" s="55">
        <v>47</v>
      </c>
      <c r="Q15" s="57">
        <v>47.3</v>
      </c>
      <c r="R15" s="54"/>
      <c r="S15" s="55"/>
      <c r="T15" s="55"/>
      <c r="U15" s="55"/>
      <c r="V15" s="54">
        <v>46.2</v>
      </c>
      <c r="W15" s="54"/>
      <c r="X15" s="55"/>
      <c r="Y15" s="55"/>
      <c r="Z15" s="55">
        <v>300</v>
      </c>
      <c r="AA15" s="57">
        <v>299.60000000000002</v>
      </c>
      <c r="AB15" s="55"/>
      <c r="AC15" s="55"/>
      <c r="AD15" s="55"/>
      <c r="AE15" s="55"/>
      <c r="AF15" s="57"/>
      <c r="AG15" s="55"/>
      <c r="AH15" s="55"/>
      <c r="AI15" s="55"/>
      <c r="AJ15" s="55"/>
      <c r="AK15" s="57"/>
      <c r="AL15" s="55"/>
      <c r="AM15" s="55"/>
      <c r="AN15" s="55"/>
      <c r="AO15" s="55"/>
      <c r="AP15" s="57"/>
      <c r="AQ15" s="55"/>
      <c r="AR15" s="55"/>
      <c r="AS15" s="55"/>
      <c r="AT15" s="55"/>
      <c r="AU15" s="57"/>
      <c r="AV15" s="55"/>
      <c r="AW15" s="55"/>
      <c r="AX15" s="55"/>
      <c r="AY15" s="55"/>
      <c r="AZ15" s="57"/>
      <c r="BA15" s="55"/>
      <c r="BB15" s="55"/>
      <c r="BC15" s="55"/>
      <c r="BD15" s="55"/>
      <c r="BE15" s="57"/>
      <c r="BF15" s="10"/>
      <c r="BG15" s="10"/>
      <c r="BH15" s="10"/>
      <c r="BI15" s="10"/>
      <c r="BJ15" s="10"/>
    </row>
    <row r="16" spans="1:62" ht="9.75" customHeight="1" x14ac:dyDescent="0.15">
      <c r="A16" s="10"/>
      <c r="B16" s="10" t="s">
        <v>187</v>
      </c>
      <c r="C16" s="10"/>
      <c r="D16" s="10"/>
      <c r="E16" s="49"/>
      <c r="F16" s="49"/>
      <c r="G16" s="49"/>
      <c r="H16" s="49"/>
      <c r="I16" s="49"/>
      <c r="J16" s="49"/>
      <c r="K16" s="49"/>
      <c r="L16" s="54"/>
      <c r="M16" s="54"/>
      <c r="N16" s="55"/>
      <c r="O16" s="55"/>
      <c r="P16" s="55">
        <v>480</v>
      </c>
      <c r="Q16" s="57">
        <v>479.6</v>
      </c>
      <c r="R16" s="54"/>
      <c r="S16" s="55"/>
      <c r="T16" s="55"/>
      <c r="U16" s="55"/>
      <c r="V16" s="54">
        <v>140</v>
      </c>
      <c r="W16" s="54"/>
      <c r="X16" s="55"/>
      <c r="Y16" s="55"/>
      <c r="Z16" s="55">
        <v>240</v>
      </c>
      <c r="AA16" s="57">
        <v>239.5</v>
      </c>
      <c r="AB16" s="55"/>
      <c r="AC16" s="55"/>
      <c r="AD16" s="55"/>
      <c r="AE16" s="55"/>
      <c r="AF16" s="57"/>
      <c r="AG16" s="55"/>
      <c r="AH16" s="55"/>
      <c r="AI16" s="55"/>
      <c r="AJ16" s="55"/>
      <c r="AK16" s="57"/>
      <c r="AL16" s="55"/>
      <c r="AM16" s="55"/>
      <c r="AN16" s="55"/>
      <c r="AO16" s="55"/>
      <c r="AP16" s="57"/>
      <c r="AQ16" s="55"/>
      <c r="AR16" s="55"/>
      <c r="AS16" s="55"/>
      <c r="AT16" s="55"/>
      <c r="AU16" s="57"/>
      <c r="AV16" s="55"/>
      <c r="AW16" s="55"/>
      <c r="AX16" s="55"/>
      <c r="AY16" s="55"/>
      <c r="AZ16" s="57"/>
      <c r="BA16" s="55"/>
      <c r="BB16" s="55"/>
      <c r="BC16" s="55"/>
      <c r="BD16" s="55"/>
      <c r="BE16" s="57"/>
      <c r="BF16" s="10"/>
      <c r="BG16" s="10"/>
      <c r="BH16" s="10"/>
      <c r="BI16" s="10"/>
      <c r="BJ16" s="10"/>
    </row>
    <row r="17" spans="1:62" ht="9.75" customHeight="1" x14ac:dyDescent="0.15">
      <c r="A17" s="10"/>
      <c r="B17" s="10" t="s">
        <v>188</v>
      </c>
      <c r="C17" s="10"/>
      <c r="D17" s="10"/>
      <c r="E17" s="49"/>
      <c r="F17" s="49"/>
      <c r="G17" s="49"/>
      <c r="H17" s="49"/>
      <c r="I17" s="49"/>
      <c r="J17" s="49"/>
      <c r="K17" s="49"/>
      <c r="L17" s="54"/>
      <c r="M17" s="54">
        <v>0</v>
      </c>
      <c r="N17" s="55">
        <v>0</v>
      </c>
      <c r="O17" s="55">
        <v>0</v>
      </c>
      <c r="P17" s="55">
        <v>3</v>
      </c>
      <c r="Q17" s="57">
        <v>3.3</v>
      </c>
      <c r="R17" s="54">
        <v>0.1</v>
      </c>
      <c r="S17" s="55">
        <v>22.2</v>
      </c>
      <c r="T17" s="55">
        <v>0</v>
      </c>
      <c r="U17" s="55">
        <v>0</v>
      </c>
      <c r="V17" s="54">
        <v>22.2</v>
      </c>
      <c r="W17" s="54">
        <v>34.6</v>
      </c>
      <c r="X17" s="55">
        <v>0</v>
      </c>
      <c r="Y17" s="55">
        <v>37.200000000000003</v>
      </c>
      <c r="Z17" s="55">
        <f>AA17-Y17-X17-W17</f>
        <v>0</v>
      </c>
      <c r="AA17" s="57">
        <v>71.8</v>
      </c>
      <c r="AB17" s="55">
        <v>25.7</v>
      </c>
      <c r="AC17" s="55">
        <v>0</v>
      </c>
      <c r="AD17" s="55">
        <v>0</v>
      </c>
      <c r="AE17" s="55">
        <v>0</v>
      </c>
      <c r="AF17" s="57"/>
      <c r="AG17" s="55"/>
      <c r="AH17" s="55"/>
      <c r="AI17" s="55"/>
      <c r="AJ17" s="55"/>
      <c r="AK17" s="57"/>
      <c r="AL17" s="55"/>
      <c r="AM17" s="55"/>
      <c r="AN17" s="55"/>
      <c r="AO17" s="55"/>
      <c r="AP17" s="57"/>
      <c r="AQ17" s="55"/>
      <c r="AR17" s="55"/>
      <c r="AS17" s="55"/>
      <c r="AT17" s="55"/>
      <c r="AU17" s="57"/>
      <c r="AV17" s="55"/>
      <c r="AW17" s="55"/>
      <c r="AX17" s="55"/>
      <c r="AY17" s="55"/>
      <c r="AZ17" s="57"/>
      <c r="BA17" s="55"/>
      <c r="BB17" s="55"/>
      <c r="BC17" s="55"/>
      <c r="BD17" s="55"/>
      <c r="BE17" s="57"/>
      <c r="BF17" s="10"/>
      <c r="BG17" s="10"/>
      <c r="BH17" s="10"/>
      <c r="BI17" s="10"/>
      <c r="BJ17" s="10"/>
    </row>
    <row r="18" spans="1:62" ht="9.75" customHeight="1" x14ac:dyDescent="0.15">
      <c r="A18" s="10"/>
      <c r="B18" s="10" t="s">
        <v>189</v>
      </c>
      <c r="C18" s="10"/>
      <c r="D18" s="10"/>
      <c r="E18" s="49"/>
      <c r="F18" s="49"/>
      <c r="G18" s="49"/>
      <c r="H18" s="49"/>
      <c r="I18" s="49"/>
      <c r="J18" s="49"/>
      <c r="K18" s="49"/>
      <c r="L18" s="54"/>
      <c r="M18" s="54">
        <v>96.8</v>
      </c>
      <c r="N18" s="55">
        <v>109.8</v>
      </c>
      <c r="O18" s="55">
        <v>-11.5</v>
      </c>
      <c r="P18" s="55"/>
      <c r="Q18" s="57"/>
      <c r="R18" s="54">
        <v>28.9</v>
      </c>
      <c r="S18" s="55">
        <v>58</v>
      </c>
      <c r="T18" s="55">
        <v>77.3</v>
      </c>
      <c r="U18" s="55">
        <f>V18-T18-S18-R18</f>
        <v>-164.20000000000002</v>
      </c>
      <c r="V18" s="54"/>
      <c r="W18" s="54">
        <v>81.599999999999994</v>
      </c>
      <c r="X18" s="55">
        <v>87.4</v>
      </c>
      <c r="Y18" s="55">
        <v>79.099999999999994</v>
      </c>
      <c r="Z18" s="55"/>
      <c r="AA18" s="57"/>
      <c r="AB18" s="55">
        <v>-87.5</v>
      </c>
      <c r="AC18" s="55">
        <v>-121.6</v>
      </c>
      <c r="AD18" s="55">
        <v>-131.69999999999999</v>
      </c>
      <c r="AE18" s="55"/>
      <c r="AF18" s="57"/>
      <c r="AG18" s="55"/>
      <c r="AH18" s="55"/>
      <c r="AI18" s="55"/>
      <c r="AJ18" s="55"/>
      <c r="AK18" s="57"/>
      <c r="AL18" s="55"/>
      <c r="AM18" s="55"/>
      <c r="AN18" s="55"/>
      <c r="AO18" s="55"/>
      <c r="AP18" s="57"/>
      <c r="AQ18" s="55"/>
      <c r="AR18" s="55"/>
      <c r="AS18" s="55"/>
      <c r="AT18" s="55"/>
      <c r="AU18" s="57"/>
      <c r="AV18" s="55"/>
      <c r="AW18" s="55"/>
      <c r="AX18" s="55"/>
      <c r="AY18" s="55"/>
      <c r="AZ18" s="57"/>
      <c r="BA18" s="55"/>
      <c r="BB18" s="55"/>
      <c r="BC18" s="55"/>
      <c r="BD18" s="55"/>
      <c r="BE18" s="57"/>
      <c r="BF18" s="10"/>
      <c r="BG18" s="10"/>
      <c r="BH18" s="10"/>
      <c r="BI18" s="10"/>
      <c r="BJ18" s="10"/>
    </row>
    <row r="19" spans="1:62" ht="9.75" customHeight="1" x14ac:dyDescent="0.15">
      <c r="A19" s="10"/>
      <c r="B19" s="10" t="s">
        <v>190</v>
      </c>
      <c r="C19" s="10"/>
      <c r="D19" s="10"/>
      <c r="E19" s="49"/>
      <c r="F19" s="49"/>
      <c r="G19" s="49"/>
      <c r="H19" s="49"/>
      <c r="I19" s="49"/>
      <c r="J19" s="49"/>
      <c r="K19" s="49"/>
      <c r="L19" s="54"/>
      <c r="M19" s="54">
        <v>-3.9</v>
      </c>
      <c r="N19" s="55">
        <v>-6.8</v>
      </c>
      <c r="O19" s="55">
        <v>-13.2</v>
      </c>
      <c r="P19" s="55"/>
      <c r="Q19" s="57"/>
      <c r="R19" s="54">
        <v>-5.3</v>
      </c>
      <c r="S19" s="55">
        <v>-6</v>
      </c>
      <c r="T19" s="55">
        <v>-88.3</v>
      </c>
      <c r="U19" s="55"/>
      <c r="V19" s="54"/>
      <c r="W19" s="54">
        <v>-56.2</v>
      </c>
      <c r="X19" s="55">
        <v>-54.6</v>
      </c>
      <c r="Y19" s="55">
        <v>-68.099999999999994</v>
      </c>
      <c r="Z19" s="55"/>
      <c r="AA19" s="57"/>
      <c r="AB19" s="55">
        <v>-119.9</v>
      </c>
      <c r="AC19" s="55">
        <v>-104.8</v>
      </c>
      <c r="AD19" s="55">
        <v>-99.6</v>
      </c>
      <c r="AE19" s="55"/>
      <c r="AF19" s="57"/>
      <c r="AG19" s="55"/>
      <c r="AH19" s="55"/>
      <c r="AI19" s="55"/>
      <c r="AJ19" s="55"/>
      <c r="AK19" s="57"/>
      <c r="AL19" s="55"/>
      <c r="AM19" s="55"/>
      <c r="AN19" s="55"/>
      <c r="AO19" s="55"/>
      <c r="AP19" s="57"/>
      <c r="AQ19" s="55"/>
      <c r="AR19" s="55"/>
      <c r="AS19" s="55"/>
      <c r="AT19" s="55"/>
      <c r="AU19" s="57"/>
      <c r="AV19" s="55"/>
      <c r="AW19" s="55"/>
      <c r="AX19" s="55"/>
      <c r="AY19" s="55"/>
      <c r="AZ19" s="57"/>
      <c r="BA19" s="55"/>
      <c r="BB19" s="55"/>
      <c r="BC19" s="55"/>
      <c r="BD19" s="55"/>
      <c r="BE19" s="57"/>
      <c r="BF19" s="10"/>
      <c r="BG19" s="10"/>
      <c r="BH19" s="10"/>
      <c r="BI19" s="10"/>
      <c r="BJ19" s="10"/>
    </row>
    <row r="20" spans="1:62" ht="9.75" customHeight="1" x14ac:dyDescent="0.15">
      <c r="A20" s="10"/>
      <c r="B20" s="10" t="s">
        <v>191</v>
      </c>
      <c r="C20" s="10"/>
      <c r="D20" s="10"/>
      <c r="E20" s="49"/>
      <c r="F20" s="49"/>
      <c r="G20" s="49"/>
      <c r="H20" s="49"/>
      <c r="I20" s="49"/>
      <c r="J20" s="49"/>
      <c r="K20" s="49"/>
      <c r="L20" s="54"/>
      <c r="M20" s="54"/>
      <c r="N20" s="55"/>
      <c r="O20" s="55"/>
      <c r="P20" s="55">
        <v>22</v>
      </c>
      <c r="Q20" s="57">
        <v>22.1</v>
      </c>
      <c r="R20" s="54"/>
      <c r="S20" s="55"/>
      <c r="T20" s="55"/>
      <c r="U20" s="55">
        <v>26</v>
      </c>
      <c r="V20" s="54">
        <v>25.9</v>
      </c>
      <c r="W20" s="54"/>
      <c r="X20" s="55"/>
      <c r="Y20" s="55"/>
      <c r="Z20" s="55">
        <f t="shared" ref="Z20:Z21" si="11">AA20-Y20-X20-W20</f>
        <v>32.9</v>
      </c>
      <c r="AA20" s="57">
        <v>32.9</v>
      </c>
      <c r="AB20" s="55"/>
      <c r="AC20" s="55"/>
      <c r="AD20" s="55"/>
      <c r="AE20" s="55"/>
      <c r="AF20" s="57"/>
      <c r="AG20" s="55"/>
      <c r="AH20" s="55"/>
      <c r="AI20" s="55"/>
      <c r="AJ20" s="55"/>
      <c r="AK20" s="57"/>
      <c r="AL20" s="55"/>
      <c r="AM20" s="55"/>
      <c r="AN20" s="55"/>
      <c r="AO20" s="55"/>
      <c r="AP20" s="57"/>
      <c r="AQ20" s="55"/>
      <c r="AR20" s="55"/>
      <c r="AS20" s="55"/>
      <c r="AT20" s="55"/>
      <c r="AU20" s="57"/>
      <c r="AV20" s="55"/>
      <c r="AW20" s="55"/>
      <c r="AX20" s="55"/>
      <c r="AY20" s="55"/>
      <c r="AZ20" s="57"/>
      <c r="BA20" s="55"/>
      <c r="BB20" s="55"/>
      <c r="BC20" s="55"/>
      <c r="BD20" s="55"/>
      <c r="BE20" s="57"/>
      <c r="BF20" s="10"/>
      <c r="BG20" s="10"/>
      <c r="BH20" s="10"/>
      <c r="BI20" s="10"/>
      <c r="BJ20" s="10"/>
    </row>
    <row r="21" spans="1:62" ht="9.75" customHeight="1" x14ac:dyDescent="0.15">
      <c r="A21" s="10"/>
      <c r="B21" s="10" t="s">
        <v>192</v>
      </c>
      <c r="C21" s="10"/>
      <c r="D21" s="10"/>
      <c r="E21" s="49"/>
      <c r="F21" s="49"/>
      <c r="G21" s="49"/>
      <c r="H21" s="49"/>
      <c r="I21" s="49"/>
      <c r="J21" s="49"/>
      <c r="K21" s="49"/>
      <c r="L21" s="54"/>
      <c r="M21" s="54"/>
      <c r="N21" s="55"/>
      <c r="O21" s="55"/>
      <c r="P21" s="55">
        <v>-303</v>
      </c>
      <c r="Q21" s="57">
        <v>-303</v>
      </c>
      <c r="R21" s="54"/>
      <c r="S21" s="55"/>
      <c r="T21" s="55"/>
      <c r="U21" s="55">
        <v>-55</v>
      </c>
      <c r="V21" s="54">
        <v>-55.1</v>
      </c>
      <c r="W21" s="54"/>
      <c r="X21" s="55"/>
      <c r="Y21" s="55"/>
      <c r="Z21" s="55">
        <f t="shared" si="11"/>
        <v>-22.5</v>
      </c>
      <c r="AA21" s="57">
        <v>-22.5</v>
      </c>
      <c r="AB21" s="55"/>
      <c r="AC21" s="55"/>
      <c r="AD21" s="55"/>
      <c r="AE21" s="55"/>
      <c r="AF21" s="57"/>
      <c r="AG21" s="55"/>
      <c r="AH21" s="55"/>
      <c r="AI21" s="55"/>
      <c r="AJ21" s="55"/>
      <c r="AK21" s="57"/>
      <c r="AL21" s="55"/>
      <c r="AM21" s="55"/>
      <c r="AN21" s="55"/>
      <c r="AO21" s="55"/>
      <c r="AP21" s="57"/>
      <c r="AQ21" s="55"/>
      <c r="AR21" s="55"/>
      <c r="AS21" s="55"/>
      <c r="AT21" s="55"/>
      <c r="AU21" s="57"/>
      <c r="AV21" s="55"/>
      <c r="AW21" s="55"/>
      <c r="AX21" s="55"/>
      <c r="AY21" s="55"/>
      <c r="AZ21" s="57"/>
      <c r="BA21" s="55"/>
      <c r="BB21" s="55"/>
      <c r="BC21" s="55"/>
      <c r="BD21" s="55"/>
      <c r="BE21" s="57"/>
      <c r="BF21" s="10"/>
      <c r="BG21" s="10"/>
      <c r="BH21" s="10"/>
      <c r="BI21" s="10"/>
      <c r="BJ21" s="10"/>
    </row>
    <row r="22" spans="1:62" ht="9.75" customHeight="1" x14ac:dyDescent="0.15">
      <c r="A22" s="10"/>
      <c r="B22" s="10" t="s">
        <v>193</v>
      </c>
      <c r="C22" s="10"/>
      <c r="D22" s="10"/>
      <c r="E22" s="49"/>
      <c r="F22" s="49"/>
      <c r="G22" s="49"/>
      <c r="H22" s="49"/>
      <c r="I22" s="49"/>
      <c r="J22" s="49"/>
      <c r="K22" s="49"/>
      <c r="L22" s="54"/>
      <c r="M22" s="54"/>
      <c r="N22" s="55"/>
      <c r="O22" s="55"/>
      <c r="P22" s="55"/>
      <c r="Q22" s="57"/>
      <c r="R22" s="54"/>
      <c r="S22" s="55"/>
      <c r="T22" s="55"/>
      <c r="U22" s="55"/>
      <c r="V22" s="54"/>
      <c r="W22" s="54"/>
      <c r="X22" s="55"/>
      <c r="Y22" s="55"/>
      <c r="Z22" s="55"/>
      <c r="AA22" s="57"/>
      <c r="AB22" s="55"/>
      <c r="AC22" s="55"/>
      <c r="AD22" s="55"/>
      <c r="AE22" s="55"/>
      <c r="AF22" s="57"/>
      <c r="AG22" s="55"/>
      <c r="AH22" s="55"/>
      <c r="AI22" s="55"/>
      <c r="AJ22" s="55"/>
      <c r="AK22" s="57"/>
      <c r="AL22" s="55"/>
      <c r="AM22" s="55"/>
      <c r="AN22" s="55"/>
      <c r="AO22" s="55"/>
      <c r="AP22" s="57"/>
      <c r="AQ22" s="55"/>
      <c r="AR22" s="55"/>
      <c r="AS22" s="55"/>
      <c r="AT22" s="55"/>
      <c r="AU22" s="57"/>
      <c r="AV22" s="55"/>
      <c r="AW22" s="55"/>
      <c r="AX22" s="55"/>
      <c r="AY22" s="55"/>
      <c r="AZ22" s="57"/>
      <c r="BA22" s="55"/>
      <c r="BB22" s="55"/>
      <c r="BC22" s="55"/>
      <c r="BD22" s="55"/>
      <c r="BE22" s="57"/>
      <c r="BF22" s="10"/>
      <c r="BG22" s="10"/>
      <c r="BH22" s="10"/>
      <c r="BI22" s="10"/>
      <c r="BJ22" s="10"/>
    </row>
    <row r="23" spans="1:62" ht="9.75" customHeight="1" x14ac:dyDescent="0.15">
      <c r="A23" s="10"/>
      <c r="B23" s="10" t="s">
        <v>194</v>
      </c>
      <c r="C23" s="10"/>
      <c r="D23" s="10"/>
      <c r="E23" s="49"/>
      <c r="F23" s="49"/>
      <c r="G23" s="49"/>
      <c r="H23" s="49"/>
      <c r="I23" s="49"/>
      <c r="J23" s="49"/>
      <c r="K23" s="49"/>
      <c r="L23" s="54"/>
      <c r="M23" s="54"/>
      <c r="N23" s="55"/>
      <c r="O23" s="55"/>
      <c r="P23" s="55">
        <v>-32</v>
      </c>
      <c r="Q23" s="57">
        <v>-32.1</v>
      </c>
      <c r="R23" s="54"/>
      <c r="S23" s="55"/>
      <c r="T23" s="55"/>
      <c r="U23" s="55">
        <v>13</v>
      </c>
      <c r="V23" s="54">
        <v>12.5</v>
      </c>
      <c r="W23" s="54"/>
      <c r="X23" s="55"/>
      <c r="Y23" s="55"/>
      <c r="Z23" s="55">
        <f t="shared" ref="Z23:Z29" si="12">AA23-Y23-X23-W23</f>
        <v>-175.5</v>
      </c>
      <c r="AA23" s="57">
        <v>-175.5</v>
      </c>
      <c r="AB23" s="55"/>
      <c r="AC23" s="55"/>
      <c r="AD23" s="55"/>
      <c r="AE23" s="55"/>
      <c r="AF23" s="57"/>
      <c r="AG23" s="55"/>
      <c r="AH23" s="55"/>
      <c r="AI23" s="55"/>
      <c r="AJ23" s="55"/>
      <c r="AK23" s="57"/>
      <c r="AL23" s="55"/>
      <c r="AM23" s="55"/>
      <c r="AN23" s="55"/>
      <c r="AO23" s="55"/>
      <c r="AP23" s="57"/>
      <c r="AQ23" s="55"/>
      <c r="AR23" s="55"/>
      <c r="AS23" s="55"/>
      <c r="AT23" s="55"/>
      <c r="AU23" s="57"/>
      <c r="AV23" s="55"/>
      <c r="AW23" s="55"/>
      <c r="AX23" s="55"/>
      <c r="AY23" s="55"/>
      <c r="AZ23" s="57"/>
      <c r="BA23" s="55"/>
      <c r="BB23" s="55"/>
      <c r="BC23" s="55"/>
      <c r="BD23" s="55"/>
      <c r="BE23" s="57"/>
      <c r="BF23" s="10"/>
      <c r="BG23" s="10"/>
      <c r="BH23" s="10"/>
      <c r="BI23" s="10"/>
      <c r="BJ23" s="10"/>
    </row>
    <row r="24" spans="1:62" ht="9.75" customHeight="1" x14ac:dyDescent="0.15">
      <c r="A24" s="10"/>
      <c r="B24" s="10" t="s">
        <v>195</v>
      </c>
      <c r="C24" s="10"/>
      <c r="D24" s="10"/>
      <c r="E24" s="49"/>
      <c r="F24" s="49"/>
      <c r="G24" s="49"/>
      <c r="H24" s="49"/>
      <c r="I24" s="49"/>
      <c r="J24" s="49"/>
      <c r="K24" s="49"/>
      <c r="L24" s="54"/>
      <c r="M24" s="54"/>
      <c r="N24" s="55"/>
      <c r="O24" s="55"/>
      <c r="P24" s="55">
        <v>-102</v>
      </c>
      <c r="Q24" s="57">
        <v>-101.7</v>
      </c>
      <c r="R24" s="54"/>
      <c r="S24" s="55"/>
      <c r="T24" s="55"/>
      <c r="U24" s="55">
        <v>-68</v>
      </c>
      <c r="V24" s="54">
        <v>-67.599999999999994</v>
      </c>
      <c r="W24" s="54"/>
      <c r="X24" s="55"/>
      <c r="Y24" s="55"/>
      <c r="Z24" s="55">
        <f t="shared" si="12"/>
        <v>84.4</v>
      </c>
      <c r="AA24" s="57">
        <v>84.4</v>
      </c>
      <c r="AB24" s="55"/>
      <c r="AC24" s="55"/>
      <c r="AD24" s="55"/>
      <c r="AE24" s="55"/>
      <c r="AF24" s="57"/>
      <c r="AG24" s="55"/>
      <c r="AH24" s="55"/>
      <c r="AI24" s="55"/>
      <c r="AJ24" s="55"/>
      <c r="AK24" s="57"/>
      <c r="AL24" s="55"/>
      <c r="AM24" s="55"/>
      <c r="AN24" s="55"/>
      <c r="AO24" s="55"/>
      <c r="AP24" s="57"/>
      <c r="AQ24" s="55"/>
      <c r="AR24" s="55"/>
      <c r="AS24" s="55"/>
      <c r="AT24" s="55"/>
      <c r="AU24" s="57"/>
      <c r="AV24" s="55"/>
      <c r="AW24" s="55"/>
      <c r="AX24" s="55"/>
      <c r="AY24" s="55"/>
      <c r="AZ24" s="57"/>
      <c r="BA24" s="55"/>
      <c r="BB24" s="55"/>
      <c r="BC24" s="55"/>
      <c r="BD24" s="55"/>
      <c r="BE24" s="57"/>
      <c r="BF24" s="10"/>
      <c r="BG24" s="10"/>
      <c r="BH24" s="10"/>
      <c r="BI24" s="10"/>
      <c r="BJ24" s="10"/>
    </row>
    <row r="25" spans="1:62" ht="9.75" customHeight="1" x14ac:dyDescent="0.15">
      <c r="A25" s="10"/>
      <c r="B25" s="10" t="s">
        <v>196</v>
      </c>
      <c r="C25" s="10"/>
      <c r="D25" s="10"/>
      <c r="E25" s="49"/>
      <c r="F25" s="49"/>
      <c r="G25" s="49"/>
      <c r="H25" s="49"/>
      <c r="I25" s="49"/>
      <c r="J25" s="49"/>
      <c r="K25" s="49"/>
      <c r="L25" s="54"/>
      <c r="M25" s="54"/>
      <c r="N25" s="55"/>
      <c r="O25" s="55"/>
      <c r="P25" s="55">
        <v>-88</v>
      </c>
      <c r="Q25" s="57">
        <v>-87.6</v>
      </c>
      <c r="R25" s="54">
        <v>-5.3</v>
      </c>
      <c r="S25" s="55"/>
      <c r="T25" s="55"/>
      <c r="U25" s="55"/>
      <c r="V25" s="54">
        <v>-183.5</v>
      </c>
      <c r="W25" s="54"/>
      <c r="X25" s="55"/>
      <c r="Y25" s="55"/>
      <c r="Z25" s="55">
        <f t="shared" si="12"/>
        <v>-322</v>
      </c>
      <c r="AA25" s="57">
        <v>-322</v>
      </c>
      <c r="AB25" s="55"/>
      <c r="AC25" s="55"/>
      <c r="AD25" s="55"/>
      <c r="AE25" s="55"/>
      <c r="AF25" s="57"/>
      <c r="AG25" s="55"/>
      <c r="AH25" s="55"/>
      <c r="AI25" s="55"/>
      <c r="AJ25" s="55"/>
      <c r="AK25" s="57"/>
      <c r="AL25" s="55"/>
      <c r="AM25" s="55"/>
      <c r="AN25" s="55"/>
      <c r="AO25" s="55"/>
      <c r="AP25" s="57"/>
      <c r="AQ25" s="55"/>
      <c r="AR25" s="55"/>
      <c r="AS25" s="55"/>
      <c r="AT25" s="55"/>
      <c r="AU25" s="57"/>
      <c r="AV25" s="55"/>
      <c r="AW25" s="55"/>
      <c r="AX25" s="55"/>
      <c r="AY25" s="55"/>
      <c r="AZ25" s="57"/>
      <c r="BA25" s="55"/>
      <c r="BB25" s="55"/>
      <c r="BC25" s="55"/>
      <c r="BD25" s="55"/>
      <c r="BE25" s="57"/>
      <c r="BF25" s="10"/>
      <c r="BG25" s="10"/>
      <c r="BH25" s="10"/>
      <c r="BI25" s="10"/>
      <c r="BJ25" s="10"/>
    </row>
    <row r="26" spans="1:62" ht="9.75" customHeight="1" x14ac:dyDescent="0.15">
      <c r="A26" s="10"/>
      <c r="B26" s="10" t="s">
        <v>197</v>
      </c>
      <c r="C26" s="10"/>
      <c r="D26" s="10"/>
      <c r="E26" s="49"/>
      <c r="F26" s="49"/>
      <c r="G26" s="49"/>
      <c r="H26" s="49"/>
      <c r="I26" s="49"/>
      <c r="J26" s="49"/>
      <c r="K26" s="49"/>
      <c r="L26" s="54"/>
      <c r="M26" s="54"/>
      <c r="N26" s="55"/>
      <c r="O26" s="55"/>
      <c r="P26" s="55"/>
      <c r="Q26" s="57" t="s">
        <v>131</v>
      </c>
      <c r="R26" s="54">
        <v>-132.4</v>
      </c>
      <c r="S26" s="55">
        <v>-126.9</v>
      </c>
      <c r="T26" s="55">
        <v>-129.6</v>
      </c>
      <c r="U26" s="55">
        <f>V26-T26-S26-R26</f>
        <v>406.29999999999995</v>
      </c>
      <c r="V26" s="54">
        <v>17.399999999999999</v>
      </c>
      <c r="W26" s="54">
        <v>1</v>
      </c>
      <c r="X26" s="55">
        <v>0.1</v>
      </c>
      <c r="Y26" s="55">
        <v>0.7</v>
      </c>
      <c r="Z26" s="55">
        <f t="shared" si="12"/>
        <v>-12.7</v>
      </c>
      <c r="AA26" s="57">
        <v>-10.9</v>
      </c>
      <c r="AB26" s="55">
        <v>4.0999999999999996</v>
      </c>
      <c r="AC26" s="55">
        <v>10.6</v>
      </c>
      <c r="AD26" s="55">
        <v>0.8</v>
      </c>
      <c r="AE26" s="55"/>
      <c r="AF26" s="57"/>
      <c r="AG26" s="55"/>
      <c r="AH26" s="55"/>
      <c r="AI26" s="55"/>
      <c r="AJ26" s="55"/>
      <c r="AK26" s="57"/>
      <c r="AL26" s="55"/>
      <c r="AM26" s="55"/>
      <c r="AN26" s="55"/>
      <c r="AO26" s="55"/>
      <c r="AP26" s="57"/>
      <c r="AQ26" s="55"/>
      <c r="AR26" s="55"/>
      <c r="AS26" s="55"/>
      <c r="AT26" s="55"/>
      <c r="AU26" s="57"/>
      <c r="AV26" s="55"/>
      <c r="AW26" s="55"/>
      <c r="AX26" s="55"/>
      <c r="AY26" s="55"/>
      <c r="AZ26" s="57"/>
      <c r="BA26" s="55"/>
      <c r="BB26" s="55"/>
      <c r="BC26" s="55"/>
      <c r="BD26" s="55"/>
      <c r="BE26" s="57"/>
      <c r="BF26" s="10"/>
      <c r="BG26" s="10"/>
      <c r="BH26" s="10"/>
      <c r="BI26" s="10"/>
      <c r="BJ26" s="10"/>
    </row>
    <row r="27" spans="1:62" ht="9.75" customHeight="1" x14ac:dyDescent="0.15">
      <c r="A27" s="10"/>
      <c r="B27" s="10" t="s">
        <v>198</v>
      </c>
      <c r="C27" s="10"/>
      <c r="D27" s="10"/>
      <c r="E27" s="49"/>
      <c r="F27" s="49"/>
      <c r="G27" s="49"/>
      <c r="H27" s="49"/>
      <c r="I27" s="49"/>
      <c r="J27" s="49"/>
      <c r="K27" s="49"/>
      <c r="L27" s="54"/>
      <c r="M27" s="54"/>
      <c r="N27" s="55"/>
      <c r="O27" s="55"/>
      <c r="P27" s="55">
        <v>69</v>
      </c>
      <c r="Q27" s="57">
        <v>69.3</v>
      </c>
      <c r="R27" s="54"/>
      <c r="S27" s="55"/>
      <c r="T27" s="55"/>
      <c r="U27" s="55">
        <v>-47</v>
      </c>
      <c r="V27" s="54">
        <v>-46.8</v>
      </c>
      <c r="W27" s="54"/>
      <c r="X27" s="55"/>
      <c r="Y27" s="55"/>
      <c r="Z27" s="55">
        <f t="shared" si="12"/>
        <v>-69.2</v>
      </c>
      <c r="AA27" s="57">
        <v>-69.2</v>
      </c>
      <c r="AB27" s="55"/>
      <c r="AC27" s="55"/>
      <c r="AD27" s="55"/>
      <c r="AE27" s="55"/>
      <c r="AF27" s="57"/>
      <c r="AG27" s="55"/>
      <c r="AH27" s="55"/>
      <c r="AI27" s="55"/>
      <c r="AJ27" s="55"/>
      <c r="AK27" s="57"/>
      <c r="AL27" s="55"/>
      <c r="AM27" s="55"/>
      <c r="AN27" s="55"/>
      <c r="AO27" s="55"/>
      <c r="AP27" s="57"/>
      <c r="AQ27" s="55"/>
      <c r="AR27" s="55"/>
      <c r="AS27" s="55"/>
      <c r="AT27" s="55"/>
      <c r="AU27" s="57"/>
      <c r="AV27" s="55"/>
      <c r="AW27" s="55"/>
      <c r="AX27" s="55"/>
      <c r="AY27" s="55"/>
      <c r="AZ27" s="57"/>
      <c r="BA27" s="55"/>
      <c r="BB27" s="55"/>
      <c r="BC27" s="55"/>
      <c r="BD27" s="55"/>
      <c r="BE27" s="57"/>
      <c r="BF27" s="10"/>
      <c r="BG27" s="10"/>
      <c r="BH27" s="10"/>
      <c r="BI27" s="10"/>
      <c r="BJ27" s="10"/>
    </row>
    <row r="28" spans="1:62" ht="9.75" customHeight="1" x14ac:dyDescent="0.15">
      <c r="A28" s="10"/>
      <c r="B28" s="10" t="s">
        <v>47</v>
      </c>
      <c r="C28" s="10"/>
      <c r="D28" s="10"/>
      <c r="E28" s="49"/>
      <c r="F28" s="49"/>
      <c r="G28" s="49"/>
      <c r="H28" s="49"/>
      <c r="I28" s="49"/>
      <c r="J28" s="49"/>
      <c r="K28" s="49"/>
      <c r="L28" s="54"/>
      <c r="M28" s="54"/>
      <c r="N28" s="55"/>
      <c r="O28" s="55"/>
      <c r="P28" s="55">
        <v>8</v>
      </c>
      <c r="Q28" s="57">
        <v>8.4</v>
      </c>
      <c r="R28" s="54"/>
      <c r="S28" s="55"/>
      <c r="T28" s="55"/>
      <c r="U28" s="55">
        <v>32</v>
      </c>
      <c r="V28" s="54">
        <v>32.4</v>
      </c>
      <c r="W28" s="54"/>
      <c r="X28" s="55"/>
      <c r="Y28" s="55"/>
      <c r="Z28" s="55">
        <f t="shared" si="12"/>
        <v>-1.8</v>
      </c>
      <c r="AA28" s="57">
        <v>-1.8</v>
      </c>
      <c r="AB28" s="55"/>
      <c r="AC28" s="55"/>
      <c r="AD28" s="55"/>
      <c r="AE28" s="55"/>
      <c r="AF28" s="57"/>
      <c r="AG28" s="55"/>
      <c r="AH28" s="55"/>
      <c r="AI28" s="55"/>
      <c r="AJ28" s="55"/>
      <c r="AK28" s="57"/>
      <c r="AL28" s="55"/>
      <c r="AM28" s="55"/>
      <c r="AN28" s="55"/>
      <c r="AO28" s="55"/>
      <c r="AP28" s="57"/>
      <c r="AQ28" s="55"/>
      <c r="AR28" s="55"/>
      <c r="AS28" s="55"/>
      <c r="AT28" s="55"/>
      <c r="AU28" s="57"/>
      <c r="AV28" s="55"/>
      <c r="AW28" s="55"/>
      <c r="AX28" s="55"/>
      <c r="AY28" s="55"/>
      <c r="AZ28" s="57"/>
      <c r="BA28" s="55"/>
      <c r="BB28" s="55"/>
      <c r="BC28" s="55"/>
      <c r="BD28" s="55"/>
      <c r="BE28" s="57"/>
      <c r="BF28" s="10"/>
      <c r="BG28" s="10"/>
      <c r="BH28" s="10"/>
      <c r="BI28" s="10"/>
      <c r="BJ28" s="10"/>
    </row>
    <row r="29" spans="1:62" ht="9.75" customHeight="1" x14ac:dyDescent="0.15">
      <c r="A29" s="10"/>
      <c r="B29" s="10" t="s">
        <v>50</v>
      </c>
      <c r="C29" s="10"/>
      <c r="D29" s="10"/>
      <c r="E29" s="49"/>
      <c r="F29" s="49"/>
      <c r="G29" s="49"/>
      <c r="H29" s="49"/>
      <c r="I29" s="49"/>
      <c r="J29" s="49"/>
      <c r="K29" s="49"/>
      <c r="L29" s="54"/>
      <c r="M29" s="54"/>
      <c r="N29" s="55"/>
      <c r="O29" s="55"/>
      <c r="P29" s="55">
        <v>86</v>
      </c>
      <c r="Q29" s="57">
        <v>85.8</v>
      </c>
      <c r="R29" s="54"/>
      <c r="S29" s="55"/>
      <c r="T29" s="55"/>
      <c r="U29" s="55">
        <v>3</v>
      </c>
      <c r="V29" s="54">
        <v>2.5</v>
      </c>
      <c r="W29" s="54"/>
      <c r="X29" s="55"/>
      <c r="Y29" s="55"/>
      <c r="Z29" s="55">
        <f t="shared" si="12"/>
        <v>60.7</v>
      </c>
      <c r="AA29" s="57">
        <v>60.7</v>
      </c>
      <c r="AB29" s="55"/>
      <c r="AC29" s="55"/>
      <c r="AD29" s="55">
        <v>995.1</v>
      </c>
      <c r="AE29" s="55"/>
      <c r="AF29" s="57"/>
      <c r="AG29" s="55"/>
      <c r="AH29" s="55"/>
      <c r="AI29" s="55"/>
      <c r="AJ29" s="55"/>
      <c r="AK29" s="57"/>
      <c r="AL29" s="55"/>
      <c r="AM29" s="55"/>
      <c r="AN29" s="55"/>
      <c r="AO29" s="55"/>
      <c r="AP29" s="57"/>
      <c r="AQ29" s="55"/>
      <c r="AR29" s="55"/>
      <c r="AS29" s="55"/>
      <c r="AT29" s="55"/>
      <c r="AU29" s="57"/>
      <c r="AV29" s="55"/>
      <c r="AW29" s="55"/>
      <c r="AX29" s="55"/>
      <c r="AY29" s="55"/>
      <c r="AZ29" s="57"/>
      <c r="BA29" s="55"/>
      <c r="BB29" s="55"/>
      <c r="BC29" s="55"/>
      <c r="BD29" s="55"/>
      <c r="BE29" s="57"/>
      <c r="BF29" s="10"/>
      <c r="BG29" s="10"/>
      <c r="BH29" s="10"/>
      <c r="BI29" s="10"/>
      <c r="BJ29" s="10"/>
    </row>
    <row r="30" spans="1:62" ht="9.75" customHeight="1" x14ac:dyDescent="0.15">
      <c r="A30" s="10"/>
      <c r="B30" s="10" t="s">
        <v>199</v>
      </c>
      <c r="C30" s="10"/>
      <c r="D30" s="10"/>
      <c r="E30" s="49"/>
      <c r="F30" s="49"/>
      <c r="G30" s="49"/>
      <c r="H30" s="49"/>
      <c r="I30" s="49"/>
      <c r="J30" s="49"/>
      <c r="K30" s="49"/>
      <c r="L30" s="54"/>
      <c r="M30" s="54"/>
      <c r="N30" s="55"/>
      <c r="O30" s="55"/>
      <c r="P30" s="55">
        <v>58</v>
      </c>
      <c r="Q30" s="57">
        <v>57.9</v>
      </c>
      <c r="R30" s="54"/>
      <c r="S30" s="55"/>
      <c r="T30" s="55"/>
      <c r="U30" s="55"/>
      <c r="V30" s="54" t="s">
        <v>131</v>
      </c>
      <c r="W30" s="54"/>
      <c r="X30" s="55"/>
      <c r="Y30" s="55"/>
      <c r="Z30" s="55"/>
      <c r="AA30" s="57" t="s">
        <v>131</v>
      </c>
      <c r="AB30" s="55"/>
      <c r="AC30" s="55"/>
      <c r="AD30" s="55"/>
      <c r="AE30" s="55"/>
      <c r="AF30" s="57"/>
      <c r="AG30" s="55"/>
      <c r="AH30" s="55"/>
      <c r="AI30" s="55"/>
      <c r="AJ30" s="55"/>
      <c r="AK30" s="57"/>
      <c r="AL30" s="55"/>
      <c r="AM30" s="55"/>
      <c r="AN30" s="55"/>
      <c r="AO30" s="55"/>
      <c r="AP30" s="57"/>
      <c r="AQ30" s="55"/>
      <c r="AR30" s="55"/>
      <c r="AS30" s="55"/>
      <c r="AT30" s="55"/>
      <c r="AU30" s="57"/>
      <c r="AV30" s="55"/>
      <c r="AW30" s="55"/>
      <c r="AX30" s="55"/>
      <c r="AY30" s="55"/>
      <c r="AZ30" s="57"/>
      <c r="BA30" s="55"/>
      <c r="BB30" s="55"/>
      <c r="BC30" s="55"/>
      <c r="BD30" s="55"/>
      <c r="BE30" s="57"/>
      <c r="BF30" s="10"/>
      <c r="BG30" s="10"/>
      <c r="BH30" s="10"/>
      <c r="BI30" s="10"/>
      <c r="BJ30" s="10"/>
    </row>
    <row r="31" spans="1:62" ht="9.75" customHeight="1" x14ac:dyDescent="0.15">
      <c r="A31" s="10"/>
      <c r="B31" s="10" t="s">
        <v>200</v>
      </c>
      <c r="C31" s="10"/>
      <c r="D31" s="10"/>
      <c r="E31" s="49"/>
      <c r="F31" s="49"/>
      <c r="G31" s="49"/>
      <c r="H31" s="49"/>
      <c r="I31" s="49"/>
      <c r="J31" s="49"/>
      <c r="K31" s="49"/>
      <c r="L31" s="54"/>
      <c r="M31" s="54"/>
      <c r="N31" s="55"/>
      <c r="O31" s="55"/>
      <c r="P31" s="55">
        <v>-14</v>
      </c>
      <c r="Q31" s="57">
        <v>-14</v>
      </c>
      <c r="R31" s="54"/>
      <c r="S31" s="55"/>
      <c r="T31" s="55"/>
      <c r="U31" s="55">
        <v>0</v>
      </c>
      <c r="V31" s="54">
        <v>0.1</v>
      </c>
      <c r="W31" s="54"/>
      <c r="X31" s="55"/>
      <c r="Y31" s="55"/>
      <c r="Z31" s="55">
        <f t="shared" ref="Z31:Z34" si="13">AA31-Y31-X31-W31</f>
        <v>-0.2</v>
      </c>
      <c r="AA31" s="57">
        <v>-0.2</v>
      </c>
      <c r="AB31" s="55"/>
      <c r="AC31" s="55"/>
      <c r="AD31" s="55"/>
      <c r="AE31" s="55"/>
      <c r="AF31" s="57"/>
      <c r="AG31" s="55"/>
      <c r="AH31" s="55"/>
      <c r="AI31" s="55"/>
      <c r="AJ31" s="55"/>
      <c r="AK31" s="57"/>
      <c r="AL31" s="55"/>
      <c r="AM31" s="55"/>
      <c r="AN31" s="55"/>
      <c r="AO31" s="55"/>
      <c r="AP31" s="57"/>
      <c r="AQ31" s="55"/>
      <c r="AR31" s="55"/>
      <c r="AS31" s="55"/>
      <c r="AT31" s="55"/>
      <c r="AU31" s="57"/>
      <c r="AV31" s="55"/>
      <c r="AW31" s="55"/>
      <c r="AX31" s="55"/>
      <c r="AY31" s="55"/>
      <c r="AZ31" s="57"/>
      <c r="BA31" s="55"/>
      <c r="BB31" s="55"/>
      <c r="BC31" s="55"/>
      <c r="BD31" s="55"/>
      <c r="BE31" s="57"/>
      <c r="BF31" s="10"/>
      <c r="BG31" s="10"/>
      <c r="BH31" s="10"/>
      <c r="BI31" s="10"/>
      <c r="BJ31" s="10"/>
    </row>
    <row r="32" spans="1:62" ht="9.75" customHeight="1" x14ac:dyDescent="0.15">
      <c r="A32" s="10"/>
      <c r="B32" s="10" t="s">
        <v>201</v>
      </c>
      <c r="C32" s="10"/>
      <c r="D32" s="10"/>
      <c r="E32" s="49"/>
      <c r="F32" s="49"/>
      <c r="G32" s="49"/>
      <c r="H32" s="49"/>
      <c r="I32" s="49"/>
      <c r="J32" s="49"/>
      <c r="K32" s="49"/>
      <c r="L32" s="54"/>
      <c r="M32" s="54">
        <v>-95.4</v>
      </c>
      <c r="N32" s="55">
        <v>26.5</v>
      </c>
      <c r="O32" s="55">
        <v>-74.7</v>
      </c>
      <c r="P32" s="55"/>
      <c r="Q32" s="57"/>
      <c r="R32" s="54">
        <v>-33</v>
      </c>
      <c r="S32" s="55">
        <v>-19</v>
      </c>
      <c r="T32" s="55">
        <v>-32.9</v>
      </c>
      <c r="U32" s="55">
        <f>V32-T32-S32-R32</f>
        <v>84.9</v>
      </c>
      <c r="V32" s="54"/>
      <c r="W32" s="54">
        <v>-210.8</v>
      </c>
      <c r="X32" s="55">
        <v>-15.5</v>
      </c>
      <c r="Y32" s="55">
        <v>77.400000000000006</v>
      </c>
      <c r="Z32" s="55">
        <f t="shared" si="13"/>
        <v>148.9</v>
      </c>
      <c r="AA32" s="57"/>
      <c r="AB32" s="55">
        <v>18.100000000000001</v>
      </c>
      <c r="AC32" s="55">
        <v>-237.7</v>
      </c>
      <c r="AD32" s="55">
        <v>-201.6</v>
      </c>
      <c r="AE32" s="55"/>
      <c r="AF32" s="57"/>
      <c r="AG32" s="55"/>
      <c r="AH32" s="55"/>
      <c r="AI32" s="55"/>
      <c r="AJ32" s="55"/>
      <c r="AK32" s="57"/>
      <c r="AL32" s="55"/>
      <c r="AM32" s="55"/>
      <c r="AN32" s="55"/>
      <c r="AO32" s="55"/>
      <c r="AP32" s="57"/>
      <c r="AQ32" s="55"/>
      <c r="AR32" s="55"/>
      <c r="AS32" s="55"/>
      <c r="AT32" s="55"/>
      <c r="AU32" s="57"/>
      <c r="AV32" s="55"/>
      <c r="AW32" s="55"/>
      <c r="AX32" s="55"/>
      <c r="AY32" s="55"/>
      <c r="AZ32" s="57"/>
      <c r="BA32" s="55"/>
      <c r="BB32" s="55"/>
      <c r="BC32" s="55"/>
      <c r="BD32" s="55"/>
      <c r="BE32" s="57"/>
      <c r="BF32" s="10"/>
      <c r="BG32" s="10"/>
      <c r="BH32" s="10"/>
      <c r="BI32" s="10"/>
      <c r="BJ32" s="10"/>
    </row>
    <row r="33" spans="1:62" ht="9.75" customHeight="1" x14ac:dyDescent="0.15">
      <c r="A33" s="10"/>
      <c r="B33" s="10" t="s">
        <v>202</v>
      </c>
      <c r="C33" s="10"/>
      <c r="D33" s="10"/>
      <c r="E33" s="49"/>
      <c r="F33" s="49"/>
      <c r="G33" s="49"/>
      <c r="H33" s="49"/>
      <c r="I33" s="49"/>
      <c r="J33" s="49"/>
      <c r="K33" s="49"/>
      <c r="L33" s="54"/>
      <c r="M33" s="54">
        <v>25</v>
      </c>
      <c r="N33" s="55">
        <v>22.2</v>
      </c>
      <c r="O33" s="55">
        <v>-17.3</v>
      </c>
      <c r="P33" s="55"/>
      <c r="Q33" s="57"/>
      <c r="R33" s="54">
        <v>-112.8</v>
      </c>
      <c r="S33" s="55">
        <v>58</v>
      </c>
      <c r="T33" s="55">
        <v>-3</v>
      </c>
      <c r="U33" s="55"/>
      <c r="V33" s="54"/>
      <c r="W33" s="54">
        <v>11.2</v>
      </c>
      <c r="X33" s="55">
        <v>41.1</v>
      </c>
      <c r="Y33" s="55">
        <v>125.5</v>
      </c>
      <c r="Z33" s="55">
        <f t="shared" si="13"/>
        <v>-177.79999999999998</v>
      </c>
      <c r="AA33" s="57"/>
      <c r="AB33" s="55">
        <v>39.4</v>
      </c>
      <c r="AC33" s="55">
        <v>70.8</v>
      </c>
      <c r="AD33" s="55">
        <v>59.9</v>
      </c>
      <c r="AE33" s="55"/>
      <c r="AF33" s="57"/>
      <c r="AG33" s="55"/>
      <c r="AH33" s="55"/>
      <c r="AI33" s="55"/>
      <c r="AJ33" s="55"/>
      <c r="AK33" s="57"/>
      <c r="AL33" s="55"/>
      <c r="AM33" s="55"/>
      <c r="AN33" s="55"/>
      <c r="AO33" s="55"/>
      <c r="AP33" s="57"/>
      <c r="AQ33" s="55"/>
      <c r="AR33" s="55"/>
      <c r="AS33" s="55"/>
      <c r="AT33" s="55"/>
      <c r="AU33" s="57"/>
      <c r="AV33" s="55"/>
      <c r="AW33" s="55"/>
      <c r="AX33" s="55"/>
      <c r="AY33" s="55"/>
      <c r="AZ33" s="57"/>
      <c r="BA33" s="55"/>
      <c r="BB33" s="55"/>
      <c r="BC33" s="55"/>
      <c r="BD33" s="55"/>
      <c r="BE33" s="57"/>
      <c r="BF33" s="10"/>
      <c r="BG33" s="10"/>
      <c r="BH33" s="10"/>
      <c r="BI33" s="10"/>
      <c r="BJ33" s="10"/>
    </row>
    <row r="34" spans="1:62" ht="9.75" customHeight="1" x14ac:dyDescent="0.15">
      <c r="A34" s="10"/>
      <c r="B34" s="68" t="s">
        <v>203</v>
      </c>
      <c r="C34" s="69"/>
      <c r="D34" s="70"/>
      <c r="E34" s="70"/>
      <c r="F34" s="70"/>
      <c r="G34" s="70"/>
      <c r="H34" s="70"/>
      <c r="I34" s="70"/>
      <c r="J34" s="70"/>
      <c r="K34" s="70"/>
      <c r="L34" s="71" t="e">
        <f>SUM(L8:L31)</f>
        <v>#REF!</v>
      </c>
      <c r="M34" s="198">
        <f>SUM(M14:M33,M9:M11)</f>
        <v>791.8</v>
      </c>
      <c r="N34" s="199">
        <v>939.8</v>
      </c>
      <c r="O34" s="199">
        <v>753.3</v>
      </c>
      <c r="P34" s="199">
        <f>Q34-O34-N34-M34</f>
        <v>1265.7114323258868</v>
      </c>
      <c r="Q34" s="75">
        <f>SUM(Q8:Q31)</f>
        <v>3750.6114323258871</v>
      </c>
      <c r="R34" s="200">
        <v>785.1</v>
      </c>
      <c r="S34" s="201">
        <f t="shared" ref="S34:T34" si="14">SUM(S9:S33)</f>
        <v>1038.1477366255144</v>
      </c>
      <c r="T34" s="201">
        <f t="shared" si="14"/>
        <v>939.40072992700743</v>
      </c>
      <c r="U34" s="201">
        <f>SUM(U9:U32)</f>
        <v>835.28338323353307</v>
      </c>
      <c r="V34" s="72">
        <f>SUM(V8:V31)</f>
        <v>3754.3940078684554</v>
      </c>
      <c r="W34" s="200">
        <f>W9+W11+W14+W17+W18+W19+W26+W32+W33</f>
        <v>800.00000000000023</v>
      </c>
      <c r="X34" s="201">
        <f t="shared" ref="X34:Y34" si="15">SUM(X9:X33)</f>
        <v>991.16104513064136</v>
      </c>
      <c r="Y34" s="201">
        <f t="shared" si="15"/>
        <v>1214.6438063986875</v>
      </c>
      <c r="Z34" s="201">
        <f t="shared" si="13"/>
        <v>877.41961294677799</v>
      </c>
      <c r="AA34" s="75">
        <f>SUM(AA8:AA31)</f>
        <v>3883.2244644761072</v>
      </c>
      <c r="AB34" s="77" t="e">
        <f t="shared" ref="AB34:AC34" si="16">SUM(AB9:AB33)</f>
        <v>#DIV/0!</v>
      </c>
      <c r="AC34" s="77">
        <f t="shared" si="16"/>
        <v>952.82052430728368</v>
      </c>
      <c r="AD34" s="77">
        <v>4141</v>
      </c>
      <c r="AE34" s="77">
        <f>SUM(AE8:AE31)</f>
        <v>1945.9407644655098</v>
      </c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10"/>
      <c r="BG34" s="10"/>
      <c r="BH34" s="10"/>
      <c r="BI34" s="10"/>
      <c r="BJ34" s="10"/>
    </row>
    <row r="35" spans="1:62" ht="4.5" customHeight="1" x14ac:dyDescent="0.15">
      <c r="A35" s="10"/>
      <c r="B35" s="10"/>
      <c r="C35" s="10"/>
      <c r="D35" s="49"/>
      <c r="E35" s="49"/>
      <c r="F35" s="49"/>
      <c r="G35" s="49"/>
      <c r="H35" s="49"/>
      <c r="I35" s="49"/>
      <c r="J35" s="49"/>
      <c r="K35" s="49"/>
      <c r="L35" s="50"/>
      <c r="M35" s="50"/>
      <c r="N35" s="49"/>
      <c r="O35" s="49"/>
      <c r="P35" s="49"/>
      <c r="Q35" s="57"/>
      <c r="R35" s="54"/>
      <c r="S35" s="55"/>
      <c r="T35" s="55"/>
      <c r="U35" s="49"/>
      <c r="V35" s="54"/>
      <c r="W35" s="54"/>
      <c r="X35" s="55"/>
      <c r="Y35" s="55"/>
      <c r="Z35" s="55"/>
      <c r="AA35" s="57"/>
      <c r="AB35" s="49"/>
      <c r="AC35" s="49"/>
      <c r="AD35" s="49"/>
      <c r="AE35" s="49"/>
      <c r="AF35" s="51"/>
      <c r="AG35" s="49"/>
      <c r="AH35" s="49"/>
      <c r="AI35" s="49"/>
      <c r="AJ35" s="49"/>
      <c r="AK35" s="51"/>
      <c r="AL35" s="49"/>
      <c r="AM35" s="49"/>
      <c r="AN35" s="49"/>
      <c r="AO35" s="49"/>
      <c r="AP35" s="51"/>
      <c r="AQ35" s="49"/>
      <c r="AR35" s="49"/>
      <c r="AS35" s="49"/>
      <c r="AT35" s="49"/>
      <c r="AU35" s="51"/>
      <c r="AV35" s="49"/>
      <c r="AW35" s="49"/>
      <c r="AX35" s="49"/>
      <c r="AY35" s="49"/>
      <c r="AZ35" s="51"/>
      <c r="BA35" s="49"/>
      <c r="BB35" s="49"/>
      <c r="BC35" s="49"/>
      <c r="BD35" s="49"/>
      <c r="BE35" s="51"/>
      <c r="BF35" s="10"/>
      <c r="BG35" s="10"/>
      <c r="BH35" s="10"/>
      <c r="BI35" s="10"/>
      <c r="BJ35" s="10"/>
    </row>
    <row r="36" spans="1:62" ht="9.75" customHeight="1" x14ac:dyDescent="0.15">
      <c r="A36" s="10"/>
      <c r="B36" s="48" t="s">
        <v>204</v>
      </c>
      <c r="C36" s="10"/>
      <c r="D36" s="49"/>
      <c r="E36" s="49"/>
      <c r="F36" s="49"/>
      <c r="G36" s="49"/>
      <c r="H36" s="49"/>
      <c r="I36" s="49"/>
      <c r="J36" s="49"/>
      <c r="K36" s="49"/>
      <c r="L36" s="50"/>
      <c r="M36" s="50"/>
      <c r="N36" s="49"/>
      <c r="O36" s="49"/>
      <c r="P36" s="49"/>
      <c r="Q36" s="57"/>
      <c r="R36" s="54"/>
      <c r="S36" s="55"/>
      <c r="T36" s="55"/>
      <c r="U36" s="49"/>
      <c r="V36" s="54"/>
      <c r="W36" s="54"/>
      <c r="X36" s="55"/>
      <c r="Y36" s="55"/>
      <c r="Z36" s="55"/>
      <c r="AA36" s="57"/>
      <c r="AB36" s="49"/>
      <c r="AC36" s="49"/>
      <c r="AD36" s="49"/>
      <c r="AE36" s="49"/>
      <c r="AF36" s="51"/>
      <c r="AG36" s="49"/>
      <c r="AH36" s="49"/>
      <c r="AI36" s="49"/>
      <c r="AJ36" s="49"/>
      <c r="AK36" s="51"/>
      <c r="AL36" s="49"/>
      <c r="AM36" s="49"/>
      <c r="AN36" s="49"/>
      <c r="AO36" s="49"/>
      <c r="AP36" s="51"/>
      <c r="AQ36" s="49"/>
      <c r="AR36" s="49"/>
      <c r="AS36" s="49"/>
      <c r="AT36" s="49"/>
      <c r="AU36" s="51"/>
      <c r="AV36" s="49"/>
      <c r="AW36" s="49"/>
      <c r="AX36" s="49"/>
      <c r="AY36" s="49"/>
      <c r="AZ36" s="51"/>
      <c r="BA36" s="49"/>
      <c r="BB36" s="49"/>
      <c r="BC36" s="49"/>
      <c r="BD36" s="49"/>
      <c r="BE36" s="51"/>
      <c r="BF36" s="10"/>
      <c r="BG36" s="10"/>
      <c r="BH36" s="10"/>
      <c r="BI36" s="10"/>
      <c r="BJ36" s="10"/>
    </row>
    <row r="37" spans="1:62" ht="10.5" customHeight="1" x14ac:dyDescent="0.15">
      <c r="A37" s="10"/>
      <c r="B37" s="10" t="s">
        <v>205</v>
      </c>
      <c r="C37" s="10"/>
      <c r="D37" s="10"/>
      <c r="E37" s="49"/>
      <c r="F37" s="49"/>
      <c r="G37" s="49"/>
      <c r="H37" s="49"/>
      <c r="I37" s="49"/>
      <c r="J37" s="49"/>
      <c r="K37" s="49"/>
      <c r="L37" s="50"/>
      <c r="M37" s="50">
        <v>-198.5</v>
      </c>
      <c r="N37" s="49">
        <v>-226.4</v>
      </c>
      <c r="O37" s="49">
        <v>185.5</v>
      </c>
      <c r="P37" s="49">
        <f>Q37-O37-N37-M37</f>
        <v>-673.80000000000007</v>
      </c>
      <c r="Q37" s="57">
        <v>-913.2</v>
      </c>
      <c r="R37" s="54">
        <v>-220.8</v>
      </c>
      <c r="S37" s="55">
        <v>-243</v>
      </c>
      <c r="T37" s="55">
        <v>-260.3</v>
      </c>
      <c r="U37" s="55">
        <f>V37-T37-S37-R37</f>
        <v>-267.2</v>
      </c>
      <c r="V37" s="54">
        <v>-991.3</v>
      </c>
      <c r="W37" s="54">
        <v>-214.4</v>
      </c>
      <c r="X37" s="55">
        <v>-210.5</v>
      </c>
      <c r="Y37" s="55">
        <v>-243.8</v>
      </c>
      <c r="Z37" s="55">
        <f t="shared" ref="Z37:Z40" si="17">AA37-Y37-X37-W37</f>
        <v>-363.00000000000011</v>
      </c>
      <c r="AA37" s="57">
        <v>-1031.7</v>
      </c>
      <c r="AB37" s="55">
        <v>0</v>
      </c>
      <c r="AC37" s="55">
        <v>-602.70000000000005</v>
      </c>
      <c r="AD37" s="55">
        <v>-916.7</v>
      </c>
      <c r="AE37" s="49">
        <f>AD37*(1+AE38)</f>
        <v>-1283.3799999999999</v>
      </c>
      <c r="AF37" s="51">
        <f>-AF38*'Income Statement'!AF10</f>
        <v>-4171.1454899999999</v>
      </c>
      <c r="AG37" s="51">
        <f>-AG38*'Income Statement'!AG10</f>
        <v>-1223.7503999999999</v>
      </c>
      <c r="AH37" s="51">
        <f>-AH38*'Income Statement'!AH10</f>
        <v>-1432.4226950000002</v>
      </c>
      <c r="AI37" s="51">
        <f>-AI38*'Income Statement'!AI10</f>
        <v>-1670.3700600000004</v>
      </c>
      <c r="AJ37" s="51">
        <f>-AJ38*'Income Statement'!AJ10</f>
        <v>-1717.6689827700004</v>
      </c>
      <c r="AK37" s="51">
        <f>-AK38*'Income Statement'!AK10</f>
        <v>-7334.8964260600005</v>
      </c>
      <c r="AL37" s="51">
        <f>-AL38*'Income Statement'!AL10</f>
        <v>-2102.0295553500005</v>
      </c>
      <c r="AM37" s="51">
        <f>-AM38*'Income Statement'!AM10</f>
        <v>-2392.6832183200008</v>
      </c>
      <c r="AN37" s="51">
        <f>-AN38*'Income Statement'!AN10</f>
        <v>-2733.0975538650009</v>
      </c>
      <c r="AO37" s="51">
        <f>-AO38*'Income Statement'!AO10</f>
        <v>-2711.1994558572615</v>
      </c>
      <c r="AP37" s="51">
        <f>-AP38*'Income Statement'!AP10</f>
        <v>-11901.198695206986</v>
      </c>
      <c r="AQ37" s="49"/>
      <c r="AR37" s="49"/>
      <c r="AS37" s="49"/>
      <c r="AT37" s="49"/>
      <c r="AU37" s="51"/>
      <c r="AV37" s="49"/>
      <c r="AW37" s="49"/>
      <c r="AX37" s="49"/>
      <c r="AY37" s="49"/>
      <c r="AZ37" s="51"/>
      <c r="BA37" s="49"/>
      <c r="BB37" s="49"/>
      <c r="BC37" s="49"/>
      <c r="BD37" s="49"/>
      <c r="BE37" s="51"/>
      <c r="BF37" s="10"/>
      <c r="BG37" s="10"/>
      <c r="BH37" s="10"/>
      <c r="BI37" s="10"/>
      <c r="BJ37" s="10"/>
    </row>
    <row r="38" spans="1:62" ht="10.5" customHeight="1" x14ac:dyDescent="0.15">
      <c r="A38" s="202"/>
      <c r="B38" s="151" t="s">
        <v>206</v>
      </c>
      <c r="C38" s="202"/>
      <c r="D38" s="202"/>
      <c r="E38" s="202"/>
      <c r="F38" s="202"/>
      <c r="G38" s="202"/>
      <c r="H38" s="202"/>
      <c r="I38" s="202"/>
      <c r="J38" s="202"/>
      <c r="K38" s="202"/>
      <c r="L38" s="203"/>
      <c r="M38" s="203">
        <f>-M37/'Income Statement'!M10</f>
        <v>0.1139625674589505</v>
      </c>
      <c r="N38" s="202">
        <f>-N37/'Income Statement'!N10</f>
        <v>0.12712673367398505</v>
      </c>
      <c r="O38" s="202">
        <f>-O37/'Income Statement'!O10</f>
        <v>-0.10389246709605153</v>
      </c>
      <c r="P38" s="202">
        <f>-P37/'Income Statement'!P10</f>
        <v>0.31605610019231672</v>
      </c>
      <c r="Q38" s="204">
        <f>-Q37/'Income Statement'!Q10</f>
        <v>0.12274028574884747</v>
      </c>
      <c r="R38" s="203">
        <f>-R37/'Income Statement'!R10</f>
        <v>0.12176022940333076</v>
      </c>
      <c r="S38" s="202">
        <f>-S37/'Income Statement'!S10</f>
        <v>0.12865992481601102</v>
      </c>
      <c r="T38" s="202">
        <f>-T37/'Income Statement'!T10</f>
        <v>0.13324119574119575</v>
      </c>
      <c r="U38" s="55"/>
      <c r="V38" s="203">
        <f>-V37/'Income Statement'!V10</f>
        <v>0.13077318839623761</v>
      </c>
      <c r="W38" s="203">
        <f>-W37/'Income Statement'!W10</f>
        <v>0.10758191580109389</v>
      </c>
      <c r="X38" s="202">
        <f>-X37/'Income Statement'!X10</f>
        <v>0.11003659174072138</v>
      </c>
      <c r="Y38" s="202">
        <f>-Y37/'Income Statement'!Y10</f>
        <v>0.12111878384420489</v>
      </c>
      <c r="Z38" s="202">
        <f t="shared" si="17"/>
        <v>-0.210440331863543</v>
      </c>
      <c r="AA38" s="204">
        <f>-AA37/'Income Statement'!AA10</f>
        <v>0.12829695952247716</v>
      </c>
      <c r="AB38" s="204">
        <f>-AB37/'Income Statement'!AB10</f>
        <v>0</v>
      </c>
      <c r="AC38" s="204">
        <f>-AC37/'Income Statement'!AC10</f>
        <v>0.26216886336943757</v>
      </c>
      <c r="AD38" s="204">
        <f>-AD37/'Income Statement'!AD10</f>
        <v>0.37350772114248459</v>
      </c>
      <c r="AE38" s="204">
        <v>0.4</v>
      </c>
      <c r="AF38" s="204">
        <f t="shared" ref="AF38:AO38" si="18">AE38+0.05</f>
        <v>0.45</v>
      </c>
      <c r="AG38" s="204">
        <f t="shared" si="18"/>
        <v>0.5</v>
      </c>
      <c r="AH38" s="204">
        <f t="shared" si="18"/>
        <v>0.55000000000000004</v>
      </c>
      <c r="AI38" s="204">
        <f t="shared" si="18"/>
        <v>0.60000000000000009</v>
      </c>
      <c r="AJ38" s="204">
        <f t="shared" si="18"/>
        <v>0.65000000000000013</v>
      </c>
      <c r="AK38" s="204">
        <f t="shared" si="18"/>
        <v>0.70000000000000018</v>
      </c>
      <c r="AL38" s="204">
        <f t="shared" si="18"/>
        <v>0.75000000000000022</v>
      </c>
      <c r="AM38" s="204">
        <f t="shared" si="18"/>
        <v>0.80000000000000027</v>
      </c>
      <c r="AN38" s="204">
        <f t="shared" si="18"/>
        <v>0.85000000000000031</v>
      </c>
      <c r="AO38" s="204">
        <f t="shared" si="18"/>
        <v>0.90000000000000036</v>
      </c>
      <c r="AP38" s="204">
        <v>0.99</v>
      </c>
      <c r="AQ38" s="202"/>
      <c r="AR38" s="202"/>
      <c r="AS38" s="202"/>
      <c r="AT38" s="202"/>
      <c r="AU38" s="204"/>
      <c r="AV38" s="202"/>
      <c r="AW38" s="202"/>
      <c r="AX38" s="202"/>
      <c r="AY38" s="202"/>
      <c r="AZ38" s="204"/>
      <c r="BA38" s="202"/>
      <c r="BB38" s="202"/>
      <c r="BC38" s="202"/>
      <c r="BD38" s="202"/>
      <c r="BE38" s="204"/>
      <c r="BF38" s="202"/>
      <c r="BG38" s="202"/>
      <c r="BH38" s="202"/>
      <c r="BI38" s="202"/>
      <c r="BJ38" s="202"/>
    </row>
    <row r="39" spans="1:62" ht="9.75" customHeight="1" x14ac:dyDescent="0.15">
      <c r="A39" s="10"/>
      <c r="B39" s="10" t="s">
        <v>207</v>
      </c>
      <c r="C39" s="10"/>
      <c r="D39" s="10"/>
      <c r="E39" s="49"/>
      <c r="F39" s="49"/>
      <c r="G39" s="49"/>
      <c r="H39" s="49"/>
      <c r="I39" s="49"/>
      <c r="J39" s="49"/>
      <c r="K39" s="49"/>
      <c r="L39" s="54"/>
      <c r="M39" s="54">
        <v>-673.4</v>
      </c>
      <c r="N39" s="55">
        <v>-663.1</v>
      </c>
      <c r="O39" s="55">
        <v>-101.3</v>
      </c>
      <c r="P39" s="55">
        <f t="shared" ref="P39:P42" si="19">Q39-O39-N39-M39</f>
        <v>-443.6</v>
      </c>
      <c r="Q39" s="57">
        <v>-1881.4</v>
      </c>
      <c r="R39" s="54">
        <v>-91.1</v>
      </c>
      <c r="S39" s="55">
        <v>-44</v>
      </c>
      <c r="T39" s="55">
        <v>-553.1</v>
      </c>
      <c r="U39" s="55">
        <f t="shared" ref="U39:U42" si="20">V39-T39-S39-R39</f>
        <v>-2271.4</v>
      </c>
      <c r="V39" s="54">
        <v>-2959.6</v>
      </c>
      <c r="W39" s="54">
        <v>-49.3</v>
      </c>
      <c r="X39" s="55">
        <v>-183.4</v>
      </c>
      <c r="Y39" s="55">
        <v>-100.9</v>
      </c>
      <c r="Z39" s="55">
        <f t="shared" si="17"/>
        <v>-3465.4999999999995</v>
      </c>
      <c r="AA39" s="57">
        <v>-3799.1</v>
      </c>
      <c r="AB39" s="55">
        <v>-114.8</v>
      </c>
      <c r="AC39" s="55">
        <v>8767.7999999999993</v>
      </c>
      <c r="AD39" s="55">
        <v>-9595.2999999999993</v>
      </c>
      <c r="AE39" s="55"/>
      <c r="AF39" s="57"/>
      <c r="AG39" s="55"/>
      <c r="AH39" s="55"/>
      <c r="AI39" s="55"/>
      <c r="AJ39" s="55"/>
      <c r="AK39" s="57"/>
      <c r="AL39" s="55"/>
      <c r="AM39" s="55"/>
      <c r="AN39" s="55"/>
      <c r="AO39" s="55"/>
      <c r="AP39" s="57"/>
      <c r="AQ39" s="55"/>
      <c r="AR39" s="55"/>
      <c r="AS39" s="55"/>
      <c r="AT39" s="55"/>
      <c r="AU39" s="57"/>
      <c r="AV39" s="55"/>
      <c r="AW39" s="55"/>
      <c r="AX39" s="55"/>
      <c r="AY39" s="55"/>
      <c r="AZ39" s="57"/>
      <c r="BA39" s="55"/>
      <c r="BB39" s="55"/>
      <c r="BC39" s="55"/>
      <c r="BD39" s="55"/>
      <c r="BE39" s="57"/>
      <c r="BF39" s="10"/>
      <c r="BG39" s="10"/>
      <c r="BH39" s="10"/>
      <c r="BI39" s="10"/>
      <c r="BJ39" s="10"/>
    </row>
    <row r="40" spans="1:62" ht="9.75" customHeight="1" x14ac:dyDescent="0.15">
      <c r="A40" s="10"/>
      <c r="B40" s="10" t="s">
        <v>208</v>
      </c>
      <c r="C40" s="10"/>
      <c r="D40" s="10"/>
      <c r="E40" s="49"/>
      <c r="F40" s="49"/>
      <c r="G40" s="49"/>
      <c r="H40" s="49"/>
      <c r="I40" s="49"/>
      <c r="J40" s="49"/>
      <c r="K40" s="49"/>
      <c r="L40" s="54"/>
      <c r="M40" s="54">
        <v>84</v>
      </c>
      <c r="N40" s="55">
        <v>810.5</v>
      </c>
      <c r="O40" s="55">
        <v>202.5</v>
      </c>
      <c r="P40" s="55">
        <f t="shared" si="19"/>
        <v>155.20000000000005</v>
      </c>
      <c r="Q40" s="57">
        <v>1252.2</v>
      </c>
      <c r="R40" s="54">
        <v>254.9</v>
      </c>
      <c r="S40" s="55">
        <v>114</v>
      </c>
      <c r="T40" s="55">
        <v>-9.6999999999999993</v>
      </c>
      <c r="U40" s="55">
        <f t="shared" si="20"/>
        <v>24.299999999999983</v>
      </c>
      <c r="V40" s="54">
        <v>383.5</v>
      </c>
      <c r="W40" s="54">
        <v>5.8</v>
      </c>
      <c r="X40" s="55">
        <v>3.5</v>
      </c>
      <c r="Y40" s="55">
        <v>5.4</v>
      </c>
      <c r="Z40" s="55">
        <f t="shared" si="17"/>
        <v>4.9000000000000012</v>
      </c>
      <c r="AA40" s="57">
        <v>19.600000000000001</v>
      </c>
      <c r="AB40" s="55">
        <v>4.4000000000000004</v>
      </c>
      <c r="AC40" s="55">
        <v>3.5</v>
      </c>
      <c r="AD40" s="55">
        <v>13.8</v>
      </c>
      <c r="AE40" s="55"/>
      <c r="AF40" s="57"/>
      <c r="AG40" s="55"/>
      <c r="AH40" s="55"/>
      <c r="AI40" s="55"/>
      <c r="AJ40" s="55"/>
      <c r="AK40" s="57"/>
      <c r="AL40" s="55"/>
      <c r="AM40" s="55"/>
      <c r="AN40" s="55"/>
      <c r="AO40" s="55"/>
      <c r="AP40" s="57"/>
      <c r="AQ40" s="55"/>
      <c r="AR40" s="55"/>
      <c r="AS40" s="55"/>
      <c r="AT40" s="55"/>
      <c r="AU40" s="57"/>
      <c r="AV40" s="55"/>
      <c r="AW40" s="55"/>
      <c r="AX40" s="55"/>
      <c r="AY40" s="55"/>
      <c r="AZ40" s="57"/>
      <c r="BA40" s="55"/>
      <c r="BB40" s="55"/>
      <c r="BC40" s="55"/>
      <c r="BD40" s="55"/>
      <c r="BE40" s="57"/>
      <c r="BF40" s="10"/>
      <c r="BG40" s="10"/>
      <c r="BH40" s="10"/>
      <c r="BI40" s="10"/>
      <c r="BJ40" s="10"/>
    </row>
    <row r="41" spans="1:62" ht="9.75" customHeight="1" x14ac:dyDescent="0.15">
      <c r="A41" s="10"/>
      <c r="B41" s="10" t="s">
        <v>209</v>
      </c>
      <c r="C41" s="10"/>
      <c r="D41" s="10"/>
      <c r="E41" s="49"/>
      <c r="F41" s="49"/>
      <c r="G41" s="49"/>
      <c r="H41" s="49"/>
      <c r="I41" s="49"/>
      <c r="J41" s="49"/>
      <c r="K41" s="49"/>
      <c r="L41" s="54"/>
      <c r="M41" s="54">
        <v>478.1</v>
      </c>
      <c r="N41" s="55">
        <v>-1430.9</v>
      </c>
      <c r="O41" s="55">
        <v>-119.4</v>
      </c>
      <c r="P41" s="55">
        <f t="shared" si="19"/>
        <v>-82.099999999999795</v>
      </c>
      <c r="Q41" s="57">
        <v>-1154.3</v>
      </c>
      <c r="R41" s="54">
        <v>-261.5</v>
      </c>
      <c r="S41" s="55">
        <v>-94</v>
      </c>
      <c r="T41" s="55">
        <v>0</v>
      </c>
      <c r="U41" s="55">
        <f t="shared" si="20"/>
        <v>-0.39999999999997726</v>
      </c>
      <c r="V41" s="54">
        <v>-355.9</v>
      </c>
      <c r="W41" s="54">
        <v>0</v>
      </c>
      <c r="X41" s="55">
        <v>0</v>
      </c>
      <c r="Y41" s="55">
        <v>0</v>
      </c>
      <c r="Z41" s="55">
        <v>0</v>
      </c>
      <c r="AA41" s="57" t="s">
        <v>131</v>
      </c>
      <c r="AB41" s="55"/>
      <c r="AC41" s="55">
        <v>-25</v>
      </c>
      <c r="AD41" s="55">
        <v>-25</v>
      </c>
      <c r="AE41" s="55"/>
      <c r="AF41" s="57"/>
      <c r="AG41" s="55"/>
      <c r="AH41" s="55"/>
      <c r="AI41" s="55"/>
      <c r="AJ41" s="55"/>
      <c r="AK41" s="57"/>
      <c r="AL41" s="55"/>
      <c r="AM41" s="55"/>
      <c r="AN41" s="55"/>
      <c r="AO41" s="55"/>
      <c r="AP41" s="57"/>
      <c r="AQ41" s="55"/>
      <c r="AR41" s="55"/>
      <c r="AS41" s="55"/>
      <c r="AT41" s="55"/>
      <c r="AU41" s="57"/>
      <c r="AV41" s="55"/>
      <c r="AW41" s="55"/>
      <c r="AX41" s="55"/>
      <c r="AY41" s="55"/>
      <c r="AZ41" s="57"/>
      <c r="BA41" s="55"/>
      <c r="BB41" s="55"/>
      <c r="BC41" s="55"/>
      <c r="BD41" s="55"/>
      <c r="BE41" s="57"/>
      <c r="BF41" s="10"/>
      <c r="BG41" s="10"/>
      <c r="BH41" s="10"/>
      <c r="BI41" s="10"/>
      <c r="BJ41" s="10"/>
    </row>
    <row r="42" spans="1:62" ht="9.75" customHeight="1" x14ac:dyDescent="0.15">
      <c r="A42" s="10"/>
      <c r="B42" s="10" t="s">
        <v>210</v>
      </c>
      <c r="C42" s="10"/>
      <c r="D42" s="10"/>
      <c r="E42" s="49"/>
      <c r="F42" s="49"/>
      <c r="G42" s="49"/>
      <c r="H42" s="49"/>
      <c r="I42" s="49"/>
      <c r="J42" s="49"/>
      <c r="K42" s="49"/>
      <c r="L42" s="54"/>
      <c r="M42" s="54">
        <v>-14.6</v>
      </c>
      <c r="N42" s="55">
        <v>-8.6999999999999993</v>
      </c>
      <c r="O42" s="55">
        <v>-8.4</v>
      </c>
      <c r="P42" s="55">
        <f t="shared" si="19"/>
        <v>-21.1</v>
      </c>
      <c r="Q42" s="57">
        <v>-52.8</v>
      </c>
      <c r="R42" s="54">
        <v>-4.8</v>
      </c>
      <c r="S42" s="55">
        <v>0</v>
      </c>
      <c r="T42" s="55">
        <v>-6.2</v>
      </c>
      <c r="U42" s="55">
        <f t="shared" si="20"/>
        <v>-53.2</v>
      </c>
      <c r="V42" s="54">
        <v>-64.2</v>
      </c>
      <c r="W42" s="54">
        <v>4.5</v>
      </c>
      <c r="X42" s="55">
        <v>5</v>
      </c>
      <c r="Y42" s="55">
        <v>7.6</v>
      </c>
      <c r="Z42" s="55">
        <f>AA42-Y42-X42-W42</f>
        <v>9.5</v>
      </c>
      <c r="AA42" s="57">
        <v>26.6</v>
      </c>
      <c r="AB42" s="55">
        <v>-3.5</v>
      </c>
      <c r="AC42" s="55">
        <v>0.3</v>
      </c>
      <c r="AD42" s="55">
        <v>-1.3</v>
      </c>
      <c r="AE42" s="55"/>
      <c r="AF42" s="57"/>
      <c r="AG42" s="55"/>
      <c r="AH42" s="55"/>
      <c r="AI42" s="55"/>
      <c r="AJ42" s="55"/>
      <c r="AK42" s="57"/>
      <c r="AL42" s="55"/>
      <c r="AM42" s="55"/>
      <c r="AN42" s="55"/>
      <c r="AO42" s="55"/>
      <c r="AP42" s="57"/>
      <c r="AQ42" s="55"/>
      <c r="AR42" s="55"/>
      <c r="AS42" s="55"/>
      <c r="AT42" s="55"/>
      <c r="AU42" s="57"/>
      <c r="AV42" s="55"/>
      <c r="AW42" s="55"/>
      <c r="AX42" s="55"/>
      <c r="AY42" s="55"/>
      <c r="AZ42" s="57"/>
      <c r="BA42" s="55"/>
      <c r="BB42" s="55"/>
      <c r="BC42" s="55"/>
      <c r="BD42" s="55"/>
      <c r="BE42" s="57"/>
      <c r="BF42" s="10"/>
      <c r="BG42" s="10"/>
      <c r="BH42" s="10"/>
      <c r="BI42" s="10"/>
      <c r="BJ42" s="10"/>
    </row>
    <row r="43" spans="1:62" ht="4.5" customHeight="1" x14ac:dyDescent="0.15">
      <c r="A43" s="10"/>
      <c r="B43" s="10"/>
      <c r="C43" s="10"/>
      <c r="D43" s="49"/>
      <c r="E43" s="49"/>
      <c r="F43" s="49"/>
      <c r="G43" s="49"/>
      <c r="H43" s="49"/>
      <c r="I43" s="49"/>
      <c r="J43" s="49"/>
      <c r="K43" s="49"/>
      <c r="L43" s="50"/>
      <c r="M43" s="50"/>
      <c r="N43" s="49"/>
      <c r="O43" s="49"/>
      <c r="P43" s="49"/>
      <c r="Q43" s="57"/>
      <c r="R43" s="54"/>
      <c r="S43" s="55"/>
      <c r="T43" s="55"/>
      <c r="U43" s="55"/>
      <c r="V43" s="54"/>
      <c r="W43" s="54"/>
      <c r="X43" s="55"/>
      <c r="Y43" s="55"/>
      <c r="Z43" s="55"/>
      <c r="AA43" s="57"/>
      <c r="AB43" s="49"/>
      <c r="AC43" s="49"/>
      <c r="AD43" s="49"/>
      <c r="AE43" s="49"/>
      <c r="AF43" s="51"/>
      <c r="AG43" s="49"/>
      <c r="AH43" s="49"/>
      <c r="AI43" s="49"/>
      <c r="AJ43" s="49"/>
      <c r="AK43" s="51"/>
      <c r="AL43" s="49"/>
      <c r="AM43" s="49"/>
      <c r="AN43" s="49"/>
      <c r="AO43" s="49"/>
      <c r="AP43" s="51"/>
      <c r="AQ43" s="49"/>
      <c r="AR43" s="49"/>
      <c r="AS43" s="49"/>
      <c r="AT43" s="49"/>
      <c r="AU43" s="51"/>
      <c r="AV43" s="49"/>
      <c r="AW43" s="49"/>
      <c r="AX43" s="49"/>
      <c r="AY43" s="49"/>
      <c r="AZ43" s="51"/>
      <c r="BA43" s="49"/>
      <c r="BB43" s="49"/>
      <c r="BC43" s="49"/>
      <c r="BD43" s="49"/>
      <c r="BE43" s="51"/>
      <c r="BF43" s="10"/>
      <c r="BG43" s="10"/>
      <c r="BH43" s="10"/>
      <c r="BI43" s="10"/>
      <c r="BJ43" s="10"/>
    </row>
    <row r="44" spans="1:62" ht="9.75" customHeight="1" x14ac:dyDescent="0.15">
      <c r="A44" s="10"/>
      <c r="B44" s="68" t="s">
        <v>211</v>
      </c>
      <c r="C44" s="69"/>
      <c r="D44" s="71"/>
      <c r="E44" s="70"/>
      <c r="F44" s="70"/>
      <c r="G44" s="76"/>
      <c r="H44" s="70"/>
      <c r="I44" s="70"/>
      <c r="J44" s="70"/>
      <c r="K44" s="70"/>
      <c r="L44" s="71">
        <f>SUM(L39:L42)</f>
        <v>0</v>
      </c>
      <c r="M44" s="198">
        <v>-1280.5999999999999</v>
      </c>
      <c r="N44" s="199">
        <v>-562.4</v>
      </c>
      <c r="O44" s="199">
        <v>-212.1</v>
      </c>
      <c r="P44" s="199">
        <f>Q44-O44-N44-M44</f>
        <v>-694.27725971425161</v>
      </c>
      <c r="Q44" s="75">
        <f t="shared" ref="Q44:T44" si="21">SUM(Q37:Q42)</f>
        <v>-2749.3772597142515</v>
      </c>
      <c r="R44" s="200">
        <f t="shared" si="21"/>
        <v>-323.17823977059669</v>
      </c>
      <c r="S44" s="201">
        <f t="shared" si="21"/>
        <v>-266.87134007518398</v>
      </c>
      <c r="T44" s="201">
        <f t="shared" si="21"/>
        <v>-829.16675880425896</v>
      </c>
      <c r="U44" s="201">
        <f>V44-T44-S44-R44</f>
        <v>-2568.1528881615641</v>
      </c>
      <c r="V44" s="72">
        <f>SUM(V37:V42)</f>
        <v>-3987.3692268116033</v>
      </c>
      <c r="W44" s="200">
        <f>SUM(W42,W40,W39,W37)</f>
        <v>-253.4</v>
      </c>
      <c r="X44" s="201">
        <f t="shared" ref="X44:Y44" si="22">SUM(X37:X42)</f>
        <v>-385.28996340825927</v>
      </c>
      <c r="Y44" s="201">
        <f t="shared" si="22"/>
        <v>-331.57888121615582</v>
      </c>
      <c r="Z44" s="201">
        <f>AA44-Y44-X44-W44</f>
        <v>-3814.2028584160626</v>
      </c>
      <c r="AA44" s="75">
        <f>SUM(AA37:AA42)</f>
        <v>-4784.4717030404772</v>
      </c>
      <c r="AB44" s="77">
        <v>-438.7</v>
      </c>
      <c r="AC44" s="77">
        <f>SUM(AC37:AC43)</f>
        <v>8144.1621688633686</v>
      </c>
      <c r="AD44" s="77">
        <v>-10524.5</v>
      </c>
      <c r="AE44" s="77">
        <f>SUM(AE39:AE42)</f>
        <v>0</v>
      </c>
      <c r="AF44" s="77">
        <f>-'CapEx + D&amp;A'!AF7</f>
        <v>-1112.305464</v>
      </c>
      <c r="AG44" s="77">
        <f>-'CapEx + D&amp;A'!AG7</f>
        <v>-293.70009599999997</v>
      </c>
      <c r="AH44" s="77">
        <f>-'CapEx + D&amp;A'!AH7</f>
        <v>-312.52858800000001</v>
      </c>
      <c r="AI44" s="77">
        <f>-'CapEx + D&amp;A'!AI7</f>
        <v>-334.07401200000004</v>
      </c>
      <c r="AJ44" s="77">
        <f>-'CapEx + D&amp;A'!AJ7</f>
        <v>-317.10811989600001</v>
      </c>
      <c r="AK44" s="77">
        <f>-'CapEx + D&amp;A'!AK7</f>
        <v>-1257.4108158959998</v>
      </c>
      <c r="AL44" s="77">
        <f>-'CapEx + D&amp;A'!AL7</f>
        <v>-336.32472885599998</v>
      </c>
      <c r="AM44" s="77">
        <f>-'CapEx + D&amp;A'!AM7</f>
        <v>-358.90248274800001</v>
      </c>
      <c r="AN44" s="77">
        <f>-'CapEx + D&amp;A'!AN7</f>
        <v>-385.84906642799996</v>
      </c>
      <c r="AO44" s="77">
        <f>-'CapEx + D&amp;A'!AO7</f>
        <v>-361.49326078096806</v>
      </c>
      <c r="AP44" s="77">
        <f>-'CapEx + D&amp;A'!AP7</f>
        <v>-1442.5695388129679</v>
      </c>
      <c r="AQ44" s="77">
        <f>-'CapEx + D&amp;A'!AQ7</f>
        <v>-336.32472885599998</v>
      </c>
      <c r="AR44" s="77">
        <f>-'CapEx + D&amp;A'!AR7</f>
        <v>-358.90248274800001</v>
      </c>
      <c r="AS44" s="77">
        <f>-'CapEx + D&amp;A'!AS7</f>
        <v>-385.84906642799996</v>
      </c>
      <c r="AT44" s="77">
        <f>-'CapEx + D&amp;A'!AT7</f>
        <v>-361.49326078096806</v>
      </c>
      <c r="AU44" s="77">
        <f>-'CapEx + D&amp;A'!AU7</f>
        <v>-1552.969783539811</v>
      </c>
      <c r="AV44" s="77">
        <f>-'CapEx + D&amp;A'!AV7</f>
        <v>-336.32472885599998</v>
      </c>
      <c r="AW44" s="77">
        <f>-'CapEx + D&amp;A'!AW7</f>
        <v>-358.90248274800001</v>
      </c>
      <c r="AX44" s="77">
        <f>-'CapEx + D&amp;A'!AX7</f>
        <v>-385.84906642799996</v>
      </c>
      <c r="AY44" s="77">
        <f>-'CapEx + D&amp;A'!AY7</f>
        <v>-361.49326078096806</v>
      </c>
      <c r="AZ44" s="77">
        <f>-'CapEx + D&amp;A'!AZ7</f>
        <v>-1637.5735299235751</v>
      </c>
      <c r="BA44" s="77">
        <f>-'CapEx + D&amp;A'!BA7</f>
        <v>-336.32472885599998</v>
      </c>
      <c r="BB44" s="77">
        <f>-'CapEx + D&amp;A'!BB7</f>
        <v>-358.90248274800001</v>
      </c>
      <c r="BC44" s="77">
        <f>-'CapEx + D&amp;A'!BC7</f>
        <v>-385.84906642799996</v>
      </c>
      <c r="BD44" s="77">
        <f>-'CapEx + D&amp;A'!BD7</f>
        <v>-361.49326078096806</v>
      </c>
      <c r="BE44" s="77">
        <f>-'CapEx + D&amp;A'!BE7</f>
        <v>-1692.7379416100814</v>
      </c>
      <c r="BF44" s="10"/>
      <c r="BG44" s="10"/>
      <c r="BH44" s="10"/>
      <c r="BI44" s="10"/>
      <c r="BJ44" s="10"/>
    </row>
    <row r="45" spans="1:62" ht="4.5" customHeight="1" x14ac:dyDescent="0.15">
      <c r="A45" s="10"/>
      <c r="B45" s="10"/>
      <c r="C45" s="10"/>
      <c r="D45" s="49"/>
      <c r="E45" s="49"/>
      <c r="F45" s="49"/>
      <c r="G45" s="49"/>
      <c r="H45" s="49"/>
      <c r="I45" s="49"/>
      <c r="J45" s="49"/>
      <c r="K45" s="49"/>
      <c r="L45" s="50"/>
      <c r="M45" s="50"/>
      <c r="N45" s="49"/>
      <c r="O45" s="49"/>
      <c r="P45" s="49"/>
      <c r="Q45" s="57"/>
      <c r="R45" s="54"/>
      <c r="S45" s="55"/>
      <c r="T45" s="55"/>
      <c r="U45" s="49"/>
      <c r="V45" s="54"/>
      <c r="W45" s="54"/>
      <c r="X45" s="55"/>
      <c r="Y45" s="55"/>
      <c r="Z45" s="55"/>
      <c r="AA45" s="57"/>
      <c r="AB45" s="49"/>
      <c r="AC45" s="49"/>
      <c r="AD45" s="49"/>
      <c r="AE45" s="49"/>
      <c r="AF45" s="51"/>
      <c r="AG45" s="49"/>
      <c r="AH45" s="49"/>
      <c r="AI45" s="49"/>
      <c r="AJ45" s="49"/>
      <c r="AK45" s="51"/>
      <c r="AL45" s="49"/>
      <c r="AM45" s="49"/>
      <c r="AN45" s="49"/>
      <c r="AO45" s="49"/>
      <c r="AP45" s="51"/>
      <c r="AQ45" s="49"/>
      <c r="AR45" s="49"/>
      <c r="AS45" s="49"/>
      <c r="AT45" s="49"/>
      <c r="AU45" s="51"/>
      <c r="AV45" s="49"/>
      <c r="AW45" s="49"/>
      <c r="AX45" s="49"/>
      <c r="AY45" s="49"/>
      <c r="AZ45" s="51"/>
      <c r="BA45" s="49"/>
      <c r="BB45" s="49"/>
      <c r="BC45" s="49"/>
      <c r="BD45" s="49"/>
      <c r="BE45" s="51"/>
      <c r="BF45" s="10"/>
      <c r="BG45" s="10"/>
      <c r="BH45" s="10"/>
      <c r="BI45" s="10"/>
      <c r="BJ45" s="10"/>
    </row>
    <row r="46" spans="1:62" ht="9.75" customHeight="1" x14ac:dyDescent="0.15">
      <c r="A46" s="10"/>
      <c r="B46" s="48" t="s">
        <v>212</v>
      </c>
      <c r="C46" s="10"/>
      <c r="D46" s="49"/>
      <c r="E46" s="49"/>
      <c r="F46" s="49"/>
      <c r="G46" s="49"/>
      <c r="H46" s="49"/>
      <c r="I46" s="49"/>
      <c r="J46" s="49"/>
      <c r="K46" s="49"/>
      <c r="L46" s="50"/>
      <c r="M46" s="50"/>
      <c r="N46" s="49"/>
      <c r="O46" s="49"/>
      <c r="P46" s="49"/>
      <c r="Q46" s="57"/>
      <c r="R46" s="54"/>
      <c r="S46" s="55"/>
      <c r="T46" s="55"/>
      <c r="U46" s="49"/>
      <c r="V46" s="54"/>
      <c r="W46" s="54"/>
      <c r="X46" s="55"/>
      <c r="Y46" s="55"/>
      <c r="Z46" s="55"/>
      <c r="AA46" s="57"/>
      <c r="AB46" s="49"/>
      <c r="AC46" s="49"/>
      <c r="AD46" s="49"/>
      <c r="AE46" s="49"/>
      <c r="AF46" s="51"/>
      <c r="AG46" s="49"/>
      <c r="AH46" s="49"/>
      <c r="AI46" s="49"/>
      <c r="AJ46" s="49"/>
      <c r="AK46" s="51"/>
      <c r="AL46" s="49"/>
      <c r="AM46" s="49"/>
      <c r="AN46" s="49"/>
      <c r="AO46" s="49"/>
      <c r="AP46" s="51"/>
      <c r="AQ46" s="49"/>
      <c r="AR46" s="49"/>
      <c r="AS46" s="49"/>
      <c r="AT46" s="49"/>
      <c r="AU46" s="51"/>
      <c r="AV46" s="49"/>
      <c r="AW46" s="49"/>
      <c r="AX46" s="49"/>
      <c r="AY46" s="49"/>
      <c r="AZ46" s="51"/>
      <c r="BA46" s="49"/>
      <c r="BB46" s="49"/>
      <c r="BC46" s="49"/>
      <c r="BD46" s="49"/>
      <c r="BE46" s="51"/>
      <c r="BF46" s="10"/>
      <c r="BG46" s="10"/>
      <c r="BH46" s="10"/>
      <c r="BI46" s="10"/>
      <c r="BJ46" s="10"/>
    </row>
    <row r="47" spans="1:62" ht="9.75" customHeight="1" x14ac:dyDescent="0.15">
      <c r="A47" s="10"/>
      <c r="B47" s="10" t="s">
        <v>213</v>
      </c>
      <c r="C47" s="10"/>
      <c r="D47" s="10"/>
      <c r="E47" s="49"/>
      <c r="F47" s="49"/>
      <c r="G47" s="49"/>
      <c r="H47" s="49"/>
      <c r="I47" s="49"/>
      <c r="J47" s="49"/>
      <c r="K47" s="49"/>
      <c r="L47" s="54"/>
      <c r="M47" s="54">
        <v>1748.3</v>
      </c>
      <c r="N47" s="55">
        <v>915</v>
      </c>
      <c r="O47" s="55">
        <v>250</v>
      </c>
      <c r="P47" s="55">
        <f t="shared" ref="P47:P48" si="23">Q47-O47-N47-M47</f>
        <v>350.00000000000023</v>
      </c>
      <c r="Q47" s="57">
        <v>3263.3</v>
      </c>
      <c r="R47" s="54">
        <v>1700</v>
      </c>
      <c r="S47" s="55">
        <v>920</v>
      </c>
      <c r="T47" s="55">
        <v>680</v>
      </c>
      <c r="U47" s="55">
        <f t="shared" ref="U47:U48" si="24">V47-T47-S47-R47</f>
        <v>2450</v>
      </c>
      <c r="V47" s="54">
        <v>5750</v>
      </c>
      <c r="W47" s="54">
        <v>2642.3</v>
      </c>
      <c r="X47" s="55">
        <v>1403.1</v>
      </c>
      <c r="Y47" s="55">
        <v>1335</v>
      </c>
      <c r="Z47" s="55">
        <f t="shared" ref="Z47:Z49" si="25">AA47-Y47-X47-W47</f>
        <v>2849.9999999999991</v>
      </c>
      <c r="AA47" s="57">
        <v>8230.4</v>
      </c>
      <c r="AB47" s="55">
        <v>1870</v>
      </c>
      <c r="AC47" s="55">
        <v>4641.8</v>
      </c>
      <c r="AD47" s="55">
        <v>7666.9</v>
      </c>
      <c r="AE47" s="55"/>
      <c r="AF47" s="57"/>
      <c r="AG47" s="55"/>
      <c r="AH47" s="55"/>
      <c r="AI47" s="55"/>
      <c r="AJ47" s="55"/>
      <c r="AK47" s="57"/>
      <c r="AL47" s="55"/>
      <c r="AM47" s="55"/>
      <c r="AN47" s="55"/>
      <c r="AO47" s="55"/>
      <c r="AP47" s="57"/>
      <c r="AQ47" s="55"/>
      <c r="AR47" s="55"/>
      <c r="AS47" s="55"/>
      <c r="AT47" s="55"/>
      <c r="AU47" s="57"/>
      <c r="AV47" s="55"/>
      <c r="AW47" s="55"/>
      <c r="AX47" s="55"/>
      <c r="AY47" s="55"/>
      <c r="AZ47" s="57"/>
      <c r="BA47" s="55"/>
      <c r="BB47" s="55"/>
      <c r="BC47" s="55"/>
      <c r="BD47" s="55"/>
      <c r="BE47" s="57"/>
      <c r="BF47" s="10"/>
      <c r="BG47" s="10"/>
      <c r="BH47" s="10"/>
      <c r="BI47" s="10"/>
      <c r="BJ47" s="10"/>
    </row>
    <row r="48" spans="1:62" ht="9.75" customHeight="1" x14ac:dyDescent="0.15">
      <c r="A48" s="10"/>
      <c r="B48" s="10" t="s">
        <v>214</v>
      </c>
      <c r="C48" s="10"/>
      <c r="D48" s="10"/>
      <c r="E48" s="49"/>
      <c r="F48" s="49"/>
      <c r="G48" s="49"/>
      <c r="H48" s="49"/>
      <c r="I48" s="49"/>
      <c r="J48" s="49"/>
      <c r="K48" s="49"/>
      <c r="L48" s="54"/>
      <c r="M48" s="54"/>
      <c r="N48" s="55">
        <v>584.9</v>
      </c>
      <c r="O48" s="55">
        <v>0</v>
      </c>
      <c r="P48" s="55">
        <f t="shared" si="23"/>
        <v>0</v>
      </c>
      <c r="Q48" s="57">
        <v>584.9</v>
      </c>
      <c r="R48" s="54">
        <v>1241.5999999999999</v>
      </c>
      <c r="S48" s="55">
        <v>2288.1</v>
      </c>
      <c r="T48" s="55">
        <v>0</v>
      </c>
      <c r="U48" s="55">
        <f t="shared" si="24"/>
        <v>1347</v>
      </c>
      <c r="V48" s="54">
        <v>4876.7</v>
      </c>
      <c r="W48" s="54">
        <v>1496</v>
      </c>
      <c r="X48" s="55">
        <v>1986.9</v>
      </c>
      <c r="Y48" s="55">
        <v>2749.2</v>
      </c>
      <c r="Z48" s="55">
        <f t="shared" si="25"/>
        <v>1693.0000000000005</v>
      </c>
      <c r="AA48" s="57">
        <v>7925.1</v>
      </c>
      <c r="AB48" s="55">
        <v>1398.1</v>
      </c>
      <c r="AC48" s="55">
        <v>2429.9</v>
      </c>
      <c r="AD48" s="55">
        <v>5609.4</v>
      </c>
      <c r="AE48" s="55"/>
      <c r="AF48" s="57"/>
      <c r="AG48" s="55"/>
      <c r="AH48" s="55"/>
      <c r="AI48" s="55"/>
      <c r="AJ48" s="55"/>
      <c r="AK48" s="57"/>
      <c r="AL48" s="55"/>
      <c r="AM48" s="55"/>
      <c r="AN48" s="55"/>
      <c r="AO48" s="55"/>
      <c r="AP48" s="57"/>
      <c r="AQ48" s="55"/>
      <c r="AR48" s="55"/>
      <c r="AS48" s="55"/>
      <c r="AT48" s="55"/>
      <c r="AU48" s="57"/>
      <c r="AV48" s="55"/>
      <c r="AW48" s="55"/>
      <c r="AX48" s="55"/>
      <c r="AY48" s="55"/>
      <c r="AZ48" s="57"/>
      <c r="BA48" s="55"/>
      <c r="BB48" s="55"/>
      <c r="BC48" s="55"/>
      <c r="BD48" s="55"/>
      <c r="BE48" s="57"/>
      <c r="BF48" s="10"/>
      <c r="BG48" s="10"/>
      <c r="BH48" s="10"/>
      <c r="BI48" s="10"/>
      <c r="BJ48" s="10"/>
    </row>
    <row r="49" spans="1:62" ht="9.75" customHeight="1" x14ac:dyDescent="0.15">
      <c r="A49" s="10"/>
      <c r="B49" s="10" t="s">
        <v>215</v>
      </c>
      <c r="C49" s="10"/>
      <c r="D49" s="10"/>
      <c r="E49" s="49"/>
      <c r="F49" s="49"/>
      <c r="G49" s="49"/>
      <c r="H49" s="49"/>
      <c r="I49" s="49"/>
      <c r="J49" s="49"/>
      <c r="K49" s="49"/>
      <c r="L49" s="54"/>
      <c r="M49" s="54">
        <v>1500</v>
      </c>
      <c r="N49" s="55">
        <v>0</v>
      </c>
      <c r="O49" s="55">
        <v>0</v>
      </c>
      <c r="P49" s="55">
        <v>0</v>
      </c>
      <c r="Q49" s="57">
        <v>1500</v>
      </c>
      <c r="R49" s="54">
        <v>1300</v>
      </c>
      <c r="S49" s="55">
        <v>0</v>
      </c>
      <c r="T49" s="55">
        <v>0</v>
      </c>
      <c r="U49" s="55">
        <v>0</v>
      </c>
      <c r="V49" s="54">
        <v>1300</v>
      </c>
      <c r="W49" s="54">
        <v>750</v>
      </c>
      <c r="X49" s="55">
        <v>1190</v>
      </c>
      <c r="Y49" s="55">
        <v>0</v>
      </c>
      <c r="Z49" s="55">
        <f t="shared" si="25"/>
        <v>0</v>
      </c>
      <c r="AA49" s="57">
        <v>1940</v>
      </c>
      <c r="AB49" s="55">
        <v>0</v>
      </c>
      <c r="AC49" s="55">
        <v>2347</v>
      </c>
      <c r="AD49" s="55">
        <v>2347</v>
      </c>
      <c r="AE49" s="55"/>
      <c r="AF49" s="57"/>
      <c r="AG49" s="55"/>
      <c r="AH49" s="55"/>
      <c r="AI49" s="55"/>
      <c r="AJ49" s="55"/>
      <c r="AK49" s="57"/>
      <c r="AL49" s="55"/>
      <c r="AM49" s="55"/>
      <c r="AN49" s="55"/>
      <c r="AO49" s="55"/>
      <c r="AP49" s="57"/>
      <c r="AQ49" s="55"/>
      <c r="AR49" s="55"/>
      <c r="AS49" s="55"/>
      <c r="AT49" s="55"/>
      <c r="AU49" s="57"/>
      <c r="AV49" s="55"/>
      <c r="AW49" s="55"/>
      <c r="AX49" s="55"/>
      <c r="AY49" s="55"/>
      <c r="AZ49" s="57"/>
      <c r="BA49" s="55"/>
      <c r="BB49" s="55"/>
      <c r="BC49" s="55"/>
      <c r="BD49" s="55"/>
      <c r="BE49" s="57"/>
      <c r="BF49" s="10"/>
      <c r="BG49" s="10"/>
      <c r="BH49" s="10"/>
      <c r="BI49" s="10"/>
      <c r="BJ49" s="10"/>
    </row>
    <row r="50" spans="1:62" ht="9.75" customHeight="1" x14ac:dyDescent="0.15">
      <c r="A50" s="10"/>
      <c r="B50" s="10" t="s">
        <v>216</v>
      </c>
      <c r="C50" s="10"/>
      <c r="D50" s="10"/>
      <c r="E50" s="49"/>
      <c r="F50" s="49"/>
      <c r="G50" s="49"/>
      <c r="H50" s="49"/>
      <c r="I50" s="49"/>
      <c r="J50" s="49"/>
      <c r="K50" s="49"/>
      <c r="L50" s="54"/>
      <c r="M50" s="54">
        <v>500</v>
      </c>
      <c r="N50" s="55">
        <v>0</v>
      </c>
      <c r="O50" s="55">
        <v>0</v>
      </c>
      <c r="P50" s="55">
        <v>0</v>
      </c>
      <c r="Q50" s="57">
        <v>500</v>
      </c>
      <c r="R50" s="54">
        <v>0</v>
      </c>
      <c r="S50" s="55">
        <v>0</v>
      </c>
      <c r="T50" s="55">
        <v>0</v>
      </c>
      <c r="U50" s="55"/>
      <c r="V50" s="54" t="s">
        <v>131</v>
      </c>
      <c r="W50" s="54"/>
      <c r="X50" s="55"/>
      <c r="Y50" s="55"/>
      <c r="Z50" s="55"/>
      <c r="AA50" s="57" t="s">
        <v>131</v>
      </c>
      <c r="AB50" s="55"/>
      <c r="AC50" s="55"/>
      <c r="AD50" s="55"/>
      <c r="AE50" s="55"/>
      <c r="AF50" s="57"/>
      <c r="AG50" s="55"/>
      <c r="AH50" s="55"/>
      <c r="AI50" s="55"/>
      <c r="AJ50" s="55"/>
      <c r="AK50" s="57"/>
      <c r="AL50" s="55"/>
      <c r="AM50" s="55"/>
      <c r="AN50" s="55"/>
      <c r="AO50" s="55"/>
      <c r="AP50" s="57"/>
      <c r="AQ50" s="55"/>
      <c r="AR50" s="55"/>
      <c r="AS50" s="55"/>
      <c r="AT50" s="55"/>
      <c r="AU50" s="57"/>
      <c r="AV50" s="55"/>
      <c r="AW50" s="55"/>
      <c r="AX50" s="55"/>
      <c r="AY50" s="55"/>
      <c r="AZ50" s="57"/>
      <c r="BA50" s="55"/>
      <c r="BB50" s="55"/>
      <c r="BC50" s="55"/>
      <c r="BD50" s="55"/>
      <c r="BE50" s="57"/>
      <c r="BF50" s="10"/>
      <c r="BG50" s="10"/>
      <c r="BH50" s="10"/>
      <c r="BI50" s="10"/>
      <c r="BJ50" s="10"/>
    </row>
    <row r="51" spans="1:62" ht="9.75" customHeight="1" x14ac:dyDescent="0.15">
      <c r="A51" s="10"/>
      <c r="B51" s="10" t="s">
        <v>217</v>
      </c>
      <c r="C51" s="10"/>
      <c r="D51" s="10"/>
      <c r="E51" s="49"/>
      <c r="F51" s="49"/>
      <c r="G51" s="49"/>
      <c r="H51" s="49"/>
      <c r="I51" s="49"/>
      <c r="J51" s="49"/>
      <c r="K51" s="49"/>
      <c r="L51" s="54"/>
      <c r="M51" s="54">
        <v>-2584.9</v>
      </c>
      <c r="N51" s="55">
        <v>-1672.5</v>
      </c>
      <c r="O51" s="55">
        <v>-71.8</v>
      </c>
      <c r="P51" s="55">
        <f t="shared" ref="P51:P52" si="26">Q51-O51-N51-M51</f>
        <v>-555.59999999999991</v>
      </c>
      <c r="Q51" s="57">
        <v>-4884.8</v>
      </c>
      <c r="R51" s="54">
        <v>-4025.9</v>
      </c>
      <c r="S51" s="55">
        <v>-3387.3</v>
      </c>
      <c r="T51" s="55">
        <v>-259.2</v>
      </c>
      <c r="U51" s="55">
        <f t="shared" ref="U51:U52" si="27">V51-T51-S51-R51</f>
        <v>-1552.8999999999983</v>
      </c>
      <c r="V51" s="54">
        <v>-9225.2999999999993</v>
      </c>
      <c r="W51" s="54">
        <v>-4351.2</v>
      </c>
      <c r="X51" s="55">
        <v>-3973.3</v>
      </c>
      <c r="Y51" s="55">
        <v>-4593.6000000000004</v>
      </c>
      <c r="Z51" s="55">
        <f t="shared" ref="Z51:Z52" si="28">AA51-Y51-X51-W51</f>
        <v>-957.29999999999927</v>
      </c>
      <c r="AA51" s="57">
        <v>-13875.4</v>
      </c>
      <c r="AB51" s="55">
        <v>-3071.3</v>
      </c>
      <c r="AC51" s="55">
        <v>-2937.1</v>
      </c>
      <c r="AD51" s="55">
        <v>-10752.8</v>
      </c>
      <c r="AE51" s="55"/>
      <c r="AF51" s="57"/>
      <c r="AG51" s="55"/>
      <c r="AH51" s="55"/>
      <c r="AI51" s="55"/>
      <c r="AJ51" s="55"/>
      <c r="AK51" s="57"/>
      <c r="AL51" s="55"/>
      <c r="AM51" s="55"/>
      <c r="AN51" s="55"/>
      <c r="AO51" s="55"/>
      <c r="AP51" s="57"/>
      <c r="AQ51" s="55"/>
      <c r="AR51" s="55"/>
      <c r="AS51" s="55"/>
      <c r="AT51" s="55"/>
      <c r="AU51" s="57"/>
      <c r="AV51" s="55"/>
      <c r="AW51" s="55"/>
      <c r="AX51" s="55"/>
      <c r="AY51" s="55"/>
      <c r="AZ51" s="57"/>
      <c r="BA51" s="55"/>
      <c r="BB51" s="55"/>
      <c r="BC51" s="55"/>
      <c r="BD51" s="55"/>
      <c r="BE51" s="57"/>
      <c r="BF51" s="10"/>
      <c r="BG51" s="10"/>
      <c r="BH51" s="10"/>
      <c r="BI51" s="10"/>
      <c r="BJ51" s="10"/>
    </row>
    <row r="52" spans="1:62" ht="9.75" customHeight="1" x14ac:dyDescent="0.15">
      <c r="A52" s="10"/>
      <c r="B52" s="10" t="s">
        <v>218</v>
      </c>
      <c r="C52" s="10"/>
      <c r="D52" s="10"/>
      <c r="E52" s="49"/>
      <c r="F52" s="49"/>
      <c r="G52" s="49"/>
      <c r="H52" s="49"/>
      <c r="I52" s="49"/>
      <c r="J52" s="49"/>
      <c r="K52" s="49"/>
      <c r="L52" s="54"/>
      <c r="M52" s="54">
        <v>-0.3</v>
      </c>
      <c r="N52" s="55">
        <v>-13.6</v>
      </c>
      <c r="O52" s="55">
        <v>-0.4</v>
      </c>
      <c r="P52" s="55">
        <f t="shared" si="26"/>
        <v>-0.10000000000000037</v>
      </c>
      <c r="Q52" s="57">
        <v>-14.4</v>
      </c>
      <c r="R52" s="54">
        <v>-13.8</v>
      </c>
      <c r="S52" s="55">
        <v>0</v>
      </c>
      <c r="T52" s="55">
        <v>-2.4</v>
      </c>
      <c r="U52" s="55">
        <f t="shared" si="27"/>
        <v>4.4000000000000004</v>
      </c>
      <c r="V52" s="54">
        <v>-11.8</v>
      </c>
      <c r="W52" s="54">
        <v>-13.5</v>
      </c>
      <c r="X52" s="55">
        <v>-0.1</v>
      </c>
      <c r="Y52" s="55">
        <v>-0.2</v>
      </c>
      <c r="Z52" s="55">
        <f t="shared" si="28"/>
        <v>1.4999999999999982</v>
      </c>
      <c r="AA52" s="57">
        <v>-12.3</v>
      </c>
      <c r="AB52" s="55">
        <v>-8.1</v>
      </c>
      <c r="AC52" s="55">
        <v>-217.6</v>
      </c>
      <c r="AD52" s="55">
        <v>-223.1</v>
      </c>
      <c r="AE52" s="55"/>
      <c r="AF52" s="57"/>
      <c r="AG52" s="55"/>
      <c r="AH52" s="55"/>
      <c r="AI52" s="55"/>
      <c r="AJ52" s="55"/>
      <c r="AK52" s="57"/>
      <c r="AL52" s="55"/>
      <c r="AM52" s="55"/>
      <c r="AN52" s="55"/>
      <c r="AO52" s="55"/>
      <c r="AP52" s="57"/>
      <c r="AQ52" s="55"/>
      <c r="AR52" s="55"/>
      <c r="AS52" s="55"/>
      <c r="AT52" s="55"/>
      <c r="AU52" s="57"/>
      <c r="AV52" s="55"/>
      <c r="AW52" s="55"/>
      <c r="AX52" s="55"/>
      <c r="AY52" s="55"/>
      <c r="AZ52" s="57"/>
      <c r="BA52" s="55"/>
      <c r="BB52" s="55"/>
      <c r="BC52" s="55"/>
      <c r="BD52" s="55"/>
      <c r="BE52" s="57"/>
      <c r="BF52" s="10"/>
      <c r="BG52" s="10"/>
      <c r="BH52" s="10"/>
      <c r="BI52" s="10"/>
      <c r="BJ52" s="10"/>
    </row>
    <row r="53" spans="1:62" ht="9.75" customHeight="1" x14ac:dyDescent="0.15">
      <c r="A53" s="10"/>
      <c r="B53" s="10" t="s">
        <v>219</v>
      </c>
      <c r="C53" s="10"/>
      <c r="D53" s="10"/>
      <c r="E53" s="49"/>
      <c r="F53" s="49"/>
      <c r="G53" s="49"/>
      <c r="H53" s="49"/>
      <c r="I53" s="49"/>
      <c r="J53" s="49"/>
      <c r="K53" s="49"/>
      <c r="L53" s="54"/>
      <c r="M53" s="54"/>
      <c r="N53" s="55"/>
      <c r="O53" s="55"/>
      <c r="P53" s="55"/>
      <c r="Q53" s="57"/>
      <c r="R53" s="54"/>
      <c r="S53" s="55"/>
      <c r="T53" s="55"/>
      <c r="U53" s="55"/>
      <c r="V53" s="54"/>
      <c r="W53" s="54"/>
      <c r="X53" s="55"/>
      <c r="Y53" s="55"/>
      <c r="Z53" s="55"/>
      <c r="AA53" s="57"/>
      <c r="AB53" s="55"/>
      <c r="AC53" s="55"/>
      <c r="AD53" s="55">
        <v>3078.2</v>
      </c>
      <c r="AE53" s="55"/>
      <c r="AF53" s="57"/>
      <c r="AG53" s="55"/>
      <c r="AH53" s="55"/>
      <c r="AI53" s="55"/>
      <c r="AJ53" s="55"/>
      <c r="AK53" s="57"/>
      <c r="AL53" s="55"/>
      <c r="AM53" s="55"/>
      <c r="AN53" s="55"/>
      <c r="AO53" s="55"/>
      <c r="AP53" s="57"/>
      <c r="AQ53" s="55"/>
      <c r="AR53" s="55"/>
      <c r="AS53" s="55"/>
      <c r="AT53" s="55"/>
      <c r="AU53" s="57"/>
      <c r="AV53" s="55"/>
      <c r="AW53" s="55"/>
      <c r="AX53" s="55"/>
      <c r="AY53" s="55"/>
      <c r="AZ53" s="57"/>
      <c r="BA53" s="55"/>
      <c r="BB53" s="55"/>
      <c r="BC53" s="55"/>
      <c r="BD53" s="55"/>
      <c r="BE53" s="57"/>
      <c r="BF53" s="10"/>
      <c r="BG53" s="10"/>
      <c r="BH53" s="10"/>
      <c r="BI53" s="10"/>
      <c r="BJ53" s="10"/>
    </row>
    <row r="54" spans="1:62" ht="9.75" customHeight="1" x14ac:dyDescent="0.15">
      <c r="A54" s="10"/>
      <c r="B54" s="10" t="s">
        <v>220</v>
      </c>
      <c r="C54" s="10"/>
      <c r="D54" s="10"/>
      <c r="E54" s="49"/>
      <c r="F54" s="49"/>
      <c r="G54" s="49"/>
      <c r="H54" s="49"/>
      <c r="I54" s="49"/>
      <c r="J54" s="49"/>
      <c r="K54" s="49"/>
      <c r="L54" s="54"/>
      <c r="M54" s="54">
        <v>0</v>
      </c>
      <c r="N54" s="55">
        <v>-98.6</v>
      </c>
      <c r="O54" s="55">
        <v>-82.6</v>
      </c>
      <c r="P54" s="55">
        <f t="shared" ref="P54:P56" si="29">Q54-O54-N54-M54</f>
        <v>-51.600000000000023</v>
      </c>
      <c r="Q54" s="57">
        <v>-232.8</v>
      </c>
      <c r="R54" s="54"/>
      <c r="S54" s="55">
        <v>0</v>
      </c>
      <c r="T54" s="55">
        <v>0</v>
      </c>
      <c r="U54" s="55"/>
      <c r="V54" s="54">
        <v>-19.600000000000001</v>
      </c>
      <c r="W54" s="54">
        <v>-39.700000000000003</v>
      </c>
      <c r="X54" s="55">
        <v>-16.3</v>
      </c>
      <c r="Y54" s="55">
        <v>0</v>
      </c>
      <c r="Z54" s="55">
        <f t="shared" ref="Z54:Z56" si="30">AA54-Y54-X54-W54</f>
        <v>0</v>
      </c>
      <c r="AA54" s="57">
        <v>-56</v>
      </c>
      <c r="AB54" s="55">
        <v>0</v>
      </c>
      <c r="AC54" s="55">
        <v>0</v>
      </c>
      <c r="AD54" s="55">
        <v>0</v>
      </c>
      <c r="AE54" s="55"/>
      <c r="AF54" s="57"/>
      <c r="AG54" s="55"/>
      <c r="AH54" s="55"/>
      <c r="AI54" s="55"/>
      <c r="AJ54" s="55"/>
      <c r="AK54" s="57"/>
      <c r="AL54" s="55"/>
      <c r="AM54" s="55"/>
      <c r="AN54" s="55"/>
      <c r="AO54" s="55"/>
      <c r="AP54" s="57"/>
      <c r="AQ54" s="55"/>
      <c r="AR54" s="55"/>
      <c r="AS54" s="55"/>
      <c r="AT54" s="55"/>
      <c r="AU54" s="57"/>
      <c r="AV54" s="55"/>
      <c r="AW54" s="55"/>
      <c r="AX54" s="55"/>
      <c r="AY54" s="55"/>
      <c r="AZ54" s="57"/>
      <c r="BA54" s="55"/>
      <c r="BB54" s="55"/>
      <c r="BC54" s="55"/>
      <c r="BD54" s="55"/>
      <c r="BE54" s="57"/>
      <c r="BF54" s="10"/>
      <c r="BG54" s="10"/>
      <c r="BH54" s="10"/>
      <c r="BI54" s="10"/>
      <c r="BJ54" s="10"/>
    </row>
    <row r="55" spans="1:62" ht="9.75" customHeight="1" x14ac:dyDescent="0.15">
      <c r="A55" s="10"/>
      <c r="B55" s="10" t="s">
        <v>221</v>
      </c>
      <c r="C55" s="10"/>
      <c r="D55" s="10"/>
      <c r="E55" s="49"/>
      <c r="F55" s="49"/>
      <c r="G55" s="49"/>
      <c r="H55" s="49"/>
      <c r="I55" s="49"/>
      <c r="J55" s="49"/>
      <c r="K55" s="49"/>
      <c r="L55" s="54"/>
      <c r="M55" s="54">
        <v>20</v>
      </c>
      <c r="N55" s="55">
        <v>20.2</v>
      </c>
      <c r="O55" s="55">
        <v>13.9</v>
      </c>
      <c r="P55" s="55">
        <f t="shared" si="29"/>
        <v>44.8</v>
      </c>
      <c r="Q55" s="57">
        <v>98.9</v>
      </c>
      <c r="R55" s="54">
        <v>27.2</v>
      </c>
      <c r="S55" s="55">
        <v>29.4</v>
      </c>
      <c r="T55" s="55">
        <v>36.1</v>
      </c>
      <c r="U55" s="55">
        <f t="shared" ref="U55:U56" si="31">V55-T55-S55-R55</f>
        <v>12.800000000000008</v>
      </c>
      <c r="V55" s="54">
        <v>105.5</v>
      </c>
      <c r="W55" s="54">
        <v>11.1</v>
      </c>
      <c r="X55" s="55">
        <v>23.2</v>
      </c>
      <c r="Y55" s="55">
        <v>48.2</v>
      </c>
      <c r="Z55" s="55">
        <f t="shared" si="30"/>
        <v>15.599999999999993</v>
      </c>
      <c r="AA55" s="57">
        <v>98.1</v>
      </c>
      <c r="AB55" s="55">
        <v>1.9</v>
      </c>
      <c r="AC55" s="55">
        <v>24.7</v>
      </c>
      <c r="AD55" s="55">
        <v>60.4</v>
      </c>
      <c r="AE55" s="55"/>
      <c r="AF55" s="57"/>
      <c r="AG55" s="55"/>
      <c r="AH55" s="55"/>
      <c r="AI55" s="55"/>
      <c r="AJ55" s="55"/>
      <c r="AK55" s="57"/>
      <c r="AL55" s="55"/>
      <c r="AM55" s="55"/>
      <c r="AN55" s="55"/>
      <c r="AO55" s="55"/>
      <c r="AP55" s="57"/>
      <c r="AQ55" s="55"/>
      <c r="AR55" s="55"/>
      <c r="AS55" s="55"/>
      <c r="AT55" s="55"/>
      <c r="AU55" s="57"/>
      <c r="AV55" s="55"/>
      <c r="AW55" s="55"/>
      <c r="AX55" s="55"/>
      <c r="AY55" s="55"/>
      <c r="AZ55" s="57"/>
      <c r="BA55" s="55"/>
      <c r="BB55" s="55"/>
      <c r="BC55" s="55"/>
      <c r="BD55" s="55"/>
      <c r="BE55" s="57"/>
      <c r="BF55" s="10"/>
      <c r="BG55" s="10"/>
      <c r="BH55" s="10"/>
      <c r="BI55" s="10"/>
      <c r="BJ55" s="10"/>
    </row>
    <row r="56" spans="1:62" ht="9.75" customHeight="1" x14ac:dyDescent="0.15">
      <c r="A56" s="10"/>
      <c r="B56" s="10" t="s">
        <v>222</v>
      </c>
      <c r="C56" s="10"/>
      <c r="D56" s="10"/>
      <c r="E56" s="49"/>
      <c r="F56" s="49"/>
      <c r="G56" s="49"/>
      <c r="H56" s="49"/>
      <c r="I56" s="49"/>
      <c r="J56" s="49"/>
      <c r="K56" s="49"/>
      <c r="L56" s="54"/>
      <c r="M56" s="54">
        <v>-304.3</v>
      </c>
      <c r="N56" s="55">
        <v>331.3</v>
      </c>
      <c r="O56" s="55">
        <v>-339.5</v>
      </c>
      <c r="P56" s="55">
        <f t="shared" si="29"/>
        <v>-1011</v>
      </c>
      <c r="Q56" s="57">
        <v>-1323.5</v>
      </c>
      <c r="R56" s="54">
        <v>-377.1</v>
      </c>
      <c r="S56" s="55">
        <v>-398</v>
      </c>
      <c r="T56" s="55">
        <v>-407.1</v>
      </c>
      <c r="U56" s="55">
        <f t="shared" si="31"/>
        <v>-420.80000000000007</v>
      </c>
      <c r="V56" s="54">
        <v>-1603</v>
      </c>
      <c r="W56" s="54">
        <v>-454.9</v>
      </c>
      <c r="X56" s="55">
        <v>-478.9</v>
      </c>
      <c r="Y56" s="55">
        <v>-488</v>
      </c>
      <c r="Z56" s="55">
        <f t="shared" si="30"/>
        <v>-506.40000000000009</v>
      </c>
      <c r="AA56" s="57">
        <v>-1928.2</v>
      </c>
      <c r="AB56" s="55">
        <v>-544.9</v>
      </c>
      <c r="AC56" s="55">
        <v>-551.5</v>
      </c>
      <c r="AD56" s="55">
        <v>-1674.4</v>
      </c>
      <c r="AE56" s="55"/>
      <c r="AF56" s="57"/>
      <c r="AG56" s="55"/>
      <c r="AH56" s="55"/>
      <c r="AI56" s="55"/>
      <c r="AJ56" s="55"/>
      <c r="AK56" s="57"/>
      <c r="AL56" s="55"/>
      <c r="AM56" s="55"/>
      <c r="AN56" s="55"/>
      <c r="AO56" s="55"/>
      <c r="AP56" s="57"/>
      <c r="AQ56" s="55"/>
      <c r="AR56" s="55"/>
      <c r="AS56" s="55"/>
      <c r="AT56" s="55"/>
      <c r="AU56" s="57"/>
      <c r="AV56" s="55"/>
      <c r="AW56" s="55"/>
      <c r="AX56" s="55"/>
      <c r="AY56" s="55"/>
      <c r="AZ56" s="57"/>
      <c r="BA56" s="55"/>
      <c r="BB56" s="55"/>
      <c r="BC56" s="55"/>
      <c r="BD56" s="55"/>
      <c r="BE56" s="57"/>
      <c r="BF56" s="10"/>
      <c r="BG56" s="10"/>
      <c r="BH56" s="10"/>
      <c r="BI56" s="10"/>
      <c r="BJ56" s="10"/>
    </row>
    <row r="57" spans="1:62" ht="9.75" customHeight="1" x14ac:dyDescent="0.15">
      <c r="A57" s="10"/>
      <c r="B57" s="10" t="s">
        <v>223</v>
      </c>
      <c r="C57" s="10"/>
      <c r="D57" s="10"/>
      <c r="E57" s="49"/>
      <c r="F57" s="49"/>
      <c r="G57" s="49"/>
      <c r="H57" s="49"/>
      <c r="I57" s="49"/>
      <c r="J57" s="49"/>
      <c r="K57" s="49"/>
      <c r="L57" s="54"/>
      <c r="M57" s="54"/>
      <c r="N57" s="55"/>
      <c r="O57" s="55"/>
      <c r="P57" s="55"/>
      <c r="Q57" s="57"/>
      <c r="R57" s="54"/>
      <c r="S57" s="55"/>
      <c r="T57" s="55"/>
      <c r="U57" s="55"/>
      <c r="V57" s="54"/>
      <c r="W57" s="54"/>
      <c r="X57" s="55"/>
      <c r="Y57" s="55"/>
      <c r="Z57" s="55"/>
      <c r="AA57" s="57"/>
      <c r="AB57" s="55"/>
      <c r="AC57" s="55">
        <v>2361.8000000000002</v>
      </c>
      <c r="AD57" s="55">
        <v>0</v>
      </c>
      <c r="AE57" s="55"/>
      <c r="AF57" s="57"/>
      <c r="AG57" s="55"/>
      <c r="AH57" s="55"/>
      <c r="AI57" s="55"/>
      <c r="AJ57" s="55"/>
      <c r="AK57" s="57"/>
      <c r="AL57" s="55"/>
      <c r="AM57" s="55"/>
      <c r="AN57" s="55"/>
      <c r="AO57" s="55"/>
      <c r="AP57" s="57"/>
      <c r="AQ57" s="55"/>
      <c r="AR57" s="55"/>
      <c r="AS57" s="55"/>
      <c r="AT57" s="55"/>
      <c r="AU57" s="57"/>
      <c r="AV57" s="55"/>
      <c r="AW57" s="55"/>
      <c r="AX57" s="55"/>
      <c r="AY57" s="55"/>
      <c r="AZ57" s="57"/>
      <c r="BA57" s="55"/>
      <c r="BB57" s="55"/>
      <c r="BC57" s="55"/>
      <c r="BD57" s="55"/>
      <c r="BE57" s="57"/>
      <c r="BF57" s="10"/>
      <c r="BG57" s="10"/>
      <c r="BH57" s="10"/>
      <c r="BI57" s="10"/>
      <c r="BJ57" s="10"/>
    </row>
    <row r="58" spans="1:62" ht="10.5" customHeight="1" x14ac:dyDescent="0.15">
      <c r="A58" s="10"/>
      <c r="B58" s="10" t="s">
        <v>224</v>
      </c>
      <c r="C58" s="10"/>
      <c r="D58" s="10"/>
      <c r="E58" s="49"/>
      <c r="F58" s="49"/>
      <c r="G58" s="49"/>
      <c r="H58" s="49"/>
      <c r="I58" s="49"/>
      <c r="J58" s="49"/>
      <c r="K58" s="49"/>
      <c r="L58" s="50"/>
      <c r="M58" s="54">
        <v>-18.899999999999999</v>
      </c>
      <c r="N58" s="49">
        <v>0</v>
      </c>
      <c r="O58" s="49">
        <v>0</v>
      </c>
      <c r="P58" s="49">
        <v>0</v>
      </c>
      <c r="Q58" s="57">
        <v>-18.899999999999999</v>
      </c>
      <c r="R58" s="54">
        <v>0</v>
      </c>
      <c r="S58" s="55">
        <v>0</v>
      </c>
      <c r="T58" s="55">
        <v>0</v>
      </c>
      <c r="U58" s="55"/>
      <c r="V58" s="54"/>
      <c r="W58" s="54"/>
      <c r="X58" s="55"/>
      <c r="Y58" s="55"/>
      <c r="Z58" s="55"/>
      <c r="AA58" s="57"/>
      <c r="AB58" s="49"/>
      <c r="AC58" s="49"/>
      <c r="AD58" s="49"/>
      <c r="AE58" s="49"/>
      <c r="AF58" s="51"/>
      <c r="AG58" s="49"/>
      <c r="AH58" s="49"/>
      <c r="AI58" s="49"/>
      <c r="AJ58" s="49"/>
      <c r="AK58" s="51"/>
      <c r="AL58" s="49"/>
      <c r="AM58" s="49"/>
      <c r="AN58" s="49"/>
      <c r="AO58" s="49"/>
      <c r="AP58" s="51"/>
      <c r="AQ58" s="49"/>
      <c r="AR58" s="49"/>
      <c r="AS58" s="49"/>
      <c r="AT58" s="49"/>
      <c r="AU58" s="51"/>
      <c r="AV58" s="49"/>
      <c r="AW58" s="49"/>
      <c r="AX58" s="49"/>
      <c r="AY58" s="49"/>
      <c r="AZ58" s="51"/>
      <c r="BA58" s="49"/>
      <c r="BB58" s="49"/>
      <c r="BC58" s="49"/>
      <c r="BD58" s="49"/>
      <c r="BE58" s="51"/>
      <c r="BF58" s="10"/>
      <c r="BG58" s="10"/>
      <c r="BH58" s="10"/>
      <c r="BI58" s="10"/>
      <c r="BJ58" s="10"/>
    </row>
    <row r="59" spans="1:62" ht="10.5" customHeight="1" x14ac:dyDescent="0.15">
      <c r="A59" s="10"/>
      <c r="B59" s="444" t="s">
        <v>225</v>
      </c>
      <c r="C59" s="445"/>
      <c r="D59" s="445"/>
      <c r="E59" s="49"/>
      <c r="F59" s="49"/>
      <c r="G59" s="49"/>
      <c r="H59" s="49"/>
      <c r="I59" s="49"/>
      <c r="J59" s="49"/>
      <c r="K59" s="49"/>
      <c r="L59" s="50"/>
      <c r="M59" s="54">
        <v>0</v>
      </c>
      <c r="N59" s="49">
        <v>0</v>
      </c>
      <c r="O59" s="49">
        <v>0</v>
      </c>
      <c r="P59" s="49">
        <v>-3</v>
      </c>
      <c r="Q59" s="57">
        <v>-3.3</v>
      </c>
      <c r="R59" s="54"/>
      <c r="S59" s="55">
        <v>-21</v>
      </c>
      <c r="T59" s="55">
        <v>0</v>
      </c>
      <c r="U59" s="55">
        <f t="shared" ref="U59:U63" si="32">V59-T59-S59-R59</f>
        <v>0</v>
      </c>
      <c r="V59" s="54">
        <v>-21</v>
      </c>
      <c r="W59" s="54">
        <v>-33.5</v>
      </c>
      <c r="X59" s="55">
        <v>0</v>
      </c>
      <c r="Y59" s="55">
        <v>-34.700000000000003</v>
      </c>
      <c r="Z59" s="55">
        <f t="shared" ref="Z59:Z61" si="33">AA59-Y59-X59-W59</f>
        <v>0</v>
      </c>
      <c r="AA59" s="57">
        <v>-68.2</v>
      </c>
      <c r="AB59" s="49">
        <v>-61.9</v>
      </c>
      <c r="AC59" s="49">
        <v>0</v>
      </c>
      <c r="AD59" s="205">
        <v>0</v>
      </c>
      <c r="AE59" s="49"/>
      <c r="AF59" s="51"/>
      <c r="AG59" s="49"/>
      <c r="AH59" s="49"/>
      <c r="AI59" s="49"/>
      <c r="AJ59" s="49"/>
      <c r="AK59" s="51"/>
      <c r="AL59" s="49"/>
      <c r="AM59" s="49"/>
      <c r="AN59" s="49"/>
      <c r="AO59" s="49"/>
      <c r="AP59" s="51"/>
      <c r="AQ59" s="49"/>
      <c r="AR59" s="49"/>
      <c r="AS59" s="49"/>
      <c r="AT59" s="49"/>
      <c r="AU59" s="51"/>
      <c r="AV59" s="49"/>
      <c r="AW59" s="49"/>
      <c r="AX59" s="49"/>
      <c r="AY59" s="49"/>
      <c r="AZ59" s="51"/>
      <c r="BA59" s="49"/>
      <c r="BB59" s="49"/>
      <c r="BC59" s="49"/>
      <c r="BD59" s="49"/>
      <c r="BE59" s="51"/>
      <c r="BF59" s="10"/>
      <c r="BG59" s="10"/>
      <c r="BH59" s="10"/>
      <c r="BI59" s="10"/>
      <c r="BJ59" s="10"/>
    </row>
    <row r="60" spans="1:62" ht="10.5" customHeight="1" x14ac:dyDescent="0.15">
      <c r="A60" s="10"/>
      <c r="B60" s="444" t="s">
        <v>226</v>
      </c>
      <c r="C60" s="445"/>
      <c r="D60" s="445"/>
      <c r="E60" s="49"/>
      <c r="F60" s="49"/>
      <c r="G60" s="49"/>
      <c r="H60" s="49"/>
      <c r="I60" s="49"/>
      <c r="J60" s="49"/>
      <c r="K60" s="49"/>
      <c r="L60" s="50"/>
      <c r="M60" s="54">
        <v>-42.6</v>
      </c>
      <c r="N60" s="49">
        <v>-12.5</v>
      </c>
      <c r="O60" s="49">
        <v>7.7</v>
      </c>
      <c r="P60" s="49">
        <f>Q60-O60-N60-M60</f>
        <v>-9.1999999999999957</v>
      </c>
      <c r="Q60" s="57">
        <v>-56.6</v>
      </c>
      <c r="R60" s="54">
        <v>-76.7</v>
      </c>
      <c r="S60" s="55">
        <v>-28</v>
      </c>
      <c r="T60" s="55">
        <v>-9.4</v>
      </c>
      <c r="U60" s="55">
        <f t="shared" si="32"/>
        <v>-21.499999999999986</v>
      </c>
      <c r="V60" s="54">
        <v>-135.6</v>
      </c>
      <c r="W60" s="54">
        <v>-88.2</v>
      </c>
      <c r="X60" s="55">
        <v>-35.4</v>
      </c>
      <c r="Y60" s="55">
        <v>-28.5</v>
      </c>
      <c r="Z60" s="55">
        <f t="shared" si="33"/>
        <v>-24.399999999999991</v>
      </c>
      <c r="AA60" s="57">
        <v>-176.5</v>
      </c>
      <c r="AB60" s="49">
        <v>-61.3</v>
      </c>
      <c r="AC60" s="49">
        <v>32</v>
      </c>
      <c r="AD60" s="205">
        <v>-126.2</v>
      </c>
      <c r="AE60" s="49"/>
      <c r="AF60" s="51"/>
      <c r="AG60" s="49"/>
      <c r="AH60" s="49"/>
      <c r="AI60" s="49"/>
      <c r="AJ60" s="49"/>
      <c r="AK60" s="51"/>
      <c r="AL60" s="49"/>
      <c r="AM60" s="49"/>
      <c r="AN60" s="49"/>
      <c r="AO60" s="49"/>
      <c r="AP60" s="51"/>
      <c r="AQ60" s="49"/>
      <c r="AR60" s="49"/>
      <c r="AS60" s="49"/>
      <c r="AT60" s="49"/>
      <c r="AU60" s="51"/>
      <c r="AV60" s="49"/>
      <c r="AW60" s="49"/>
      <c r="AX60" s="49"/>
      <c r="AY60" s="49"/>
      <c r="AZ60" s="51"/>
      <c r="BA60" s="49"/>
      <c r="BB60" s="49"/>
      <c r="BC60" s="49"/>
      <c r="BD60" s="49"/>
      <c r="BE60" s="51"/>
      <c r="BF60" s="10"/>
      <c r="BG60" s="10"/>
      <c r="BH60" s="10"/>
      <c r="BI60" s="10"/>
      <c r="BJ60" s="10"/>
    </row>
    <row r="61" spans="1:62" ht="10.5" customHeight="1" x14ac:dyDescent="0.15">
      <c r="A61" s="10"/>
      <c r="B61" s="444" t="s">
        <v>227</v>
      </c>
      <c r="C61" s="445"/>
      <c r="D61" s="445"/>
      <c r="E61" s="49"/>
      <c r="F61" s="49"/>
      <c r="G61" s="49"/>
      <c r="H61" s="49"/>
      <c r="I61" s="49"/>
      <c r="J61" s="49"/>
      <c r="K61" s="49"/>
      <c r="L61" s="50"/>
      <c r="M61" s="50"/>
      <c r="N61" s="49"/>
      <c r="O61" s="49">
        <v>0</v>
      </c>
      <c r="P61" s="49"/>
      <c r="Q61" s="57" t="s">
        <v>131</v>
      </c>
      <c r="R61" s="54">
        <v>-425.7</v>
      </c>
      <c r="S61" s="55">
        <v>0</v>
      </c>
      <c r="T61" s="55">
        <v>0</v>
      </c>
      <c r="U61" s="55">
        <f t="shared" si="32"/>
        <v>0</v>
      </c>
      <c r="V61" s="54">
        <v>-425.7</v>
      </c>
      <c r="W61" s="54">
        <v>-524.4</v>
      </c>
      <c r="X61" s="55">
        <v>0</v>
      </c>
      <c r="Y61" s="55">
        <v>0</v>
      </c>
      <c r="Z61" s="55">
        <f t="shared" si="33"/>
        <v>-337.30000000000007</v>
      </c>
      <c r="AA61" s="57">
        <v>-861.7</v>
      </c>
      <c r="AB61" s="49">
        <v>-2.5</v>
      </c>
      <c r="AC61" s="49">
        <v>0</v>
      </c>
      <c r="AD61" s="205">
        <v>-2.5</v>
      </c>
      <c r="AE61" s="49"/>
      <c r="AF61" s="51"/>
      <c r="AG61" s="49"/>
      <c r="AH61" s="49"/>
      <c r="AI61" s="49"/>
      <c r="AJ61" s="49"/>
      <c r="AK61" s="51"/>
      <c r="AL61" s="49"/>
      <c r="AM61" s="49"/>
      <c r="AN61" s="49"/>
      <c r="AO61" s="49"/>
      <c r="AP61" s="51"/>
      <c r="AQ61" s="49"/>
      <c r="AR61" s="49"/>
      <c r="AS61" s="49"/>
      <c r="AT61" s="49"/>
      <c r="AU61" s="51"/>
      <c r="AV61" s="49"/>
      <c r="AW61" s="49"/>
      <c r="AX61" s="49"/>
      <c r="AY61" s="49"/>
      <c r="AZ61" s="51"/>
      <c r="BA61" s="49"/>
      <c r="BB61" s="49"/>
      <c r="BC61" s="49"/>
      <c r="BD61" s="49"/>
      <c r="BE61" s="51"/>
      <c r="BF61" s="10"/>
      <c r="BG61" s="10"/>
      <c r="BH61" s="10"/>
      <c r="BI61" s="10"/>
      <c r="BJ61" s="10"/>
    </row>
    <row r="62" spans="1:62" ht="10.5" customHeight="1" x14ac:dyDescent="0.15">
      <c r="A62" s="10"/>
      <c r="B62" s="446" t="s">
        <v>228</v>
      </c>
      <c r="C62" s="447"/>
      <c r="D62" s="447"/>
      <c r="E62" s="49"/>
      <c r="F62" s="49"/>
      <c r="G62" s="49"/>
      <c r="H62" s="49"/>
      <c r="I62" s="49"/>
      <c r="J62" s="49"/>
      <c r="K62" s="49"/>
      <c r="L62" s="50"/>
      <c r="M62" s="50"/>
      <c r="N62" s="49">
        <v>-20.5</v>
      </c>
      <c r="O62" s="49">
        <v>0</v>
      </c>
      <c r="P62" s="49">
        <f t="shared" ref="P62:P63" si="34">Q62-O62-N62-M62</f>
        <v>0</v>
      </c>
      <c r="Q62" s="57">
        <v>-20.5</v>
      </c>
      <c r="R62" s="54"/>
      <c r="S62" s="55"/>
      <c r="T62" s="55">
        <v>0</v>
      </c>
      <c r="U62" s="55">
        <f t="shared" si="32"/>
        <v>-68.5</v>
      </c>
      <c r="V62" s="54">
        <v>-68.5</v>
      </c>
      <c r="W62" s="54"/>
      <c r="X62" s="55"/>
      <c r="Y62" s="55"/>
      <c r="Z62" s="55"/>
      <c r="AA62" s="57" t="s">
        <v>131</v>
      </c>
      <c r="AB62" s="49"/>
      <c r="AC62" s="49"/>
      <c r="AD62" s="49"/>
      <c r="AE62" s="49"/>
      <c r="AF62" s="51"/>
      <c r="AG62" s="49"/>
      <c r="AH62" s="49"/>
      <c r="AI62" s="49"/>
      <c r="AJ62" s="49"/>
      <c r="AK62" s="51"/>
      <c r="AL62" s="49"/>
      <c r="AM62" s="49"/>
      <c r="AN62" s="49"/>
      <c r="AO62" s="49"/>
      <c r="AP62" s="51"/>
      <c r="AQ62" s="49"/>
      <c r="AR62" s="49"/>
      <c r="AS62" s="49"/>
      <c r="AT62" s="49"/>
      <c r="AU62" s="51"/>
      <c r="AV62" s="49"/>
      <c r="AW62" s="49"/>
      <c r="AX62" s="49"/>
      <c r="AY62" s="49"/>
      <c r="AZ62" s="51"/>
      <c r="BA62" s="49"/>
      <c r="BB62" s="49"/>
      <c r="BC62" s="49"/>
      <c r="BD62" s="49"/>
      <c r="BE62" s="51"/>
      <c r="BF62" s="10"/>
      <c r="BG62" s="10"/>
      <c r="BH62" s="10"/>
      <c r="BI62" s="10"/>
      <c r="BJ62" s="10"/>
    </row>
    <row r="63" spans="1:62" ht="9.75" customHeight="1" x14ac:dyDescent="0.15">
      <c r="A63" s="10"/>
      <c r="B63" s="68" t="s">
        <v>229</v>
      </c>
      <c r="C63" s="69"/>
      <c r="D63" s="71"/>
      <c r="E63" s="70"/>
      <c r="F63" s="70"/>
      <c r="G63" s="76"/>
      <c r="H63" s="70"/>
      <c r="I63" s="70"/>
      <c r="J63" s="70"/>
      <c r="K63" s="70"/>
      <c r="L63" s="71">
        <f>SUM(L47:L56)</f>
        <v>0</v>
      </c>
      <c r="M63" s="198">
        <f>SUM(M47:M60)</f>
        <v>817.30000000000018</v>
      </c>
      <c r="N63" s="199">
        <v>-628.9</v>
      </c>
      <c r="O63" s="199">
        <v>-222.7</v>
      </c>
      <c r="P63" s="199">
        <f t="shared" si="34"/>
        <v>-573.39999999999964</v>
      </c>
      <c r="Q63" s="75">
        <f t="shared" ref="Q63:T63" si="35">SUM(Q47:Q62)</f>
        <v>-607.69999999999948</v>
      </c>
      <c r="R63" s="200">
        <f t="shared" si="35"/>
        <v>-650.39999999999975</v>
      </c>
      <c r="S63" s="201">
        <f t="shared" si="35"/>
        <v>-596.8000000000003</v>
      </c>
      <c r="T63" s="201">
        <f t="shared" si="35"/>
        <v>38.000000000000036</v>
      </c>
      <c r="U63" s="201">
        <f t="shared" si="32"/>
        <v>1730.9000000000015</v>
      </c>
      <c r="V63" s="72">
        <f>SUM(V47:V62)</f>
        <v>521.70000000000141</v>
      </c>
      <c r="W63" s="200">
        <f t="shared" ref="W63:Y63" si="36">SUM(W47:W61)</f>
        <v>-605.99999999999955</v>
      </c>
      <c r="X63" s="201">
        <f t="shared" si="36"/>
        <v>99.199999999999903</v>
      </c>
      <c r="Y63" s="201">
        <f t="shared" si="36"/>
        <v>-1012.6000000000006</v>
      </c>
      <c r="Z63" s="201">
        <f>AA63-Y63-X63-W63</f>
        <v>2734.7000000000012</v>
      </c>
      <c r="AA63" s="75">
        <f>SUM(AA47:AA62)</f>
        <v>1215.3000000000009</v>
      </c>
      <c r="AB63" s="77">
        <f>SUM(AB47:AB61)</f>
        <v>-480.00000000000023</v>
      </c>
      <c r="AC63" s="77">
        <f>SUM(AC47:AC62)</f>
        <v>8131</v>
      </c>
      <c r="AD63" s="77">
        <v>8282.7999999999975</v>
      </c>
      <c r="AE63" s="77">
        <f t="shared" ref="AE63:BE63" si="37">SUM(AE47:AE56)</f>
        <v>0</v>
      </c>
      <c r="AF63" s="77">
        <f t="shared" si="37"/>
        <v>0</v>
      </c>
      <c r="AG63" s="77">
        <f t="shared" si="37"/>
        <v>0</v>
      </c>
      <c r="AH63" s="77">
        <f t="shared" si="37"/>
        <v>0</v>
      </c>
      <c r="AI63" s="77">
        <f t="shared" si="37"/>
        <v>0</v>
      </c>
      <c r="AJ63" s="77">
        <f t="shared" si="37"/>
        <v>0</v>
      </c>
      <c r="AK63" s="77">
        <f t="shared" si="37"/>
        <v>0</v>
      </c>
      <c r="AL63" s="77">
        <f t="shared" si="37"/>
        <v>0</v>
      </c>
      <c r="AM63" s="77">
        <f t="shared" si="37"/>
        <v>0</v>
      </c>
      <c r="AN63" s="77">
        <f t="shared" si="37"/>
        <v>0</v>
      </c>
      <c r="AO63" s="77">
        <f t="shared" si="37"/>
        <v>0</v>
      </c>
      <c r="AP63" s="77">
        <f t="shared" si="37"/>
        <v>0</v>
      </c>
      <c r="AQ63" s="77">
        <f t="shared" si="37"/>
        <v>0</v>
      </c>
      <c r="AR63" s="77">
        <f t="shared" si="37"/>
        <v>0</v>
      </c>
      <c r="AS63" s="77">
        <f t="shared" si="37"/>
        <v>0</v>
      </c>
      <c r="AT63" s="77">
        <f t="shared" si="37"/>
        <v>0</v>
      </c>
      <c r="AU63" s="77">
        <f t="shared" si="37"/>
        <v>0</v>
      </c>
      <c r="AV63" s="77">
        <f t="shared" si="37"/>
        <v>0</v>
      </c>
      <c r="AW63" s="77">
        <f t="shared" si="37"/>
        <v>0</v>
      </c>
      <c r="AX63" s="77">
        <f t="shared" si="37"/>
        <v>0</v>
      </c>
      <c r="AY63" s="77">
        <f t="shared" si="37"/>
        <v>0</v>
      </c>
      <c r="AZ63" s="77">
        <f t="shared" si="37"/>
        <v>0</v>
      </c>
      <c r="BA63" s="77">
        <f t="shared" si="37"/>
        <v>0</v>
      </c>
      <c r="BB63" s="77">
        <f t="shared" si="37"/>
        <v>0</v>
      </c>
      <c r="BC63" s="77">
        <f t="shared" si="37"/>
        <v>0</v>
      </c>
      <c r="BD63" s="77">
        <f t="shared" si="37"/>
        <v>0</v>
      </c>
      <c r="BE63" s="77">
        <f t="shared" si="37"/>
        <v>0</v>
      </c>
      <c r="BF63" s="10"/>
      <c r="BG63" s="10"/>
      <c r="BH63" s="10"/>
      <c r="BI63" s="10"/>
      <c r="BJ63" s="10"/>
    </row>
    <row r="64" spans="1:62" ht="9.75" customHeight="1" x14ac:dyDescent="0.15">
      <c r="A64" s="10"/>
      <c r="B64" s="10" t="s">
        <v>230</v>
      </c>
      <c r="C64" s="10"/>
      <c r="D64" s="49"/>
      <c r="E64" s="49"/>
      <c r="F64" s="49"/>
      <c r="G64" s="49"/>
      <c r="H64" s="49"/>
      <c r="I64" s="49"/>
      <c r="J64" s="49"/>
      <c r="K64" s="49"/>
      <c r="L64" s="54"/>
      <c r="M64" s="54">
        <v>954.9</v>
      </c>
      <c r="N64" s="55">
        <v>954.9</v>
      </c>
      <c r="O64" s="55">
        <v>954.9</v>
      </c>
      <c r="P64" s="55">
        <v>954.9</v>
      </c>
      <c r="Q64" s="57">
        <v>954.9</v>
      </c>
      <c r="R64" s="54">
        <v>1304.9000000000001</v>
      </c>
      <c r="S64" s="55">
        <v>1304.9000000000001</v>
      </c>
      <c r="T64" s="55">
        <v>1304.9000000000001</v>
      </c>
      <c r="U64" s="55">
        <v>1305</v>
      </c>
      <c r="V64" s="54">
        <v>1304.9000000000001</v>
      </c>
      <c r="W64" s="54">
        <v>1578</v>
      </c>
      <c r="X64" s="55">
        <v>1578</v>
      </c>
      <c r="Y64" s="55">
        <v>1578</v>
      </c>
      <c r="Z64" s="55">
        <v>1578</v>
      </c>
      <c r="AA64" s="57">
        <v>1578</v>
      </c>
      <c r="AB64" s="55">
        <v>1861.4</v>
      </c>
      <c r="AC64" s="55">
        <v>1861.4</v>
      </c>
      <c r="AD64" s="55">
        <v>1861.4</v>
      </c>
      <c r="AE64" s="55"/>
      <c r="AF64" s="57"/>
      <c r="AG64" s="55"/>
      <c r="AH64" s="55"/>
      <c r="AI64" s="55"/>
      <c r="AJ64" s="55"/>
      <c r="AK64" s="57"/>
      <c r="AL64" s="55"/>
      <c r="AM64" s="55"/>
      <c r="AN64" s="55"/>
      <c r="AO64" s="55"/>
      <c r="AP64" s="57"/>
      <c r="AQ64" s="55"/>
      <c r="AR64" s="55"/>
      <c r="AS64" s="55"/>
      <c r="AT64" s="55"/>
      <c r="AU64" s="57"/>
      <c r="AV64" s="55"/>
      <c r="AW64" s="55"/>
      <c r="AX64" s="55"/>
      <c r="AY64" s="55"/>
      <c r="AZ64" s="57"/>
      <c r="BA64" s="55"/>
      <c r="BB64" s="55"/>
      <c r="BC64" s="55"/>
      <c r="BD64" s="55"/>
      <c r="BE64" s="57"/>
      <c r="BF64" s="10"/>
      <c r="BG64" s="10"/>
      <c r="BH64" s="10"/>
      <c r="BI64" s="10"/>
      <c r="BJ64" s="10"/>
    </row>
    <row r="65" spans="1:62" ht="9.75" customHeight="1" x14ac:dyDescent="0.15">
      <c r="A65" s="10"/>
      <c r="B65" s="10" t="s">
        <v>231</v>
      </c>
      <c r="C65" s="10"/>
      <c r="D65" s="49"/>
      <c r="E65" s="49"/>
      <c r="F65" s="49"/>
      <c r="G65" s="49"/>
      <c r="H65" s="49"/>
      <c r="I65" s="49"/>
      <c r="J65" s="49"/>
      <c r="K65" s="49"/>
      <c r="L65" s="54"/>
      <c r="M65" s="54">
        <v>-4.5</v>
      </c>
      <c r="N65" s="55">
        <v>-57.5</v>
      </c>
      <c r="O65" s="55">
        <v>4.7</v>
      </c>
      <c r="P65" s="55">
        <f>Q65-O65-N65-M65</f>
        <v>16.199999999999996</v>
      </c>
      <c r="Q65" s="57">
        <v>-41.1</v>
      </c>
      <c r="R65" s="54">
        <v>-16.600000000000001</v>
      </c>
      <c r="S65" s="55">
        <v>14.1</v>
      </c>
      <c r="T65" s="55">
        <v>-40.1</v>
      </c>
      <c r="U65" s="55">
        <f t="shared" ref="U65:U66" si="38">V65-T65-S65-R65</f>
        <v>28.900000000000006</v>
      </c>
      <c r="V65" s="54">
        <v>-13.7</v>
      </c>
      <c r="W65" s="54">
        <v>-118.3</v>
      </c>
      <c r="X65" s="55">
        <v>-3.2</v>
      </c>
      <c r="Y65" s="55">
        <v>8.1999999999999993</v>
      </c>
      <c r="Z65" s="55">
        <f t="shared" ref="Z65:Z66" si="39">AA65-Y65-X65-W65</f>
        <v>84.6</v>
      </c>
      <c r="AA65" s="57">
        <v>-28.7</v>
      </c>
      <c r="AB65" s="55">
        <v>-42.1</v>
      </c>
      <c r="AC65" s="55">
        <v>13.4</v>
      </c>
      <c r="AD65" s="55">
        <v>-61.4</v>
      </c>
      <c r="AE65" s="55"/>
      <c r="AF65" s="57"/>
      <c r="AG65" s="55"/>
      <c r="AH65" s="55"/>
      <c r="AI65" s="55"/>
      <c r="AJ65" s="55"/>
      <c r="AK65" s="57"/>
      <c r="AL65" s="55"/>
      <c r="AM65" s="55"/>
      <c r="AN65" s="55"/>
      <c r="AO65" s="55"/>
      <c r="AP65" s="57"/>
      <c r="AQ65" s="55"/>
      <c r="AR65" s="55"/>
      <c r="AS65" s="55"/>
      <c r="AT65" s="55"/>
      <c r="AU65" s="57"/>
      <c r="AV65" s="55"/>
      <c r="AW65" s="55"/>
      <c r="AX65" s="55"/>
      <c r="AY65" s="55"/>
      <c r="AZ65" s="57"/>
      <c r="BA65" s="55"/>
      <c r="BB65" s="55"/>
      <c r="BC65" s="55"/>
      <c r="BD65" s="55"/>
      <c r="BE65" s="57"/>
      <c r="BF65" s="10"/>
      <c r="BG65" s="10"/>
      <c r="BH65" s="10"/>
      <c r="BI65" s="10"/>
      <c r="BJ65" s="10"/>
    </row>
    <row r="66" spans="1:62" ht="9.75" customHeight="1" x14ac:dyDescent="0.15">
      <c r="A66" s="10"/>
      <c r="B66" s="68" t="s">
        <v>232</v>
      </c>
      <c r="C66" s="69"/>
      <c r="D66" s="70">
        <f t="shared" ref="D66:G66" si="40">D34+D44+D63+D65</f>
        <v>0</v>
      </c>
      <c r="E66" s="70">
        <f t="shared" si="40"/>
        <v>0</v>
      </c>
      <c r="F66" s="70">
        <f t="shared" si="40"/>
        <v>0</v>
      </c>
      <c r="G66" s="70">
        <f t="shared" si="40"/>
        <v>0</v>
      </c>
      <c r="H66" s="70"/>
      <c r="I66" s="70"/>
      <c r="J66" s="70"/>
      <c r="K66" s="70"/>
      <c r="L66" s="71"/>
      <c r="M66" s="198">
        <v>324</v>
      </c>
      <c r="N66" s="199">
        <v>-308.8</v>
      </c>
      <c r="O66" s="199">
        <v>323.2</v>
      </c>
      <c r="P66" s="199">
        <f>Q66-O66+N66-M66</f>
        <v>-606</v>
      </c>
      <c r="Q66" s="75">
        <v>350</v>
      </c>
      <c r="R66" s="200">
        <v>-205.2</v>
      </c>
      <c r="S66" s="201">
        <v>-18.899999999999999</v>
      </c>
      <c r="T66" s="201">
        <v>143.4</v>
      </c>
      <c r="U66" s="201">
        <f t="shared" si="38"/>
        <v>353.8</v>
      </c>
      <c r="V66" s="72">
        <v>273.10000000000002</v>
      </c>
      <c r="W66" s="200">
        <v>-177.7</v>
      </c>
      <c r="X66" s="201">
        <v>-350.4</v>
      </c>
      <c r="Y66" s="201">
        <v>528.1</v>
      </c>
      <c r="Z66" s="201">
        <f t="shared" si="39"/>
        <v>283.39999999999992</v>
      </c>
      <c r="AA66" s="75">
        <v>283.39999999999998</v>
      </c>
      <c r="AB66" s="70">
        <v>131.9</v>
      </c>
      <c r="AC66" s="70">
        <v>139.4</v>
      </c>
      <c r="AD66" s="70">
        <v>1837.9</v>
      </c>
      <c r="AE66" s="70"/>
      <c r="AF66" s="77"/>
      <c r="AG66" s="70"/>
      <c r="AH66" s="70"/>
      <c r="AI66" s="70"/>
      <c r="AJ66" s="70"/>
      <c r="AK66" s="77"/>
      <c r="AL66" s="70"/>
      <c r="AM66" s="70"/>
      <c r="AN66" s="70"/>
      <c r="AO66" s="70"/>
      <c r="AP66" s="77"/>
      <c r="AQ66" s="70"/>
      <c r="AR66" s="70"/>
      <c r="AS66" s="70"/>
      <c r="AT66" s="70"/>
      <c r="AU66" s="77"/>
      <c r="AV66" s="70"/>
      <c r="AW66" s="70"/>
      <c r="AX66" s="70"/>
      <c r="AY66" s="70"/>
      <c r="AZ66" s="77"/>
      <c r="BA66" s="70"/>
      <c r="BB66" s="70"/>
      <c r="BC66" s="70"/>
      <c r="BD66" s="70"/>
      <c r="BE66" s="77"/>
      <c r="BF66" s="10"/>
      <c r="BG66" s="10"/>
      <c r="BH66" s="10"/>
      <c r="BI66" s="10"/>
      <c r="BJ66" s="10"/>
    </row>
    <row r="67" spans="1:62" ht="4.5" customHeight="1" x14ac:dyDescent="0.15">
      <c r="A67" s="10"/>
      <c r="B67" s="206"/>
      <c r="C67" s="207"/>
      <c r="D67" s="208"/>
      <c r="E67" s="59"/>
      <c r="F67" s="59"/>
      <c r="G67" s="208"/>
      <c r="H67" s="208"/>
      <c r="I67" s="208"/>
      <c r="J67" s="208"/>
      <c r="K67" s="208"/>
      <c r="L67" s="209"/>
      <c r="M67" s="144"/>
      <c r="N67" s="59"/>
      <c r="O67" s="59"/>
      <c r="P67" s="59"/>
      <c r="Q67" s="51"/>
      <c r="R67" s="50"/>
      <c r="S67" s="49"/>
      <c r="T67" s="49"/>
      <c r="U67" s="49"/>
      <c r="V67" s="50"/>
      <c r="W67" s="50"/>
      <c r="X67" s="49"/>
      <c r="Y67" s="49"/>
      <c r="Z67" s="49"/>
      <c r="AA67" s="51"/>
      <c r="AB67" s="208"/>
      <c r="AC67" s="208"/>
      <c r="AD67" s="208"/>
      <c r="AE67" s="208"/>
      <c r="AF67" s="210"/>
      <c r="AG67" s="208"/>
      <c r="AH67" s="208"/>
      <c r="AI67" s="208"/>
      <c r="AJ67" s="208"/>
      <c r="AK67" s="210"/>
      <c r="AL67" s="208"/>
      <c r="AM67" s="208"/>
      <c r="AN67" s="208"/>
      <c r="AO67" s="208"/>
      <c r="AP67" s="210"/>
      <c r="AQ67" s="208"/>
      <c r="AR67" s="208"/>
      <c r="AS67" s="208"/>
      <c r="AT67" s="208"/>
      <c r="AU67" s="210"/>
      <c r="AV67" s="208"/>
      <c r="AW67" s="208"/>
      <c r="AX67" s="208"/>
      <c r="AY67" s="208"/>
      <c r="AZ67" s="210"/>
      <c r="BA67" s="208"/>
      <c r="BB67" s="208"/>
      <c r="BC67" s="208"/>
      <c r="BD67" s="208"/>
      <c r="BE67" s="210"/>
      <c r="BF67" s="10"/>
      <c r="BG67" s="10"/>
      <c r="BH67" s="10"/>
      <c r="BI67" s="10"/>
      <c r="BJ67" s="10"/>
    </row>
    <row r="68" spans="1:62" ht="9.75" customHeight="1" x14ac:dyDescent="0.15">
      <c r="A68" s="10"/>
      <c r="B68" s="211" t="s">
        <v>233</v>
      </c>
      <c r="C68" s="212"/>
      <c r="D68" s="213">
        <f t="shared" ref="D68:G68" si="41">+D64+D66</f>
        <v>0</v>
      </c>
      <c r="E68" s="214">
        <f t="shared" si="41"/>
        <v>0</v>
      </c>
      <c r="F68" s="214">
        <f t="shared" si="41"/>
        <v>0</v>
      </c>
      <c r="G68" s="215">
        <f t="shared" si="41"/>
        <v>0</v>
      </c>
      <c r="H68" s="213"/>
      <c r="I68" s="214"/>
      <c r="J68" s="214"/>
      <c r="K68" s="215"/>
      <c r="L68" s="213"/>
      <c r="M68" s="216">
        <v>1278.9000000000001</v>
      </c>
      <c r="N68" s="217">
        <v>-308.8</v>
      </c>
      <c r="O68" s="217">
        <v>323.2</v>
      </c>
      <c r="P68" s="217">
        <f>Q68-O68+N68-M68</f>
        <v>-606</v>
      </c>
      <c r="Q68" s="77">
        <v>1304.9000000000001</v>
      </c>
      <c r="R68" s="216">
        <v>1099.7</v>
      </c>
      <c r="S68" s="217">
        <v>1286</v>
      </c>
      <c r="T68" s="217">
        <v>1448.3</v>
      </c>
      <c r="U68" s="217">
        <f>V68-T68-S68-R68</f>
        <v>-2256</v>
      </c>
      <c r="V68" s="71">
        <v>1578</v>
      </c>
      <c r="W68" s="198">
        <v>1400.3</v>
      </c>
      <c r="X68" s="199">
        <v>705.8</v>
      </c>
      <c r="Y68" s="199">
        <v>2106.1</v>
      </c>
      <c r="Z68" s="199">
        <f>AA68-Y68-X68-W68</f>
        <v>-2350.7999999999997</v>
      </c>
      <c r="AA68" s="77">
        <v>1861.4</v>
      </c>
      <c r="AB68" s="214">
        <v>1993.3</v>
      </c>
      <c r="AC68" s="214">
        <v>2000.8</v>
      </c>
      <c r="AD68" s="214">
        <v>3699.3</v>
      </c>
      <c r="AE68" s="214"/>
      <c r="AF68" s="218"/>
      <c r="AG68" s="214"/>
      <c r="AH68" s="214"/>
      <c r="AI68" s="214"/>
      <c r="AJ68" s="214"/>
      <c r="AK68" s="218"/>
      <c r="AL68" s="214"/>
      <c r="AM68" s="214"/>
      <c r="AN68" s="214"/>
      <c r="AO68" s="214"/>
      <c r="AP68" s="218"/>
      <c r="AQ68" s="214"/>
      <c r="AR68" s="214"/>
      <c r="AS68" s="214"/>
      <c r="AT68" s="214"/>
      <c r="AU68" s="218"/>
      <c r="AV68" s="214"/>
      <c r="AW68" s="214"/>
      <c r="AX68" s="214"/>
      <c r="AY68" s="214"/>
      <c r="AZ68" s="218"/>
      <c r="BA68" s="214"/>
      <c r="BB68" s="214"/>
      <c r="BC68" s="214"/>
      <c r="BD68" s="214"/>
      <c r="BE68" s="218"/>
      <c r="BF68" s="10"/>
      <c r="BG68" s="10"/>
      <c r="BH68" s="10"/>
      <c r="BI68" s="10"/>
      <c r="BJ68" s="10"/>
    </row>
    <row r="69" spans="1:62" ht="9.75" customHeight="1" x14ac:dyDescent="0.1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49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</row>
    <row r="70" spans="1:62" ht="9.75" customHeight="1" x14ac:dyDescent="0.1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49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</row>
    <row r="71" spans="1:62" ht="9.75" customHeight="1" x14ac:dyDescent="0.1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49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</row>
    <row r="72" spans="1:62" ht="9.75" customHeight="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49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</row>
    <row r="73" spans="1:62" ht="9.75" customHeight="1" x14ac:dyDescent="0.1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49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</row>
    <row r="74" spans="1:62" ht="9.75" customHeight="1" x14ac:dyDescent="0.1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49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</row>
    <row r="75" spans="1:62" ht="9.75" customHeight="1" x14ac:dyDescent="0.1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49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</row>
    <row r="76" spans="1:62" ht="9.75" customHeight="1" x14ac:dyDescent="0.1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49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</row>
    <row r="77" spans="1:62" ht="9.75" customHeight="1" x14ac:dyDescent="0.1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49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</row>
    <row r="78" spans="1:62" ht="9.75" customHeight="1" x14ac:dyDescent="0.1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49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</row>
    <row r="79" spans="1:62" ht="9.75" customHeight="1" x14ac:dyDescent="0.1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49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</row>
    <row r="80" spans="1:62" ht="9.75" customHeight="1" x14ac:dyDescent="0.1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49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</row>
    <row r="81" spans="1:62" ht="9.75" customHeight="1" x14ac:dyDescent="0.1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49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</row>
    <row r="82" spans="1:62" ht="9.75" customHeight="1" x14ac:dyDescent="0.1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49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</row>
    <row r="83" spans="1:62" ht="9.75" customHeight="1" x14ac:dyDescent="0.1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49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</row>
    <row r="84" spans="1:62" ht="9.75" customHeight="1" x14ac:dyDescent="0.1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49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</row>
    <row r="85" spans="1:62" ht="9.75" customHeight="1" x14ac:dyDescent="0.1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49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</row>
    <row r="86" spans="1:62" ht="9.75" customHeight="1" x14ac:dyDescent="0.1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49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</row>
    <row r="87" spans="1:62" ht="9.75" customHeight="1" x14ac:dyDescent="0.1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49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</row>
    <row r="88" spans="1:62" ht="9.75" customHeight="1" x14ac:dyDescent="0.1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49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</row>
    <row r="89" spans="1:62" ht="9.75" customHeight="1" x14ac:dyDescent="0.1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49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</row>
    <row r="90" spans="1:62" ht="9.75" customHeight="1" x14ac:dyDescent="0.1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49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</row>
    <row r="91" spans="1:62" ht="9.75" customHeight="1" x14ac:dyDescent="0.1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49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</row>
    <row r="92" spans="1:62" ht="9.75" customHeight="1" x14ac:dyDescent="0.1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49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</row>
    <row r="93" spans="1:62" ht="9.7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49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</row>
    <row r="94" spans="1:62" ht="9.75" customHeight="1" x14ac:dyDescent="0.1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49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</row>
    <row r="95" spans="1:62" ht="9.75" customHeight="1" x14ac:dyDescent="0.1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49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</row>
    <row r="96" spans="1:62" ht="9.75" customHeight="1" x14ac:dyDescent="0.1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49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</row>
    <row r="97" spans="1:62" ht="9.75" customHeight="1" x14ac:dyDescent="0.1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49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</row>
    <row r="98" spans="1:62" ht="9.75" customHeight="1" x14ac:dyDescent="0.1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49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</row>
    <row r="99" spans="1:62" ht="9.75" customHeight="1" x14ac:dyDescent="0.1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49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</row>
    <row r="100" spans="1:62" ht="9.75" customHeight="1" x14ac:dyDescent="0.1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49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</row>
    <row r="101" spans="1:62" ht="9.75" customHeight="1" x14ac:dyDescent="0.1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49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</row>
    <row r="102" spans="1:62" ht="9.75" customHeight="1" x14ac:dyDescent="0.1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49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</row>
    <row r="103" spans="1:62" ht="9.75" customHeight="1" x14ac:dyDescent="0.1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49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</row>
    <row r="104" spans="1:62" ht="9.75" customHeight="1" x14ac:dyDescent="0.1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49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</row>
    <row r="105" spans="1:62" ht="9.75" customHeight="1" x14ac:dyDescent="0.1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49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</row>
    <row r="106" spans="1:62" ht="9.75" customHeight="1" x14ac:dyDescent="0.1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49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</row>
    <row r="107" spans="1:62" ht="9.75" customHeight="1" x14ac:dyDescent="0.1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49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</row>
    <row r="108" spans="1:62" ht="9.75" customHeight="1" x14ac:dyDescent="0.1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49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</row>
    <row r="109" spans="1:62" ht="9.75" customHeight="1" x14ac:dyDescent="0.1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49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</row>
    <row r="110" spans="1:62" ht="9.75" customHeight="1" x14ac:dyDescent="0.1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49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</row>
    <row r="111" spans="1:62" ht="9.75" customHeight="1" x14ac:dyDescent="0.1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49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</row>
    <row r="112" spans="1:62" ht="9.75" customHeight="1" x14ac:dyDescent="0.1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49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</row>
    <row r="113" spans="1:62" ht="9.75" customHeight="1" x14ac:dyDescent="0.1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49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</row>
    <row r="114" spans="1:62" ht="9.75" customHeight="1" x14ac:dyDescent="0.1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49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</row>
    <row r="115" spans="1:62" ht="9.75" customHeight="1" x14ac:dyDescent="0.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49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</row>
    <row r="116" spans="1:62" ht="9.75" customHeight="1" x14ac:dyDescent="0.1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49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</row>
    <row r="117" spans="1:62" ht="9.75" customHeight="1" x14ac:dyDescent="0.1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49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</row>
    <row r="118" spans="1:62" ht="9.75" customHeight="1" x14ac:dyDescent="0.1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49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</row>
    <row r="119" spans="1:62" ht="9.75" customHeight="1" x14ac:dyDescent="0.1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49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</row>
    <row r="120" spans="1:62" ht="9.75" customHeight="1" x14ac:dyDescent="0.1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49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</row>
    <row r="121" spans="1:62" ht="9.75" customHeight="1" x14ac:dyDescent="0.1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49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</row>
    <row r="122" spans="1:62" ht="9.75" customHeight="1" x14ac:dyDescent="0.1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49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</row>
    <row r="123" spans="1:62" ht="9.75" customHeight="1" x14ac:dyDescent="0.1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49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</row>
    <row r="124" spans="1:62" ht="9.75" customHeight="1" x14ac:dyDescent="0.1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49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</row>
    <row r="125" spans="1:62" ht="9.75" customHeight="1" x14ac:dyDescent="0.1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49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</row>
    <row r="126" spans="1:62" ht="9.75" customHeight="1" x14ac:dyDescent="0.1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49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</row>
    <row r="127" spans="1:62" ht="9.75" customHeight="1" x14ac:dyDescent="0.1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49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</row>
    <row r="128" spans="1:62" ht="9.75" customHeight="1" x14ac:dyDescent="0.1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49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</row>
    <row r="129" spans="1:62" ht="9.75" customHeight="1" x14ac:dyDescent="0.1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49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</row>
    <row r="130" spans="1:62" ht="9.75" customHeight="1" x14ac:dyDescent="0.1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49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</row>
    <row r="131" spans="1:62" ht="9.75" customHeight="1" x14ac:dyDescent="0.1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49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</row>
    <row r="132" spans="1:62" ht="9.75" customHeight="1" x14ac:dyDescent="0.1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49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</row>
    <row r="133" spans="1:62" ht="9.75" customHeight="1" x14ac:dyDescent="0.1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49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</row>
    <row r="134" spans="1:62" ht="9.75" customHeight="1" x14ac:dyDescent="0.1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49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</row>
    <row r="135" spans="1:62" ht="9.75" customHeight="1" x14ac:dyDescent="0.1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49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</row>
    <row r="136" spans="1:62" ht="9.75" customHeight="1" x14ac:dyDescent="0.1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49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</row>
    <row r="137" spans="1:62" ht="9.75" customHeight="1" x14ac:dyDescent="0.1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49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</row>
    <row r="138" spans="1:62" ht="9.75" customHeight="1" x14ac:dyDescent="0.1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49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</row>
    <row r="139" spans="1:62" ht="9.75" customHeight="1" x14ac:dyDescent="0.1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49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</row>
    <row r="140" spans="1:62" ht="9.75" customHeight="1" x14ac:dyDescent="0.1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49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</row>
    <row r="141" spans="1:62" ht="9.75" customHeight="1" x14ac:dyDescent="0.1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49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</row>
    <row r="142" spans="1:62" ht="9.75" customHeight="1" x14ac:dyDescent="0.1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49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</row>
    <row r="143" spans="1:62" ht="9.75" customHeight="1" x14ac:dyDescent="0.1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49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</row>
    <row r="144" spans="1:62" ht="9.75" customHeight="1" x14ac:dyDescent="0.1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49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</row>
    <row r="145" spans="1:62" ht="9.75" customHeight="1" x14ac:dyDescent="0.1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49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</row>
    <row r="146" spans="1:62" ht="9.75" customHeight="1" x14ac:dyDescent="0.1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49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</row>
    <row r="147" spans="1:62" ht="9.75" customHeight="1" x14ac:dyDescent="0.1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49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</row>
    <row r="148" spans="1:62" ht="9.75" customHeight="1" x14ac:dyDescent="0.1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49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</row>
    <row r="149" spans="1:62" ht="9.75" customHeight="1" x14ac:dyDescent="0.1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49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</row>
    <row r="150" spans="1:62" ht="9.75" customHeight="1" x14ac:dyDescent="0.1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49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</row>
    <row r="151" spans="1:62" ht="9.75" customHeight="1" x14ac:dyDescent="0.1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49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</row>
    <row r="152" spans="1:62" ht="9.75" customHeight="1" x14ac:dyDescent="0.1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49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</row>
    <row r="153" spans="1:62" ht="9.75" customHeight="1" x14ac:dyDescent="0.1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49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</row>
    <row r="154" spans="1:62" ht="9.75" customHeight="1" x14ac:dyDescent="0.1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49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</row>
    <row r="155" spans="1:62" ht="9.75" customHeight="1" x14ac:dyDescent="0.1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49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</row>
    <row r="156" spans="1:62" ht="9.75" customHeight="1" x14ac:dyDescent="0.1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49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</row>
    <row r="157" spans="1:62" ht="9.75" customHeight="1" x14ac:dyDescent="0.1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49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</row>
    <row r="158" spans="1:62" ht="9.75" customHeight="1" x14ac:dyDescent="0.1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49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</row>
    <row r="159" spans="1:62" ht="9.75" customHeight="1" x14ac:dyDescent="0.1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49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</row>
    <row r="160" spans="1:62" ht="9.75" customHeight="1" x14ac:dyDescent="0.1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49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</row>
    <row r="161" spans="1:62" ht="9.75" customHeight="1" x14ac:dyDescent="0.1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49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</row>
    <row r="162" spans="1:62" ht="9.75" customHeight="1" x14ac:dyDescent="0.1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49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</row>
    <row r="163" spans="1:62" ht="9.75" customHeight="1" x14ac:dyDescent="0.1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49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</row>
    <row r="164" spans="1:62" ht="9.75" customHeight="1" x14ac:dyDescent="0.1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49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</row>
    <row r="165" spans="1:62" ht="9.75" customHeight="1" x14ac:dyDescent="0.1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49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</row>
    <row r="166" spans="1:62" ht="9.75" customHeight="1" x14ac:dyDescent="0.1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49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</row>
    <row r="167" spans="1:62" ht="9.75" customHeight="1" x14ac:dyDescent="0.1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49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</row>
    <row r="168" spans="1:62" ht="9.75" customHeight="1" x14ac:dyDescent="0.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49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</row>
    <row r="169" spans="1:62" ht="9.75" customHeight="1" x14ac:dyDescent="0.1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49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</row>
    <row r="170" spans="1:62" ht="9.75" customHeight="1" x14ac:dyDescent="0.1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49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</row>
    <row r="171" spans="1:62" ht="9.75" customHeight="1" x14ac:dyDescent="0.1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49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</row>
    <row r="172" spans="1:62" ht="9.75" customHeight="1" x14ac:dyDescent="0.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49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</row>
    <row r="173" spans="1:62" ht="9.75" customHeight="1" x14ac:dyDescent="0.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49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</row>
    <row r="174" spans="1:62" ht="9.75" customHeight="1" x14ac:dyDescent="0.1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49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</row>
    <row r="175" spans="1:62" ht="9.75" customHeight="1" x14ac:dyDescent="0.1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49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</row>
    <row r="176" spans="1:62" ht="9.75" customHeight="1" x14ac:dyDescent="0.1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49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</row>
    <row r="177" spans="1:62" ht="9.75" customHeight="1" x14ac:dyDescent="0.1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49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</row>
    <row r="178" spans="1:62" ht="9.75" customHeight="1" x14ac:dyDescent="0.1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49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</row>
    <row r="179" spans="1:62" ht="9.75" customHeight="1" x14ac:dyDescent="0.1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49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</row>
    <row r="180" spans="1:62" ht="9.75" customHeight="1" x14ac:dyDescent="0.1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49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</row>
    <row r="181" spans="1:62" ht="9.75" customHeight="1" x14ac:dyDescent="0.1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49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</row>
    <row r="182" spans="1:62" ht="9.75" customHeight="1" x14ac:dyDescent="0.1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49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</row>
    <row r="183" spans="1:62" ht="9.75" customHeight="1" x14ac:dyDescent="0.1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49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</row>
    <row r="184" spans="1:62" ht="9.75" customHeight="1" x14ac:dyDescent="0.1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49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</row>
    <row r="185" spans="1:62" ht="9.75" customHeight="1" x14ac:dyDescent="0.1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49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</row>
    <row r="186" spans="1:62" ht="9.75" customHeight="1" x14ac:dyDescent="0.1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49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</row>
    <row r="187" spans="1:62" ht="9.75" customHeight="1" x14ac:dyDescent="0.1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49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</row>
    <row r="188" spans="1:62" ht="9.75" customHeight="1" x14ac:dyDescent="0.1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49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</row>
    <row r="189" spans="1:62" ht="9.75" customHeight="1" x14ac:dyDescent="0.1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49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</row>
    <row r="190" spans="1:62" ht="9.75" customHeight="1" x14ac:dyDescent="0.1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49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</row>
    <row r="191" spans="1:62" ht="9.75" customHeight="1" x14ac:dyDescent="0.1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49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</row>
    <row r="192" spans="1:62" ht="9.75" customHeight="1" x14ac:dyDescent="0.1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49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</row>
    <row r="193" spans="1:62" ht="9.75" customHeight="1" x14ac:dyDescent="0.1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49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</row>
    <row r="194" spans="1:62" ht="9.75" customHeight="1" x14ac:dyDescent="0.1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49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</row>
    <row r="195" spans="1:62" ht="9.75" customHeight="1" x14ac:dyDescent="0.1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49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</row>
    <row r="196" spans="1:62" ht="9.75" customHeight="1" x14ac:dyDescent="0.1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49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</row>
    <row r="197" spans="1:62" ht="9.75" customHeight="1" x14ac:dyDescent="0.1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49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</row>
    <row r="198" spans="1:62" ht="9.75" customHeight="1" x14ac:dyDescent="0.1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49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</row>
    <row r="199" spans="1:62" ht="9.75" customHeight="1" x14ac:dyDescent="0.1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49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</row>
    <row r="200" spans="1:62" ht="9.75" customHeight="1" x14ac:dyDescent="0.1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49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</row>
    <row r="201" spans="1:62" ht="9.75" customHeight="1" x14ac:dyDescent="0.1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49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</row>
    <row r="202" spans="1:62" ht="9.75" customHeight="1" x14ac:dyDescent="0.1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49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</row>
    <row r="203" spans="1:62" ht="9.75" customHeight="1" x14ac:dyDescent="0.1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49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</row>
    <row r="204" spans="1:62" ht="9.75" customHeight="1" x14ac:dyDescent="0.1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49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</row>
    <row r="205" spans="1:62" ht="9.75" customHeight="1" x14ac:dyDescent="0.1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49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</row>
    <row r="206" spans="1:62" ht="9.75" customHeight="1" x14ac:dyDescent="0.1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49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</row>
    <row r="207" spans="1:62" ht="9.75" customHeight="1" x14ac:dyDescent="0.1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49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</row>
    <row r="208" spans="1:62" ht="9.75" customHeight="1" x14ac:dyDescent="0.1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49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</row>
    <row r="209" spans="1:62" ht="9.75" customHeight="1" x14ac:dyDescent="0.1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49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</row>
    <row r="210" spans="1:62" ht="9.75" customHeight="1" x14ac:dyDescent="0.1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49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</row>
    <row r="211" spans="1:62" ht="9.75" customHeight="1" x14ac:dyDescent="0.1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49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</row>
    <row r="212" spans="1:62" ht="9.75" customHeight="1" x14ac:dyDescent="0.1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49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</row>
    <row r="213" spans="1:62" ht="9.75" customHeight="1" x14ac:dyDescent="0.1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49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</row>
    <row r="214" spans="1:62" ht="9.75" customHeight="1" x14ac:dyDescent="0.1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49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</row>
    <row r="215" spans="1:62" ht="9.75" customHeight="1" x14ac:dyDescent="0.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49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</row>
    <row r="216" spans="1:62" ht="9.75" customHeight="1" x14ac:dyDescent="0.1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49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</row>
    <row r="217" spans="1:62" ht="9.75" customHeight="1" x14ac:dyDescent="0.1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49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</row>
    <row r="218" spans="1:62" ht="9.75" customHeight="1" x14ac:dyDescent="0.1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49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</row>
    <row r="219" spans="1:62" ht="9.75" customHeight="1" x14ac:dyDescent="0.1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49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</row>
    <row r="220" spans="1:62" ht="9.75" customHeight="1" x14ac:dyDescent="0.1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49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</row>
    <row r="221" spans="1:62" ht="9.75" customHeight="1" x14ac:dyDescent="0.1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49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</row>
    <row r="222" spans="1:62" ht="9.75" customHeight="1" x14ac:dyDescent="0.1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49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</row>
    <row r="223" spans="1:62" ht="9.75" customHeight="1" x14ac:dyDescent="0.1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49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</row>
    <row r="224" spans="1:62" ht="9.75" customHeight="1" x14ac:dyDescent="0.1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49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</row>
    <row r="225" spans="1:62" ht="9.75" customHeight="1" x14ac:dyDescent="0.1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49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</row>
    <row r="226" spans="1:62" ht="9.75" customHeight="1" x14ac:dyDescent="0.1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49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</row>
    <row r="227" spans="1:62" ht="9.75" customHeight="1" x14ac:dyDescent="0.1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49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</row>
    <row r="228" spans="1:62" ht="9.75" customHeight="1" x14ac:dyDescent="0.1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49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</row>
    <row r="229" spans="1:62" ht="9.75" customHeight="1" x14ac:dyDescent="0.1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49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</row>
    <row r="230" spans="1:62" ht="9.75" customHeight="1" x14ac:dyDescent="0.1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49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</row>
    <row r="231" spans="1:62" ht="9.75" customHeight="1" x14ac:dyDescent="0.1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49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</row>
    <row r="232" spans="1:62" ht="9.75" customHeight="1" x14ac:dyDescent="0.1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49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</row>
    <row r="233" spans="1:62" ht="9.75" customHeight="1" x14ac:dyDescent="0.1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49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</row>
    <row r="234" spans="1:62" ht="9.75" customHeight="1" x14ac:dyDescent="0.1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49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</row>
    <row r="235" spans="1:62" ht="9.75" customHeight="1" x14ac:dyDescent="0.1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49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</row>
    <row r="236" spans="1:62" ht="9.75" customHeight="1" x14ac:dyDescent="0.1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49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</row>
    <row r="237" spans="1:62" ht="9.75" customHeight="1" x14ac:dyDescent="0.1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49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</row>
    <row r="238" spans="1:62" ht="9.75" customHeight="1" x14ac:dyDescent="0.1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49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</row>
    <row r="239" spans="1:62" ht="9.75" customHeight="1" x14ac:dyDescent="0.1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49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</row>
    <row r="240" spans="1:62" ht="9.75" customHeight="1" x14ac:dyDescent="0.1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49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</row>
    <row r="241" spans="1:62" ht="9.75" customHeight="1" x14ac:dyDescent="0.1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49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</row>
    <row r="242" spans="1:62" ht="9.75" customHeight="1" x14ac:dyDescent="0.1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49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</row>
    <row r="243" spans="1:62" ht="9.75" customHeight="1" x14ac:dyDescent="0.1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49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</row>
    <row r="244" spans="1:62" ht="9.75" customHeight="1" x14ac:dyDescent="0.1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49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</row>
    <row r="245" spans="1:62" ht="9.75" customHeight="1" x14ac:dyDescent="0.1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49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</row>
    <row r="246" spans="1:62" ht="9.75" customHeight="1" x14ac:dyDescent="0.1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49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</row>
    <row r="247" spans="1:62" ht="9.75" customHeight="1" x14ac:dyDescent="0.1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49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</row>
    <row r="248" spans="1:62" ht="9.75" customHeight="1" x14ac:dyDescent="0.1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49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</row>
    <row r="249" spans="1:62" ht="9.75" customHeight="1" x14ac:dyDescent="0.1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49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</row>
    <row r="250" spans="1:62" ht="9.75" customHeight="1" x14ac:dyDescent="0.1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49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</row>
    <row r="251" spans="1:62" ht="9.75" customHeight="1" x14ac:dyDescent="0.1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49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</row>
    <row r="252" spans="1:62" ht="9.75" customHeight="1" x14ac:dyDescent="0.1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49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</row>
    <row r="253" spans="1:62" ht="9.75" customHeight="1" x14ac:dyDescent="0.1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49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</row>
    <row r="254" spans="1:62" ht="9.75" customHeight="1" x14ac:dyDescent="0.1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49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</row>
    <row r="255" spans="1:62" ht="9.75" customHeight="1" x14ac:dyDescent="0.1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49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</row>
    <row r="256" spans="1:62" ht="9.75" customHeight="1" x14ac:dyDescent="0.1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49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</row>
    <row r="257" spans="1:62" ht="9.75" customHeight="1" x14ac:dyDescent="0.1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49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</row>
    <row r="258" spans="1:62" ht="9.75" customHeight="1" x14ac:dyDescent="0.1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49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</row>
    <row r="259" spans="1:62" ht="9.75" customHeight="1" x14ac:dyDescent="0.1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49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</row>
    <row r="260" spans="1:62" ht="9.75" customHeight="1" x14ac:dyDescent="0.1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49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</row>
    <row r="261" spans="1:62" ht="9.75" customHeight="1" x14ac:dyDescent="0.1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49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</row>
    <row r="262" spans="1:62" ht="9.75" customHeight="1" x14ac:dyDescent="0.1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49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</row>
    <row r="263" spans="1:62" ht="9.75" customHeight="1" x14ac:dyDescent="0.1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49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</row>
    <row r="264" spans="1:62" ht="9.75" customHeight="1" x14ac:dyDescent="0.1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49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</row>
    <row r="265" spans="1:62" ht="9.75" customHeight="1" x14ac:dyDescent="0.1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49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</row>
    <row r="266" spans="1:62" ht="9.75" customHeight="1" x14ac:dyDescent="0.1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49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</row>
    <row r="267" spans="1:62" ht="9.75" customHeight="1" x14ac:dyDescent="0.1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49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</row>
    <row r="268" spans="1:62" ht="9.75" customHeight="1" x14ac:dyDescent="0.1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49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</row>
    <row r="269" spans="1:62" ht="15.75" customHeight="1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49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ht="15.75" customHeight="1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49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ht="15.75" customHeight="1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49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ht="15.75" customHeight="1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49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3:26" ht="15.75" customHeight="1" x14ac:dyDescent="0.15">
      <c r="M273" s="2"/>
      <c r="N273" s="2"/>
      <c r="O273" s="2"/>
      <c r="P273" s="2"/>
      <c r="Q273" s="2"/>
      <c r="R273" s="2"/>
      <c r="S273" s="2"/>
      <c r="T273" s="2"/>
      <c r="U273" s="49"/>
      <c r="V273" s="2"/>
      <c r="W273" s="2"/>
      <c r="X273" s="2"/>
      <c r="Y273" s="2"/>
      <c r="Z273" s="2"/>
    </row>
    <row r="274" spans="13:26" ht="15.75" customHeight="1" x14ac:dyDescent="0.15">
      <c r="M274" s="2"/>
      <c r="N274" s="2"/>
      <c r="O274" s="2"/>
      <c r="P274" s="2"/>
      <c r="Q274" s="2"/>
      <c r="R274" s="2"/>
      <c r="S274" s="2"/>
      <c r="T274" s="2"/>
      <c r="U274" s="49"/>
      <c r="V274" s="2"/>
      <c r="W274" s="2"/>
      <c r="X274" s="2"/>
      <c r="Y274" s="2"/>
      <c r="Z274" s="2"/>
    </row>
    <row r="275" spans="13:26" ht="15.75" customHeight="1" x14ac:dyDescent="0.15">
      <c r="M275" s="2"/>
      <c r="N275" s="2"/>
      <c r="O275" s="2"/>
      <c r="P275" s="2"/>
      <c r="Q275" s="2"/>
      <c r="R275" s="2"/>
      <c r="S275" s="2"/>
      <c r="T275" s="2"/>
      <c r="U275" s="49"/>
      <c r="V275" s="2"/>
      <c r="W275" s="2"/>
      <c r="X275" s="2"/>
      <c r="Y275" s="2"/>
      <c r="Z275" s="2"/>
    </row>
    <row r="276" spans="13:26" ht="15.75" customHeight="1" x14ac:dyDescent="0.15">
      <c r="M276" s="2"/>
      <c r="N276" s="2"/>
      <c r="O276" s="2"/>
      <c r="P276" s="2"/>
      <c r="Q276" s="2"/>
      <c r="R276" s="2"/>
      <c r="S276" s="2"/>
      <c r="T276" s="2"/>
      <c r="U276" s="49"/>
      <c r="V276" s="2"/>
      <c r="W276" s="2"/>
      <c r="X276" s="2"/>
      <c r="Y276" s="2"/>
      <c r="Z276" s="2"/>
    </row>
    <row r="277" spans="13:26" ht="15.75" customHeight="1" x14ac:dyDescent="0.15">
      <c r="M277" s="2"/>
      <c r="N277" s="2"/>
      <c r="O277" s="2"/>
      <c r="P277" s="2"/>
      <c r="Q277" s="2"/>
      <c r="R277" s="2"/>
      <c r="S277" s="2"/>
      <c r="T277" s="2"/>
      <c r="U277" s="49"/>
      <c r="V277" s="2"/>
      <c r="W277" s="2"/>
      <c r="X277" s="2"/>
      <c r="Y277" s="2"/>
      <c r="Z277" s="2"/>
    </row>
    <row r="278" spans="13:26" ht="15.75" customHeight="1" x14ac:dyDescent="0.15">
      <c r="M278" s="2"/>
      <c r="N278" s="2"/>
      <c r="O278" s="2"/>
      <c r="P278" s="2"/>
      <c r="Q278" s="2"/>
      <c r="R278" s="2"/>
      <c r="S278" s="2"/>
      <c r="T278" s="2"/>
      <c r="U278" s="49"/>
      <c r="V278" s="2"/>
      <c r="W278" s="2"/>
      <c r="X278" s="2"/>
      <c r="Y278" s="2"/>
      <c r="Z278" s="2"/>
    </row>
    <row r="279" spans="13:26" ht="15.75" customHeight="1" x14ac:dyDescent="0.15">
      <c r="M279" s="2"/>
      <c r="N279" s="2"/>
      <c r="O279" s="2"/>
      <c r="P279" s="2"/>
      <c r="Q279" s="2"/>
      <c r="R279" s="2"/>
      <c r="S279" s="2"/>
      <c r="T279" s="2"/>
      <c r="U279" s="49"/>
      <c r="V279" s="2"/>
      <c r="W279" s="2"/>
      <c r="X279" s="2"/>
      <c r="Y279" s="2"/>
      <c r="Z279" s="2"/>
    </row>
    <row r="280" spans="13:26" ht="15.75" customHeight="1" x14ac:dyDescent="0.15">
      <c r="M280" s="2"/>
      <c r="N280" s="2"/>
      <c r="O280" s="2"/>
      <c r="P280" s="2"/>
      <c r="Q280" s="2"/>
      <c r="R280" s="2"/>
      <c r="S280" s="2"/>
      <c r="T280" s="2"/>
      <c r="U280" s="49"/>
      <c r="V280" s="2"/>
      <c r="W280" s="2"/>
      <c r="X280" s="2"/>
      <c r="Y280" s="2"/>
      <c r="Z280" s="2"/>
    </row>
    <row r="281" spans="13:26" ht="15.75" customHeight="1" x14ac:dyDescent="0.15">
      <c r="M281" s="2"/>
      <c r="N281" s="2"/>
      <c r="O281" s="2"/>
      <c r="P281" s="2"/>
      <c r="Q281" s="2"/>
      <c r="R281" s="2"/>
      <c r="S281" s="2"/>
      <c r="T281" s="2"/>
      <c r="U281" s="49"/>
      <c r="V281" s="2"/>
      <c r="W281" s="2"/>
      <c r="X281" s="2"/>
      <c r="Y281" s="2"/>
      <c r="Z281" s="2"/>
    </row>
    <row r="282" spans="13:26" ht="15.75" customHeight="1" x14ac:dyDescent="0.15">
      <c r="M282" s="2"/>
      <c r="N282" s="2"/>
      <c r="O282" s="2"/>
      <c r="P282" s="2"/>
      <c r="Q282" s="2"/>
      <c r="R282" s="2"/>
      <c r="S282" s="2"/>
      <c r="T282" s="2"/>
      <c r="U282" s="49"/>
      <c r="V282" s="2"/>
      <c r="W282" s="2"/>
      <c r="X282" s="2"/>
      <c r="Y282" s="2"/>
      <c r="Z282" s="2"/>
    </row>
    <row r="283" spans="13:26" ht="15.75" customHeight="1" x14ac:dyDescent="0.15">
      <c r="M283" s="2"/>
      <c r="N283" s="2"/>
      <c r="O283" s="2"/>
      <c r="P283" s="2"/>
      <c r="Q283" s="2"/>
      <c r="R283" s="2"/>
      <c r="S283" s="2"/>
      <c r="T283" s="2"/>
      <c r="U283" s="49"/>
      <c r="V283" s="2"/>
      <c r="W283" s="2"/>
      <c r="X283" s="2"/>
      <c r="Y283" s="2"/>
      <c r="Z283" s="2"/>
    </row>
    <row r="284" spans="13:26" ht="15.75" customHeight="1" x14ac:dyDescent="0.15">
      <c r="M284" s="2"/>
      <c r="N284" s="2"/>
      <c r="O284" s="2"/>
      <c r="P284" s="2"/>
      <c r="Q284" s="2"/>
      <c r="R284" s="2"/>
      <c r="S284" s="2"/>
      <c r="T284" s="2"/>
      <c r="U284" s="49"/>
      <c r="V284" s="2"/>
      <c r="W284" s="2"/>
      <c r="X284" s="2"/>
      <c r="Y284" s="2"/>
      <c r="Z284" s="2"/>
    </row>
    <row r="285" spans="13:26" ht="15.75" customHeight="1" x14ac:dyDescent="0.15">
      <c r="M285" s="2"/>
      <c r="N285" s="2"/>
      <c r="O285" s="2"/>
      <c r="P285" s="2"/>
      <c r="Q285" s="2"/>
      <c r="R285" s="2"/>
      <c r="S285" s="2"/>
      <c r="T285" s="2"/>
      <c r="U285" s="49"/>
      <c r="V285" s="2"/>
      <c r="W285" s="2"/>
      <c r="X285" s="2"/>
      <c r="Y285" s="2"/>
      <c r="Z285" s="2"/>
    </row>
    <row r="286" spans="13:26" ht="15.75" customHeight="1" x14ac:dyDescent="0.15">
      <c r="M286" s="2"/>
      <c r="N286" s="2"/>
      <c r="O286" s="2"/>
      <c r="P286" s="2"/>
      <c r="Q286" s="2"/>
      <c r="R286" s="2"/>
      <c r="S286" s="2"/>
      <c r="T286" s="2"/>
      <c r="U286" s="49"/>
      <c r="V286" s="2"/>
      <c r="W286" s="2"/>
      <c r="X286" s="2"/>
      <c r="Y286" s="2"/>
      <c r="Z286" s="2"/>
    </row>
    <row r="287" spans="13:26" ht="15.75" customHeight="1" x14ac:dyDescent="0.15">
      <c r="M287" s="2"/>
      <c r="N287" s="2"/>
      <c r="O287" s="2"/>
      <c r="P287" s="2"/>
      <c r="Q287" s="2"/>
      <c r="R287" s="2"/>
      <c r="S287" s="2"/>
      <c r="T287" s="2"/>
      <c r="U287" s="49"/>
      <c r="V287" s="2"/>
      <c r="W287" s="2"/>
      <c r="X287" s="2"/>
      <c r="Y287" s="2"/>
      <c r="Z287" s="2"/>
    </row>
    <row r="288" spans="13:26" ht="15.75" customHeight="1" x14ac:dyDescent="0.15">
      <c r="M288" s="2"/>
      <c r="N288" s="2"/>
      <c r="O288" s="2"/>
      <c r="P288" s="2"/>
      <c r="Q288" s="2"/>
      <c r="R288" s="2"/>
      <c r="S288" s="2"/>
      <c r="T288" s="2"/>
      <c r="U288" s="49"/>
      <c r="V288" s="2"/>
      <c r="W288" s="2"/>
      <c r="X288" s="2"/>
      <c r="Y288" s="2"/>
      <c r="Z288" s="2"/>
    </row>
    <row r="289" spans="13:26" ht="15.75" customHeight="1" x14ac:dyDescent="0.15">
      <c r="M289" s="2"/>
      <c r="N289" s="2"/>
      <c r="O289" s="2"/>
      <c r="P289" s="2"/>
      <c r="Q289" s="2"/>
      <c r="R289" s="2"/>
      <c r="S289" s="2"/>
      <c r="T289" s="2"/>
      <c r="U289" s="49"/>
      <c r="V289" s="2"/>
      <c r="W289" s="2"/>
      <c r="X289" s="2"/>
      <c r="Y289" s="2"/>
      <c r="Z289" s="2"/>
    </row>
    <row r="290" spans="13:26" ht="15.75" customHeight="1" x14ac:dyDescent="0.15">
      <c r="M290" s="2"/>
      <c r="N290" s="2"/>
      <c r="O290" s="2"/>
      <c r="P290" s="2"/>
      <c r="Q290" s="2"/>
      <c r="R290" s="2"/>
      <c r="S290" s="2"/>
      <c r="T290" s="2"/>
      <c r="U290" s="49"/>
      <c r="V290" s="2"/>
      <c r="W290" s="2"/>
      <c r="X290" s="2"/>
      <c r="Y290" s="2"/>
      <c r="Z290" s="2"/>
    </row>
    <row r="291" spans="13:26" ht="15.75" customHeight="1" x14ac:dyDescent="0.15">
      <c r="M291" s="2"/>
      <c r="N291" s="2"/>
      <c r="O291" s="2"/>
      <c r="P291" s="2"/>
      <c r="Q291" s="2"/>
      <c r="R291" s="2"/>
      <c r="S291" s="2"/>
      <c r="T291" s="2"/>
      <c r="U291" s="49"/>
      <c r="V291" s="2"/>
      <c r="W291" s="2"/>
      <c r="X291" s="2"/>
      <c r="Y291" s="2"/>
      <c r="Z291" s="2"/>
    </row>
    <row r="292" spans="13:26" ht="15.75" customHeight="1" x14ac:dyDescent="0.15">
      <c r="M292" s="2"/>
      <c r="N292" s="2"/>
      <c r="O292" s="2"/>
      <c r="P292" s="2"/>
      <c r="Q292" s="2"/>
      <c r="R292" s="2"/>
      <c r="S292" s="2"/>
      <c r="T292" s="2"/>
      <c r="U292" s="49"/>
      <c r="V292" s="2"/>
      <c r="W292" s="2"/>
      <c r="X292" s="2"/>
      <c r="Y292" s="2"/>
      <c r="Z292" s="2"/>
    </row>
    <row r="293" spans="13:26" ht="15.75" customHeight="1" x14ac:dyDescent="0.15">
      <c r="M293" s="2"/>
      <c r="N293" s="2"/>
      <c r="O293" s="2"/>
      <c r="P293" s="2"/>
      <c r="Q293" s="2"/>
      <c r="R293" s="2"/>
      <c r="S293" s="2"/>
      <c r="T293" s="2"/>
      <c r="U293" s="49"/>
      <c r="V293" s="2"/>
      <c r="W293" s="2"/>
      <c r="X293" s="2"/>
      <c r="Y293" s="2"/>
      <c r="Z293" s="2"/>
    </row>
    <row r="294" spans="13:26" ht="15.75" customHeight="1" x14ac:dyDescent="0.15">
      <c r="M294" s="2"/>
      <c r="N294" s="2"/>
      <c r="O294" s="2"/>
      <c r="P294" s="2"/>
      <c r="Q294" s="2"/>
      <c r="R294" s="2"/>
      <c r="S294" s="2"/>
      <c r="T294" s="2"/>
      <c r="U294" s="49"/>
      <c r="V294" s="2"/>
      <c r="W294" s="2"/>
      <c r="X294" s="2"/>
      <c r="Y294" s="2"/>
      <c r="Z294" s="2"/>
    </row>
    <row r="295" spans="13:26" ht="15.75" customHeight="1" x14ac:dyDescent="0.15">
      <c r="M295" s="2"/>
      <c r="N295" s="2"/>
      <c r="O295" s="2"/>
      <c r="P295" s="2"/>
      <c r="Q295" s="2"/>
      <c r="R295" s="2"/>
      <c r="S295" s="2"/>
      <c r="T295" s="2"/>
      <c r="U295" s="49"/>
      <c r="V295" s="2"/>
      <c r="W295" s="2"/>
      <c r="X295" s="2"/>
      <c r="Y295" s="2"/>
      <c r="Z295" s="2"/>
    </row>
    <row r="296" spans="13:26" ht="15.75" customHeight="1" x14ac:dyDescent="0.15">
      <c r="M296" s="2"/>
      <c r="N296" s="2"/>
      <c r="O296" s="2"/>
      <c r="P296" s="2"/>
      <c r="Q296" s="2"/>
      <c r="R296" s="2"/>
      <c r="S296" s="2"/>
      <c r="T296" s="2"/>
      <c r="U296" s="49"/>
      <c r="V296" s="2"/>
      <c r="W296" s="2"/>
      <c r="X296" s="2"/>
      <c r="Y296" s="2"/>
      <c r="Z296" s="2"/>
    </row>
    <row r="297" spans="13:26" ht="15.75" customHeight="1" x14ac:dyDescent="0.15">
      <c r="M297" s="2"/>
      <c r="N297" s="2"/>
      <c r="O297" s="2"/>
      <c r="P297" s="2"/>
      <c r="Q297" s="2"/>
      <c r="R297" s="2"/>
      <c r="S297" s="2"/>
      <c r="T297" s="2"/>
      <c r="U297" s="49"/>
      <c r="V297" s="2"/>
      <c r="W297" s="2"/>
      <c r="X297" s="2"/>
      <c r="Y297" s="2"/>
      <c r="Z297" s="2"/>
    </row>
    <row r="298" spans="13:26" ht="15.75" customHeight="1" x14ac:dyDescent="0.15">
      <c r="M298" s="2"/>
      <c r="N298" s="2"/>
      <c r="O298" s="2"/>
      <c r="P298" s="2"/>
      <c r="Q298" s="2"/>
      <c r="R298" s="2"/>
      <c r="S298" s="2"/>
      <c r="T298" s="2"/>
      <c r="U298" s="49"/>
      <c r="V298" s="2"/>
      <c r="W298" s="2"/>
      <c r="X298" s="2"/>
      <c r="Y298" s="2"/>
      <c r="Z298" s="2"/>
    </row>
    <row r="299" spans="13:26" ht="15.75" customHeight="1" x14ac:dyDescent="0.15">
      <c r="M299" s="2"/>
      <c r="N299" s="2"/>
      <c r="O299" s="2"/>
      <c r="P299" s="2"/>
      <c r="Q299" s="2"/>
      <c r="R299" s="2"/>
      <c r="S299" s="2"/>
      <c r="T299" s="2"/>
      <c r="U299" s="49"/>
      <c r="V299" s="2"/>
      <c r="W299" s="2"/>
      <c r="X299" s="2"/>
      <c r="Y299" s="2"/>
      <c r="Z299" s="2"/>
    </row>
    <row r="300" spans="13:26" ht="15.75" customHeight="1" x14ac:dyDescent="0.15">
      <c r="M300" s="2"/>
      <c r="N300" s="2"/>
      <c r="O300" s="2"/>
      <c r="P300" s="2"/>
      <c r="Q300" s="2"/>
      <c r="R300" s="2"/>
      <c r="S300" s="2"/>
      <c r="T300" s="2"/>
      <c r="U300" s="49"/>
      <c r="V300" s="2"/>
      <c r="W300" s="2"/>
      <c r="X300" s="2"/>
      <c r="Y300" s="2"/>
      <c r="Z300" s="2"/>
    </row>
    <row r="301" spans="13:26" ht="15.75" customHeight="1" x14ac:dyDescent="0.15">
      <c r="M301" s="2"/>
      <c r="N301" s="2"/>
      <c r="O301" s="2"/>
      <c r="P301" s="2"/>
      <c r="Q301" s="2"/>
      <c r="R301" s="2"/>
      <c r="S301" s="2"/>
      <c r="T301" s="2"/>
      <c r="U301" s="49"/>
      <c r="V301" s="2"/>
      <c r="W301" s="2"/>
      <c r="X301" s="2"/>
      <c r="Y301" s="2"/>
      <c r="Z301" s="2"/>
    </row>
    <row r="302" spans="13:26" ht="15.75" customHeight="1" x14ac:dyDescent="0.15">
      <c r="M302" s="2"/>
      <c r="N302" s="2"/>
      <c r="O302" s="2"/>
      <c r="P302" s="2"/>
      <c r="Q302" s="2"/>
      <c r="R302" s="2"/>
      <c r="S302" s="2"/>
      <c r="T302" s="2"/>
      <c r="U302" s="49"/>
      <c r="V302" s="2"/>
      <c r="W302" s="2"/>
      <c r="X302" s="2"/>
      <c r="Y302" s="2"/>
      <c r="Z302" s="2"/>
    </row>
    <row r="303" spans="13:26" ht="15.75" customHeight="1" x14ac:dyDescent="0.15">
      <c r="M303" s="2"/>
      <c r="N303" s="2"/>
      <c r="O303" s="2"/>
      <c r="P303" s="2"/>
      <c r="Q303" s="2"/>
      <c r="R303" s="2"/>
      <c r="S303" s="2"/>
      <c r="T303" s="2"/>
      <c r="U303" s="49"/>
      <c r="V303" s="2"/>
      <c r="W303" s="2"/>
      <c r="X303" s="2"/>
      <c r="Y303" s="2"/>
      <c r="Z303" s="2"/>
    </row>
    <row r="304" spans="13:26" ht="15.75" customHeight="1" x14ac:dyDescent="0.15">
      <c r="M304" s="2"/>
      <c r="N304" s="2"/>
      <c r="O304" s="2"/>
      <c r="P304" s="2"/>
      <c r="Q304" s="2"/>
      <c r="R304" s="2"/>
      <c r="S304" s="2"/>
      <c r="T304" s="2"/>
      <c r="U304" s="49"/>
      <c r="V304" s="2"/>
      <c r="W304" s="2"/>
      <c r="X304" s="2"/>
      <c r="Y304" s="2"/>
      <c r="Z304" s="2"/>
    </row>
    <row r="305" spans="13:26" ht="15.75" customHeight="1" x14ac:dyDescent="0.15">
      <c r="M305" s="2"/>
      <c r="N305" s="2"/>
      <c r="O305" s="2"/>
      <c r="P305" s="2"/>
      <c r="Q305" s="2"/>
      <c r="R305" s="2"/>
      <c r="S305" s="2"/>
      <c r="T305" s="2"/>
      <c r="U305" s="49"/>
      <c r="V305" s="2"/>
      <c r="W305" s="2"/>
      <c r="X305" s="2"/>
      <c r="Y305" s="2"/>
      <c r="Z305" s="2"/>
    </row>
    <row r="306" spans="13:26" ht="15.75" customHeight="1" x14ac:dyDescent="0.15">
      <c r="M306" s="2"/>
      <c r="N306" s="2"/>
      <c r="O306" s="2"/>
      <c r="P306" s="2"/>
      <c r="Q306" s="2"/>
      <c r="R306" s="2"/>
      <c r="S306" s="2"/>
      <c r="T306" s="2"/>
      <c r="U306" s="49"/>
      <c r="V306" s="2"/>
      <c r="W306" s="2"/>
      <c r="X306" s="2"/>
      <c r="Y306" s="2"/>
      <c r="Z306" s="2"/>
    </row>
    <row r="307" spans="13:26" ht="15.75" customHeight="1" x14ac:dyDescent="0.15">
      <c r="M307" s="2"/>
      <c r="N307" s="2"/>
      <c r="O307" s="2"/>
      <c r="P307" s="2"/>
      <c r="Q307" s="2"/>
      <c r="R307" s="2"/>
      <c r="S307" s="2"/>
      <c r="T307" s="2"/>
      <c r="U307" s="49"/>
      <c r="V307" s="2"/>
      <c r="W307" s="2"/>
      <c r="X307" s="2"/>
      <c r="Y307" s="2"/>
      <c r="Z307" s="2"/>
    </row>
    <row r="308" spans="13:26" ht="15.75" customHeight="1" x14ac:dyDescent="0.15">
      <c r="M308" s="2"/>
      <c r="N308" s="2"/>
      <c r="O308" s="2"/>
      <c r="P308" s="2"/>
      <c r="Q308" s="2"/>
      <c r="R308" s="2"/>
      <c r="S308" s="2"/>
      <c r="T308" s="2"/>
      <c r="U308" s="49"/>
      <c r="V308" s="2"/>
      <c r="W308" s="2"/>
      <c r="X308" s="2"/>
      <c r="Y308" s="2"/>
      <c r="Z308" s="2"/>
    </row>
    <row r="309" spans="13:26" ht="15.75" customHeight="1" x14ac:dyDescent="0.15">
      <c r="M309" s="2"/>
      <c r="N309" s="2"/>
      <c r="O309" s="2"/>
      <c r="P309" s="2"/>
      <c r="Q309" s="2"/>
      <c r="R309" s="2"/>
      <c r="S309" s="2"/>
      <c r="T309" s="2"/>
      <c r="U309" s="49"/>
      <c r="V309" s="2"/>
      <c r="W309" s="2"/>
      <c r="X309" s="2"/>
      <c r="Y309" s="2"/>
      <c r="Z309" s="2"/>
    </row>
    <row r="310" spans="13:26" ht="15.75" customHeight="1" x14ac:dyDescent="0.15">
      <c r="M310" s="2"/>
      <c r="N310" s="2"/>
      <c r="O310" s="2"/>
      <c r="P310" s="2"/>
      <c r="Q310" s="2"/>
      <c r="R310" s="2"/>
      <c r="S310" s="2"/>
      <c r="T310" s="2"/>
      <c r="U310" s="49"/>
      <c r="V310" s="2"/>
      <c r="W310" s="2"/>
      <c r="X310" s="2"/>
      <c r="Y310" s="2"/>
      <c r="Z310" s="2"/>
    </row>
    <row r="311" spans="13:26" ht="15.75" customHeight="1" x14ac:dyDescent="0.15">
      <c r="M311" s="2"/>
      <c r="N311" s="2"/>
      <c r="O311" s="2"/>
      <c r="P311" s="2"/>
      <c r="Q311" s="2"/>
      <c r="R311" s="2"/>
      <c r="S311" s="2"/>
      <c r="T311" s="2"/>
      <c r="U311" s="49"/>
      <c r="V311" s="2"/>
      <c r="W311" s="2"/>
      <c r="X311" s="2"/>
      <c r="Y311" s="2"/>
      <c r="Z311" s="2"/>
    </row>
    <row r="312" spans="13:26" ht="15.75" customHeight="1" x14ac:dyDescent="0.15">
      <c r="M312" s="2"/>
      <c r="N312" s="2"/>
      <c r="O312" s="2"/>
      <c r="P312" s="2"/>
      <c r="Q312" s="2"/>
      <c r="R312" s="2"/>
      <c r="S312" s="2"/>
      <c r="T312" s="2"/>
      <c r="U312" s="49"/>
      <c r="V312" s="2"/>
      <c r="W312" s="2"/>
      <c r="X312" s="2"/>
      <c r="Y312" s="2"/>
      <c r="Z312" s="2"/>
    </row>
    <row r="313" spans="13:26" ht="15.75" customHeight="1" x14ac:dyDescent="0.15">
      <c r="M313" s="2"/>
      <c r="N313" s="2"/>
      <c r="O313" s="2"/>
      <c r="P313" s="2"/>
      <c r="Q313" s="2"/>
      <c r="R313" s="2"/>
      <c r="S313" s="2"/>
      <c r="T313" s="2"/>
      <c r="U313" s="49"/>
      <c r="V313" s="2"/>
      <c r="W313" s="2"/>
      <c r="X313" s="2"/>
      <c r="Y313" s="2"/>
      <c r="Z313" s="2"/>
    </row>
    <row r="314" spans="13:26" ht="15.75" customHeight="1" x14ac:dyDescent="0.15">
      <c r="M314" s="2"/>
      <c r="N314" s="2"/>
      <c r="O314" s="2"/>
      <c r="P314" s="2"/>
      <c r="Q314" s="2"/>
      <c r="R314" s="2"/>
      <c r="S314" s="2"/>
      <c r="T314" s="2"/>
      <c r="U314" s="49"/>
      <c r="V314" s="2"/>
      <c r="W314" s="2"/>
      <c r="X314" s="2"/>
      <c r="Y314" s="2"/>
      <c r="Z314" s="2"/>
    </row>
    <row r="315" spans="13:26" ht="15.75" customHeight="1" x14ac:dyDescent="0.15">
      <c r="M315" s="2"/>
      <c r="N315" s="2"/>
      <c r="O315" s="2"/>
      <c r="P315" s="2"/>
      <c r="Q315" s="2"/>
      <c r="R315" s="2"/>
      <c r="S315" s="2"/>
      <c r="T315" s="2"/>
      <c r="U315" s="49"/>
      <c r="V315" s="2"/>
      <c r="W315" s="2"/>
      <c r="X315" s="2"/>
      <c r="Y315" s="2"/>
      <c r="Z315" s="2"/>
    </row>
    <row r="316" spans="13:26" ht="15.75" customHeight="1" x14ac:dyDescent="0.15">
      <c r="M316" s="2"/>
      <c r="N316" s="2"/>
      <c r="O316" s="2"/>
      <c r="P316" s="2"/>
      <c r="Q316" s="2"/>
      <c r="R316" s="2"/>
      <c r="S316" s="2"/>
      <c r="T316" s="2"/>
      <c r="U316" s="49"/>
      <c r="V316" s="2"/>
      <c r="W316" s="2"/>
      <c r="X316" s="2"/>
      <c r="Y316" s="2"/>
      <c r="Z316" s="2"/>
    </row>
    <row r="317" spans="13:26" ht="15.75" customHeight="1" x14ac:dyDescent="0.15">
      <c r="M317" s="2"/>
      <c r="N317" s="2"/>
      <c r="O317" s="2"/>
      <c r="P317" s="2"/>
      <c r="Q317" s="2"/>
      <c r="R317" s="2"/>
      <c r="S317" s="2"/>
      <c r="T317" s="2"/>
      <c r="U317" s="49"/>
      <c r="V317" s="2"/>
      <c r="W317" s="2"/>
      <c r="X317" s="2"/>
      <c r="Y317" s="2"/>
      <c r="Z317" s="2"/>
    </row>
    <row r="318" spans="13:26" ht="15.75" customHeight="1" x14ac:dyDescent="0.15">
      <c r="M318" s="2"/>
      <c r="N318" s="2"/>
      <c r="O318" s="2"/>
      <c r="P318" s="2"/>
      <c r="Q318" s="2"/>
      <c r="R318" s="2"/>
      <c r="S318" s="2"/>
      <c r="T318" s="2"/>
      <c r="U318" s="49"/>
      <c r="V318" s="2"/>
      <c r="W318" s="2"/>
      <c r="X318" s="2"/>
      <c r="Y318" s="2"/>
      <c r="Z318" s="2"/>
    </row>
    <row r="319" spans="13:26" ht="15.75" customHeight="1" x14ac:dyDescent="0.15">
      <c r="M319" s="2"/>
      <c r="N319" s="2"/>
      <c r="O319" s="2"/>
      <c r="P319" s="2"/>
      <c r="Q319" s="2"/>
      <c r="R319" s="2"/>
      <c r="S319" s="2"/>
      <c r="T319" s="2"/>
      <c r="U319" s="49"/>
      <c r="V319" s="2"/>
      <c r="W319" s="2"/>
      <c r="X319" s="2"/>
      <c r="Y319" s="2"/>
      <c r="Z319" s="2"/>
    </row>
    <row r="320" spans="13:26" ht="15.75" customHeight="1" x14ac:dyDescent="0.15">
      <c r="M320" s="2"/>
      <c r="N320" s="2"/>
      <c r="O320" s="2"/>
      <c r="P320" s="2"/>
      <c r="Q320" s="2"/>
      <c r="R320" s="2"/>
      <c r="S320" s="2"/>
      <c r="T320" s="2"/>
      <c r="U320" s="49"/>
      <c r="V320" s="2"/>
      <c r="W320" s="2"/>
      <c r="X320" s="2"/>
      <c r="Y320" s="2"/>
      <c r="Z320" s="2"/>
    </row>
    <row r="321" spans="13:26" ht="15.75" customHeight="1" x14ac:dyDescent="0.15">
      <c r="M321" s="2"/>
      <c r="N321" s="2"/>
      <c r="O321" s="2"/>
      <c r="P321" s="2"/>
      <c r="Q321" s="2"/>
      <c r="R321" s="2"/>
      <c r="S321" s="2"/>
      <c r="T321" s="2"/>
      <c r="U321" s="49"/>
      <c r="V321" s="2"/>
      <c r="W321" s="2"/>
      <c r="X321" s="2"/>
      <c r="Y321" s="2"/>
      <c r="Z321" s="2"/>
    </row>
    <row r="322" spans="13:26" ht="15.75" customHeight="1" x14ac:dyDescent="0.15">
      <c r="M322" s="2"/>
      <c r="N322" s="2"/>
      <c r="O322" s="2"/>
      <c r="P322" s="2"/>
      <c r="Q322" s="2"/>
      <c r="R322" s="2"/>
      <c r="S322" s="2"/>
      <c r="T322" s="2"/>
      <c r="U322" s="49"/>
      <c r="V322" s="2"/>
      <c r="W322" s="2"/>
      <c r="X322" s="2"/>
      <c r="Y322" s="2"/>
      <c r="Z322" s="2"/>
    </row>
    <row r="323" spans="13:26" ht="15.75" customHeight="1" x14ac:dyDescent="0.15">
      <c r="M323" s="2"/>
      <c r="N323" s="2"/>
      <c r="O323" s="2"/>
      <c r="P323" s="2"/>
      <c r="Q323" s="2"/>
      <c r="R323" s="2"/>
      <c r="S323" s="2"/>
      <c r="T323" s="2"/>
      <c r="U323" s="49"/>
      <c r="V323" s="2"/>
      <c r="W323" s="2"/>
      <c r="X323" s="2"/>
      <c r="Y323" s="2"/>
      <c r="Z323" s="2"/>
    </row>
    <row r="324" spans="13:26" ht="15.75" customHeight="1" x14ac:dyDescent="0.15">
      <c r="M324" s="2"/>
      <c r="N324" s="2"/>
      <c r="O324" s="2"/>
      <c r="P324" s="2"/>
      <c r="Q324" s="2"/>
      <c r="R324" s="2"/>
      <c r="S324" s="2"/>
      <c r="T324" s="2"/>
      <c r="U324" s="49"/>
      <c r="V324" s="2"/>
      <c r="W324" s="2"/>
      <c r="X324" s="2"/>
      <c r="Y324" s="2"/>
      <c r="Z324" s="2"/>
    </row>
    <row r="325" spans="13:26" ht="15.75" customHeight="1" x14ac:dyDescent="0.15">
      <c r="M325" s="2"/>
      <c r="N325" s="2"/>
      <c r="O325" s="2"/>
      <c r="P325" s="2"/>
      <c r="Q325" s="2"/>
      <c r="R325" s="2"/>
      <c r="S325" s="2"/>
      <c r="T325" s="2"/>
      <c r="U325" s="49"/>
      <c r="V325" s="2"/>
      <c r="W325" s="2"/>
      <c r="X325" s="2"/>
      <c r="Y325" s="2"/>
      <c r="Z325" s="2"/>
    </row>
    <row r="326" spans="13:26" ht="15.75" customHeight="1" x14ac:dyDescent="0.15">
      <c r="M326" s="2"/>
      <c r="N326" s="2"/>
      <c r="O326" s="2"/>
      <c r="P326" s="2"/>
      <c r="Q326" s="2"/>
      <c r="R326" s="2"/>
      <c r="S326" s="2"/>
      <c r="T326" s="2"/>
      <c r="U326" s="49"/>
      <c r="V326" s="2"/>
      <c r="W326" s="2"/>
      <c r="X326" s="2"/>
      <c r="Y326" s="2"/>
      <c r="Z326" s="2"/>
    </row>
    <row r="327" spans="13:26" ht="15.75" customHeight="1" x14ac:dyDescent="0.15">
      <c r="M327" s="2"/>
      <c r="N327" s="2"/>
      <c r="O327" s="2"/>
      <c r="P327" s="2"/>
      <c r="Q327" s="2"/>
      <c r="R327" s="2"/>
      <c r="S327" s="2"/>
      <c r="T327" s="2"/>
      <c r="U327" s="49"/>
      <c r="V327" s="2"/>
      <c r="W327" s="2"/>
      <c r="X327" s="2"/>
      <c r="Y327" s="2"/>
      <c r="Z327" s="2"/>
    </row>
    <row r="328" spans="13:26" ht="15.75" customHeight="1" x14ac:dyDescent="0.15">
      <c r="M328" s="2"/>
      <c r="N328" s="2"/>
      <c r="O328" s="2"/>
      <c r="P328" s="2"/>
      <c r="Q328" s="2"/>
      <c r="R328" s="2"/>
      <c r="S328" s="2"/>
      <c r="T328" s="2"/>
      <c r="U328" s="49"/>
      <c r="V328" s="2"/>
      <c r="W328" s="2"/>
      <c r="X328" s="2"/>
      <c r="Y328" s="2"/>
      <c r="Z328" s="2"/>
    </row>
    <row r="329" spans="13:26" ht="15.75" customHeight="1" x14ac:dyDescent="0.15">
      <c r="M329" s="2"/>
      <c r="N329" s="2"/>
      <c r="O329" s="2"/>
      <c r="P329" s="2"/>
      <c r="Q329" s="2"/>
      <c r="R329" s="2"/>
      <c r="S329" s="2"/>
      <c r="T329" s="2"/>
      <c r="U329" s="49"/>
      <c r="V329" s="2"/>
      <c r="W329" s="2"/>
      <c r="X329" s="2"/>
      <c r="Y329" s="2"/>
      <c r="Z329" s="2"/>
    </row>
    <row r="330" spans="13:26" ht="15.75" customHeight="1" x14ac:dyDescent="0.15">
      <c r="M330" s="2"/>
      <c r="N330" s="2"/>
      <c r="O330" s="2"/>
      <c r="P330" s="2"/>
      <c r="Q330" s="2"/>
      <c r="R330" s="2"/>
      <c r="S330" s="2"/>
      <c r="T330" s="2"/>
      <c r="U330" s="49"/>
      <c r="V330" s="2"/>
      <c r="W330" s="2"/>
      <c r="X330" s="2"/>
      <c r="Y330" s="2"/>
      <c r="Z330" s="2"/>
    </row>
    <row r="331" spans="13:26" ht="15.75" customHeight="1" x14ac:dyDescent="0.15">
      <c r="M331" s="2"/>
      <c r="N331" s="2"/>
      <c r="O331" s="2"/>
      <c r="P331" s="2"/>
      <c r="Q331" s="2"/>
      <c r="R331" s="2"/>
      <c r="S331" s="2"/>
      <c r="T331" s="2"/>
      <c r="U331" s="49"/>
      <c r="V331" s="2"/>
      <c r="W331" s="2"/>
      <c r="X331" s="2"/>
      <c r="Y331" s="2"/>
      <c r="Z331" s="2"/>
    </row>
    <row r="332" spans="13:26" ht="15.75" customHeight="1" x14ac:dyDescent="0.15">
      <c r="M332" s="2"/>
      <c r="N332" s="2"/>
      <c r="O332" s="2"/>
      <c r="P332" s="2"/>
      <c r="Q332" s="2"/>
      <c r="R332" s="2"/>
      <c r="S332" s="2"/>
      <c r="T332" s="2"/>
      <c r="U332" s="49"/>
      <c r="V332" s="2"/>
      <c r="W332" s="2"/>
      <c r="X332" s="2"/>
      <c r="Y332" s="2"/>
      <c r="Z332" s="2"/>
    </row>
    <row r="333" spans="13:26" ht="15.75" customHeight="1" x14ac:dyDescent="0.15">
      <c r="M333" s="2"/>
      <c r="N333" s="2"/>
      <c r="O333" s="2"/>
      <c r="P333" s="2"/>
      <c r="Q333" s="2"/>
      <c r="R333" s="2"/>
      <c r="S333" s="2"/>
      <c r="T333" s="2"/>
      <c r="U333" s="49"/>
      <c r="V333" s="2"/>
      <c r="W333" s="2"/>
      <c r="X333" s="2"/>
      <c r="Y333" s="2"/>
      <c r="Z333" s="2"/>
    </row>
    <row r="334" spans="13:26" ht="15.75" customHeight="1" x14ac:dyDescent="0.15">
      <c r="M334" s="2"/>
      <c r="N334" s="2"/>
      <c r="O334" s="2"/>
      <c r="P334" s="2"/>
      <c r="Q334" s="2"/>
      <c r="R334" s="2"/>
      <c r="S334" s="2"/>
      <c r="T334" s="2"/>
      <c r="U334" s="49"/>
      <c r="V334" s="2"/>
      <c r="W334" s="2"/>
      <c r="X334" s="2"/>
      <c r="Y334" s="2"/>
      <c r="Z334" s="2"/>
    </row>
    <row r="335" spans="13:26" ht="15.75" customHeight="1" x14ac:dyDescent="0.15">
      <c r="M335" s="2"/>
      <c r="N335" s="2"/>
      <c r="O335" s="2"/>
      <c r="P335" s="2"/>
      <c r="Q335" s="2"/>
      <c r="R335" s="2"/>
      <c r="S335" s="2"/>
      <c r="T335" s="2"/>
      <c r="U335" s="49"/>
      <c r="V335" s="2"/>
      <c r="W335" s="2"/>
      <c r="X335" s="2"/>
      <c r="Y335" s="2"/>
      <c r="Z335" s="2"/>
    </row>
    <row r="336" spans="13:26" ht="15.75" customHeight="1" x14ac:dyDescent="0.15">
      <c r="M336" s="2"/>
      <c r="N336" s="2"/>
      <c r="O336" s="2"/>
      <c r="P336" s="2"/>
      <c r="Q336" s="2"/>
      <c r="R336" s="2"/>
      <c r="S336" s="2"/>
      <c r="T336" s="2"/>
      <c r="U336" s="49"/>
      <c r="V336" s="2"/>
      <c r="W336" s="2"/>
      <c r="X336" s="2"/>
      <c r="Y336" s="2"/>
      <c r="Z336" s="2"/>
    </row>
    <row r="337" spans="13:26" ht="15.75" customHeight="1" x14ac:dyDescent="0.15">
      <c r="M337" s="2"/>
      <c r="N337" s="2"/>
      <c r="O337" s="2"/>
      <c r="P337" s="2"/>
      <c r="Q337" s="2"/>
      <c r="R337" s="2"/>
      <c r="S337" s="2"/>
      <c r="T337" s="2"/>
      <c r="U337" s="49"/>
      <c r="V337" s="2"/>
      <c r="W337" s="2"/>
      <c r="X337" s="2"/>
      <c r="Y337" s="2"/>
      <c r="Z337" s="2"/>
    </row>
    <row r="338" spans="13:26" ht="15.75" customHeight="1" x14ac:dyDescent="0.15">
      <c r="M338" s="2"/>
      <c r="N338" s="2"/>
      <c r="O338" s="2"/>
      <c r="P338" s="2"/>
      <c r="Q338" s="2"/>
      <c r="R338" s="2"/>
      <c r="S338" s="2"/>
      <c r="T338" s="2"/>
      <c r="U338" s="49"/>
      <c r="V338" s="2"/>
      <c r="W338" s="2"/>
      <c r="X338" s="2"/>
      <c r="Y338" s="2"/>
      <c r="Z338" s="2"/>
    </row>
    <row r="339" spans="13:26" ht="15.75" customHeight="1" x14ac:dyDescent="0.15">
      <c r="M339" s="2"/>
      <c r="N339" s="2"/>
      <c r="O339" s="2"/>
      <c r="P339" s="2"/>
      <c r="Q339" s="2"/>
      <c r="R339" s="2"/>
      <c r="S339" s="2"/>
      <c r="T339" s="2"/>
      <c r="U339" s="49"/>
      <c r="V339" s="2"/>
      <c r="W339" s="2"/>
      <c r="X339" s="2"/>
      <c r="Y339" s="2"/>
      <c r="Z339" s="2"/>
    </row>
    <row r="340" spans="13:26" ht="15.75" customHeight="1" x14ac:dyDescent="0.15">
      <c r="M340" s="2"/>
      <c r="N340" s="2"/>
      <c r="O340" s="2"/>
      <c r="P340" s="2"/>
      <c r="Q340" s="2"/>
      <c r="R340" s="2"/>
      <c r="S340" s="2"/>
      <c r="T340" s="2"/>
      <c r="U340" s="49"/>
      <c r="V340" s="2"/>
      <c r="W340" s="2"/>
      <c r="X340" s="2"/>
      <c r="Y340" s="2"/>
      <c r="Z340" s="2"/>
    </row>
    <row r="341" spans="13:26" ht="15.75" customHeight="1" x14ac:dyDescent="0.15">
      <c r="M341" s="2"/>
      <c r="N341" s="2"/>
      <c r="O341" s="2"/>
      <c r="P341" s="2"/>
      <c r="Q341" s="2"/>
      <c r="R341" s="2"/>
      <c r="S341" s="2"/>
      <c r="T341" s="2"/>
      <c r="U341" s="49"/>
      <c r="V341" s="2"/>
      <c r="W341" s="2"/>
      <c r="X341" s="2"/>
      <c r="Y341" s="2"/>
      <c r="Z341" s="2"/>
    </row>
    <row r="342" spans="13:26" ht="15.75" customHeight="1" x14ac:dyDescent="0.15">
      <c r="M342" s="2"/>
      <c r="N342" s="2"/>
      <c r="O342" s="2"/>
      <c r="P342" s="2"/>
      <c r="Q342" s="2"/>
      <c r="R342" s="2"/>
      <c r="S342" s="2"/>
      <c r="T342" s="2"/>
      <c r="U342" s="49"/>
      <c r="V342" s="2"/>
      <c r="W342" s="2"/>
      <c r="X342" s="2"/>
      <c r="Y342" s="2"/>
      <c r="Z342" s="2"/>
    </row>
    <row r="343" spans="13:26" ht="15.75" customHeight="1" x14ac:dyDescent="0.15">
      <c r="M343" s="2"/>
      <c r="N343" s="2"/>
      <c r="O343" s="2"/>
      <c r="P343" s="2"/>
      <c r="Q343" s="2"/>
      <c r="R343" s="2"/>
      <c r="S343" s="2"/>
      <c r="T343" s="2"/>
      <c r="U343" s="49"/>
      <c r="V343" s="2"/>
      <c r="W343" s="2"/>
      <c r="X343" s="2"/>
      <c r="Y343" s="2"/>
      <c r="Z343" s="2"/>
    </row>
    <row r="344" spans="13:26" ht="15.75" customHeight="1" x14ac:dyDescent="0.15">
      <c r="M344" s="2"/>
      <c r="N344" s="2"/>
      <c r="O344" s="2"/>
      <c r="P344" s="2"/>
      <c r="Q344" s="2"/>
      <c r="R344" s="2"/>
      <c r="S344" s="2"/>
      <c r="T344" s="2"/>
      <c r="U344" s="49"/>
      <c r="V344" s="2"/>
      <c r="W344" s="2"/>
      <c r="X344" s="2"/>
      <c r="Y344" s="2"/>
      <c r="Z344" s="2"/>
    </row>
    <row r="345" spans="13:26" ht="15.75" customHeight="1" x14ac:dyDescent="0.15">
      <c r="M345" s="2"/>
      <c r="N345" s="2"/>
      <c r="O345" s="2"/>
      <c r="P345" s="2"/>
      <c r="Q345" s="2"/>
      <c r="R345" s="2"/>
      <c r="S345" s="2"/>
      <c r="T345" s="2"/>
      <c r="U345" s="49"/>
      <c r="V345" s="2"/>
      <c r="W345" s="2"/>
      <c r="X345" s="2"/>
      <c r="Y345" s="2"/>
      <c r="Z345" s="2"/>
    </row>
    <row r="346" spans="13:26" ht="15.75" customHeight="1" x14ac:dyDescent="0.15">
      <c r="M346" s="2"/>
      <c r="N346" s="2"/>
      <c r="O346" s="2"/>
      <c r="P346" s="2"/>
      <c r="Q346" s="2"/>
      <c r="R346" s="2"/>
      <c r="S346" s="2"/>
      <c r="T346" s="2"/>
      <c r="U346" s="49"/>
      <c r="V346" s="2"/>
      <c r="W346" s="2"/>
      <c r="X346" s="2"/>
      <c r="Y346" s="2"/>
      <c r="Z346" s="2"/>
    </row>
    <row r="347" spans="13:26" ht="15.75" customHeight="1" x14ac:dyDescent="0.15">
      <c r="M347" s="2"/>
      <c r="N347" s="2"/>
      <c r="O347" s="2"/>
      <c r="P347" s="2"/>
      <c r="Q347" s="2"/>
      <c r="R347" s="2"/>
      <c r="S347" s="2"/>
      <c r="T347" s="2"/>
      <c r="U347" s="49"/>
      <c r="V347" s="2"/>
      <c r="W347" s="2"/>
      <c r="X347" s="2"/>
      <c r="Y347" s="2"/>
      <c r="Z347" s="2"/>
    </row>
    <row r="348" spans="13:26" ht="15.75" customHeight="1" x14ac:dyDescent="0.15">
      <c r="M348" s="2"/>
      <c r="N348" s="2"/>
      <c r="O348" s="2"/>
      <c r="P348" s="2"/>
      <c r="Q348" s="2"/>
      <c r="R348" s="2"/>
      <c r="S348" s="2"/>
      <c r="T348" s="2"/>
      <c r="U348" s="49"/>
      <c r="V348" s="2"/>
      <c r="W348" s="2"/>
      <c r="X348" s="2"/>
      <c r="Y348" s="2"/>
      <c r="Z348" s="2"/>
    </row>
    <row r="349" spans="13:26" ht="15.75" customHeight="1" x14ac:dyDescent="0.15">
      <c r="M349" s="2"/>
      <c r="N349" s="2"/>
      <c r="O349" s="2"/>
      <c r="P349" s="2"/>
      <c r="Q349" s="2"/>
      <c r="R349" s="2"/>
      <c r="S349" s="2"/>
      <c r="T349" s="2"/>
      <c r="U349" s="49"/>
      <c r="V349" s="2"/>
      <c r="W349" s="2"/>
      <c r="X349" s="2"/>
      <c r="Y349" s="2"/>
      <c r="Z349" s="2"/>
    </row>
    <row r="350" spans="13:26" ht="15.75" customHeight="1" x14ac:dyDescent="0.15">
      <c r="M350" s="2"/>
      <c r="N350" s="2"/>
      <c r="O350" s="2"/>
      <c r="P350" s="2"/>
      <c r="Q350" s="2"/>
      <c r="R350" s="2"/>
      <c r="S350" s="2"/>
      <c r="T350" s="2"/>
      <c r="U350" s="49"/>
      <c r="V350" s="2"/>
      <c r="W350" s="2"/>
      <c r="X350" s="2"/>
      <c r="Y350" s="2"/>
      <c r="Z350" s="2"/>
    </row>
    <row r="351" spans="13:26" ht="15.75" customHeight="1" x14ac:dyDescent="0.15">
      <c r="M351" s="2"/>
      <c r="N351" s="2"/>
      <c r="O351" s="2"/>
      <c r="P351" s="2"/>
      <c r="Q351" s="2"/>
      <c r="R351" s="2"/>
      <c r="S351" s="2"/>
      <c r="T351" s="2"/>
      <c r="U351" s="49"/>
      <c r="V351" s="2"/>
      <c r="W351" s="2"/>
      <c r="X351" s="2"/>
      <c r="Y351" s="2"/>
      <c r="Z351" s="2"/>
    </row>
    <row r="352" spans="13:26" ht="15.75" customHeight="1" x14ac:dyDescent="0.15">
      <c r="M352" s="2"/>
      <c r="N352" s="2"/>
      <c r="O352" s="2"/>
      <c r="P352" s="2"/>
      <c r="Q352" s="2"/>
      <c r="R352" s="2"/>
      <c r="S352" s="2"/>
      <c r="T352" s="2"/>
      <c r="U352" s="49"/>
      <c r="V352" s="2"/>
      <c r="W352" s="2"/>
      <c r="X352" s="2"/>
      <c r="Y352" s="2"/>
      <c r="Z352" s="2"/>
    </row>
    <row r="353" spans="13:26" ht="15.75" customHeight="1" x14ac:dyDescent="0.15">
      <c r="M353" s="2"/>
      <c r="N353" s="2"/>
      <c r="O353" s="2"/>
      <c r="P353" s="2"/>
      <c r="Q353" s="2"/>
      <c r="R353" s="2"/>
      <c r="S353" s="2"/>
      <c r="T353" s="2"/>
      <c r="U353" s="49"/>
      <c r="V353" s="2"/>
      <c r="W353" s="2"/>
      <c r="X353" s="2"/>
      <c r="Y353" s="2"/>
      <c r="Z353" s="2"/>
    </row>
    <row r="354" spans="13:26" ht="15.75" customHeight="1" x14ac:dyDescent="0.15">
      <c r="M354" s="2"/>
      <c r="N354" s="2"/>
      <c r="O354" s="2"/>
      <c r="P354" s="2"/>
      <c r="Q354" s="2"/>
      <c r="R354" s="2"/>
      <c r="S354" s="2"/>
      <c r="T354" s="2"/>
      <c r="U354" s="49"/>
      <c r="V354" s="2"/>
      <c r="W354" s="2"/>
      <c r="X354" s="2"/>
      <c r="Y354" s="2"/>
      <c r="Z354" s="2"/>
    </row>
    <row r="355" spans="13:26" ht="15.75" customHeight="1" x14ac:dyDescent="0.15">
      <c r="M355" s="2"/>
      <c r="N355" s="2"/>
      <c r="O355" s="2"/>
      <c r="P355" s="2"/>
      <c r="Q355" s="2"/>
      <c r="R355" s="2"/>
      <c r="S355" s="2"/>
      <c r="T355" s="2"/>
      <c r="U355" s="49"/>
      <c r="V355" s="2"/>
      <c r="W355" s="2"/>
      <c r="X355" s="2"/>
      <c r="Y355" s="2"/>
      <c r="Z355" s="2"/>
    </row>
    <row r="356" spans="13:26" ht="15.75" customHeight="1" x14ac:dyDescent="0.15">
      <c r="M356" s="2"/>
      <c r="N356" s="2"/>
      <c r="O356" s="2"/>
      <c r="P356" s="2"/>
      <c r="Q356" s="2"/>
      <c r="R356" s="2"/>
      <c r="S356" s="2"/>
      <c r="T356" s="2"/>
      <c r="U356" s="49"/>
      <c r="V356" s="2"/>
      <c r="W356" s="2"/>
      <c r="X356" s="2"/>
      <c r="Y356" s="2"/>
      <c r="Z356" s="2"/>
    </row>
    <row r="357" spans="13:26" ht="15.75" customHeight="1" x14ac:dyDescent="0.15">
      <c r="M357" s="2"/>
      <c r="N357" s="2"/>
      <c r="O357" s="2"/>
      <c r="P357" s="2"/>
      <c r="Q357" s="2"/>
      <c r="R357" s="2"/>
      <c r="S357" s="2"/>
      <c r="T357" s="2"/>
      <c r="U357" s="49"/>
      <c r="V357" s="2"/>
      <c r="W357" s="2"/>
      <c r="X357" s="2"/>
      <c r="Y357" s="2"/>
      <c r="Z357" s="2"/>
    </row>
    <row r="358" spans="13:26" ht="15.75" customHeight="1" x14ac:dyDescent="0.15">
      <c r="M358" s="2"/>
      <c r="N358" s="2"/>
      <c r="O358" s="2"/>
      <c r="P358" s="2"/>
      <c r="Q358" s="2"/>
      <c r="R358" s="2"/>
      <c r="S358" s="2"/>
      <c r="T358" s="2"/>
      <c r="U358" s="49"/>
      <c r="V358" s="2"/>
      <c r="W358" s="2"/>
      <c r="X358" s="2"/>
      <c r="Y358" s="2"/>
      <c r="Z358" s="2"/>
    </row>
    <row r="359" spans="13:26" ht="15.75" customHeight="1" x14ac:dyDescent="0.15">
      <c r="M359" s="2"/>
      <c r="N359" s="2"/>
      <c r="O359" s="2"/>
      <c r="P359" s="2"/>
      <c r="Q359" s="2"/>
      <c r="R359" s="2"/>
      <c r="S359" s="2"/>
      <c r="T359" s="2"/>
      <c r="U359" s="49"/>
      <c r="V359" s="2"/>
      <c r="W359" s="2"/>
      <c r="X359" s="2"/>
      <c r="Y359" s="2"/>
      <c r="Z359" s="2"/>
    </row>
    <row r="360" spans="13:26" ht="15.75" customHeight="1" x14ac:dyDescent="0.15">
      <c r="M360" s="2"/>
      <c r="N360" s="2"/>
      <c r="O360" s="2"/>
      <c r="P360" s="2"/>
      <c r="Q360" s="2"/>
      <c r="R360" s="2"/>
      <c r="S360" s="2"/>
      <c r="T360" s="2"/>
      <c r="U360" s="49"/>
      <c r="V360" s="2"/>
      <c r="W360" s="2"/>
      <c r="X360" s="2"/>
      <c r="Y360" s="2"/>
      <c r="Z360" s="2"/>
    </row>
    <row r="361" spans="13:26" ht="15.75" customHeight="1" x14ac:dyDescent="0.15">
      <c r="M361" s="2"/>
      <c r="N361" s="2"/>
      <c r="O361" s="2"/>
      <c r="P361" s="2"/>
      <c r="Q361" s="2"/>
      <c r="R361" s="2"/>
      <c r="S361" s="2"/>
      <c r="T361" s="2"/>
      <c r="U361" s="49"/>
      <c r="V361" s="2"/>
      <c r="W361" s="2"/>
      <c r="X361" s="2"/>
      <c r="Y361" s="2"/>
      <c r="Z361" s="2"/>
    </row>
    <row r="362" spans="13:26" ht="15.75" customHeight="1" x14ac:dyDescent="0.15">
      <c r="M362" s="2"/>
      <c r="N362" s="2"/>
      <c r="O362" s="2"/>
      <c r="P362" s="2"/>
      <c r="Q362" s="2"/>
      <c r="R362" s="2"/>
      <c r="S362" s="2"/>
      <c r="T362" s="2"/>
      <c r="U362" s="49"/>
      <c r="V362" s="2"/>
      <c r="W362" s="2"/>
      <c r="X362" s="2"/>
      <c r="Y362" s="2"/>
      <c r="Z362" s="2"/>
    </row>
    <row r="363" spans="13:26" ht="15.75" customHeight="1" x14ac:dyDescent="0.15">
      <c r="M363" s="2"/>
      <c r="N363" s="2"/>
      <c r="O363" s="2"/>
      <c r="P363" s="2"/>
      <c r="Q363" s="2"/>
      <c r="R363" s="2"/>
      <c r="S363" s="2"/>
      <c r="T363" s="2"/>
      <c r="U363" s="49"/>
      <c r="V363" s="2"/>
      <c r="W363" s="2"/>
      <c r="X363" s="2"/>
      <c r="Y363" s="2"/>
      <c r="Z363" s="2"/>
    </row>
    <row r="364" spans="13:26" ht="15.75" customHeight="1" x14ac:dyDescent="0.15">
      <c r="M364" s="2"/>
      <c r="N364" s="2"/>
      <c r="O364" s="2"/>
      <c r="P364" s="2"/>
      <c r="Q364" s="2"/>
      <c r="R364" s="2"/>
      <c r="S364" s="2"/>
      <c r="T364" s="2"/>
      <c r="U364" s="49"/>
      <c r="V364" s="2"/>
      <c r="W364" s="2"/>
      <c r="X364" s="2"/>
      <c r="Y364" s="2"/>
      <c r="Z364" s="2"/>
    </row>
    <row r="365" spans="13:26" ht="15.75" customHeight="1" x14ac:dyDescent="0.15">
      <c r="M365" s="2"/>
      <c r="N365" s="2"/>
      <c r="O365" s="2"/>
      <c r="P365" s="2"/>
      <c r="Q365" s="2"/>
      <c r="R365" s="2"/>
      <c r="S365" s="2"/>
      <c r="T365" s="2"/>
      <c r="U365" s="49"/>
      <c r="V365" s="2"/>
      <c r="W365" s="2"/>
      <c r="X365" s="2"/>
      <c r="Y365" s="2"/>
      <c r="Z365" s="2"/>
    </row>
    <row r="366" spans="13:26" ht="15.75" customHeight="1" x14ac:dyDescent="0.15">
      <c r="M366" s="2"/>
      <c r="N366" s="2"/>
      <c r="O366" s="2"/>
      <c r="P366" s="2"/>
      <c r="Q366" s="2"/>
      <c r="R366" s="2"/>
      <c r="S366" s="2"/>
      <c r="T366" s="2"/>
      <c r="U366" s="49"/>
      <c r="V366" s="2"/>
      <c r="W366" s="2"/>
      <c r="X366" s="2"/>
      <c r="Y366" s="2"/>
      <c r="Z366" s="2"/>
    </row>
    <row r="367" spans="13:26" ht="15.75" customHeight="1" x14ac:dyDescent="0.15">
      <c r="M367" s="2"/>
      <c r="N367" s="2"/>
      <c r="O367" s="2"/>
      <c r="P367" s="2"/>
      <c r="Q367" s="2"/>
      <c r="R367" s="2"/>
      <c r="S367" s="2"/>
      <c r="T367" s="2"/>
      <c r="U367" s="49"/>
      <c r="V367" s="2"/>
      <c r="W367" s="2"/>
      <c r="X367" s="2"/>
      <c r="Y367" s="2"/>
      <c r="Z367" s="2"/>
    </row>
    <row r="368" spans="13:26" ht="15.75" customHeight="1" x14ac:dyDescent="0.15">
      <c r="M368" s="2"/>
      <c r="N368" s="2"/>
      <c r="O368" s="2"/>
      <c r="P368" s="2"/>
      <c r="Q368" s="2"/>
      <c r="R368" s="2"/>
      <c r="S368" s="2"/>
      <c r="T368" s="2"/>
      <c r="U368" s="49"/>
      <c r="V368" s="2"/>
      <c r="W368" s="2"/>
      <c r="X368" s="2"/>
      <c r="Y368" s="2"/>
      <c r="Z368" s="2"/>
    </row>
    <row r="369" spans="13:26" ht="15.75" customHeight="1" x14ac:dyDescent="0.15">
      <c r="M369" s="2"/>
      <c r="N369" s="2"/>
      <c r="O369" s="2"/>
      <c r="P369" s="2"/>
      <c r="Q369" s="2"/>
      <c r="R369" s="2"/>
      <c r="S369" s="2"/>
      <c r="T369" s="2"/>
      <c r="U369" s="49"/>
      <c r="V369" s="2"/>
      <c r="W369" s="2"/>
      <c r="X369" s="2"/>
      <c r="Y369" s="2"/>
      <c r="Z369" s="2"/>
    </row>
    <row r="370" spans="13:26" ht="15.75" customHeight="1" x14ac:dyDescent="0.15">
      <c r="M370" s="2"/>
      <c r="N370" s="2"/>
      <c r="O370" s="2"/>
      <c r="P370" s="2"/>
      <c r="Q370" s="2"/>
      <c r="R370" s="2"/>
      <c r="S370" s="2"/>
      <c r="T370" s="2"/>
      <c r="U370" s="49"/>
      <c r="V370" s="2"/>
      <c r="W370" s="2"/>
      <c r="X370" s="2"/>
      <c r="Y370" s="2"/>
      <c r="Z370" s="2"/>
    </row>
    <row r="371" spans="13:26" ht="15.75" customHeight="1" x14ac:dyDescent="0.15">
      <c r="M371" s="2"/>
      <c r="N371" s="2"/>
      <c r="O371" s="2"/>
      <c r="P371" s="2"/>
      <c r="Q371" s="2"/>
      <c r="R371" s="2"/>
      <c r="S371" s="2"/>
      <c r="T371" s="2"/>
      <c r="U371" s="49"/>
      <c r="V371" s="2"/>
      <c r="W371" s="2"/>
      <c r="X371" s="2"/>
      <c r="Y371" s="2"/>
      <c r="Z371" s="2"/>
    </row>
    <row r="372" spans="13:26" ht="15.75" customHeight="1" x14ac:dyDescent="0.15">
      <c r="M372" s="2"/>
      <c r="N372" s="2"/>
      <c r="O372" s="2"/>
      <c r="P372" s="2"/>
      <c r="Q372" s="2"/>
      <c r="R372" s="2"/>
      <c r="S372" s="2"/>
      <c r="T372" s="2"/>
      <c r="U372" s="49"/>
      <c r="V372" s="2"/>
      <c r="W372" s="2"/>
      <c r="X372" s="2"/>
      <c r="Y372" s="2"/>
      <c r="Z372" s="2"/>
    </row>
    <row r="373" spans="13:26" ht="15.75" customHeight="1" x14ac:dyDescent="0.15">
      <c r="M373" s="2"/>
      <c r="N373" s="2"/>
      <c r="O373" s="2"/>
      <c r="P373" s="2"/>
      <c r="Q373" s="2"/>
      <c r="R373" s="2"/>
      <c r="S373" s="2"/>
      <c r="T373" s="2"/>
      <c r="U373" s="49"/>
      <c r="V373" s="2"/>
      <c r="W373" s="2"/>
      <c r="X373" s="2"/>
      <c r="Y373" s="2"/>
      <c r="Z373" s="2"/>
    </row>
    <row r="374" spans="13:26" ht="15.75" customHeight="1" x14ac:dyDescent="0.15">
      <c r="M374" s="2"/>
      <c r="N374" s="2"/>
      <c r="O374" s="2"/>
      <c r="P374" s="2"/>
      <c r="Q374" s="2"/>
      <c r="R374" s="2"/>
      <c r="S374" s="2"/>
      <c r="T374" s="2"/>
      <c r="U374" s="49"/>
      <c r="V374" s="2"/>
      <c r="W374" s="2"/>
      <c r="X374" s="2"/>
      <c r="Y374" s="2"/>
      <c r="Z374" s="2"/>
    </row>
    <row r="375" spans="13:26" ht="15.75" customHeight="1" x14ac:dyDescent="0.15">
      <c r="M375" s="2"/>
      <c r="N375" s="2"/>
      <c r="O375" s="2"/>
      <c r="P375" s="2"/>
      <c r="Q375" s="2"/>
      <c r="R375" s="2"/>
      <c r="S375" s="2"/>
      <c r="T375" s="2"/>
      <c r="U375" s="49"/>
      <c r="V375" s="2"/>
      <c r="W375" s="2"/>
      <c r="X375" s="2"/>
      <c r="Y375" s="2"/>
      <c r="Z375" s="2"/>
    </row>
    <row r="376" spans="13:26" ht="15.75" customHeight="1" x14ac:dyDescent="0.15">
      <c r="M376" s="2"/>
      <c r="N376" s="2"/>
      <c r="O376" s="2"/>
      <c r="P376" s="2"/>
      <c r="Q376" s="2"/>
      <c r="R376" s="2"/>
      <c r="S376" s="2"/>
      <c r="T376" s="2"/>
      <c r="U376" s="49"/>
      <c r="V376" s="2"/>
      <c r="W376" s="2"/>
      <c r="X376" s="2"/>
      <c r="Y376" s="2"/>
      <c r="Z376" s="2"/>
    </row>
    <row r="377" spans="13:26" ht="15.75" customHeight="1" x14ac:dyDescent="0.15">
      <c r="M377" s="2"/>
      <c r="N377" s="2"/>
      <c r="O377" s="2"/>
      <c r="P377" s="2"/>
      <c r="Q377" s="2"/>
      <c r="R377" s="2"/>
      <c r="S377" s="2"/>
      <c r="T377" s="2"/>
      <c r="U377" s="49"/>
      <c r="V377" s="2"/>
      <c r="W377" s="2"/>
      <c r="X377" s="2"/>
      <c r="Y377" s="2"/>
      <c r="Z377" s="2"/>
    </row>
    <row r="378" spans="13:26" ht="15.75" customHeight="1" x14ac:dyDescent="0.15">
      <c r="M378" s="2"/>
      <c r="N378" s="2"/>
      <c r="O378" s="2"/>
      <c r="P378" s="2"/>
      <c r="Q378" s="2"/>
      <c r="R378" s="2"/>
      <c r="S378" s="2"/>
      <c r="T378" s="2"/>
      <c r="U378" s="49"/>
      <c r="V378" s="2"/>
      <c r="W378" s="2"/>
      <c r="X378" s="2"/>
      <c r="Y378" s="2"/>
      <c r="Z378" s="2"/>
    </row>
    <row r="379" spans="13:26" ht="15.75" customHeight="1" x14ac:dyDescent="0.15">
      <c r="M379" s="2"/>
      <c r="N379" s="2"/>
      <c r="O379" s="2"/>
      <c r="P379" s="2"/>
      <c r="Q379" s="2"/>
      <c r="R379" s="2"/>
      <c r="S379" s="2"/>
      <c r="T379" s="2"/>
      <c r="U379" s="49"/>
      <c r="V379" s="2"/>
      <c r="W379" s="2"/>
      <c r="X379" s="2"/>
      <c r="Y379" s="2"/>
      <c r="Z379" s="2"/>
    </row>
    <row r="380" spans="13:26" ht="15.75" customHeight="1" x14ac:dyDescent="0.15">
      <c r="M380" s="2"/>
      <c r="N380" s="2"/>
      <c r="O380" s="2"/>
      <c r="P380" s="2"/>
      <c r="Q380" s="2"/>
      <c r="R380" s="2"/>
      <c r="S380" s="2"/>
      <c r="T380" s="2"/>
      <c r="U380" s="49"/>
      <c r="V380" s="2"/>
      <c r="W380" s="2"/>
      <c r="X380" s="2"/>
      <c r="Y380" s="2"/>
      <c r="Z380" s="2"/>
    </row>
    <row r="381" spans="13:26" ht="15.75" customHeight="1" x14ac:dyDescent="0.15">
      <c r="M381" s="2"/>
      <c r="N381" s="2"/>
      <c r="O381" s="2"/>
      <c r="P381" s="2"/>
      <c r="Q381" s="2"/>
      <c r="R381" s="2"/>
      <c r="S381" s="2"/>
      <c r="T381" s="2"/>
      <c r="U381" s="49"/>
      <c r="V381" s="2"/>
      <c r="W381" s="2"/>
      <c r="X381" s="2"/>
      <c r="Y381" s="2"/>
      <c r="Z381" s="2"/>
    </row>
    <row r="382" spans="13:26" ht="15.75" customHeight="1" x14ac:dyDescent="0.15">
      <c r="M382" s="2"/>
      <c r="N382" s="2"/>
      <c r="O382" s="2"/>
      <c r="P382" s="2"/>
      <c r="Q382" s="2"/>
      <c r="R382" s="2"/>
      <c r="S382" s="2"/>
      <c r="T382" s="2"/>
      <c r="U382" s="49"/>
      <c r="V382" s="2"/>
      <c r="W382" s="2"/>
      <c r="X382" s="2"/>
      <c r="Y382" s="2"/>
      <c r="Z382" s="2"/>
    </row>
    <row r="383" spans="13:26" ht="15.75" customHeight="1" x14ac:dyDescent="0.15">
      <c r="M383" s="2"/>
      <c r="N383" s="2"/>
      <c r="O383" s="2"/>
      <c r="P383" s="2"/>
      <c r="Q383" s="2"/>
      <c r="R383" s="2"/>
      <c r="S383" s="2"/>
      <c r="T383" s="2"/>
      <c r="U383" s="49"/>
      <c r="V383" s="2"/>
      <c r="W383" s="2"/>
      <c r="X383" s="2"/>
      <c r="Y383" s="2"/>
      <c r="Z383" s="2"/>
    </row>
    <row r="384" spans="13:26" ht="15.75" customHeight="1" x14ac:dyDescent="0.15">
      <c r="M384" s="2"/>
      <c r="N384" s="2"/>
      <c r="O384" s="2"/>
      <c r="P384" s="2"/>
      <c r="Q384" s="2"/>
      <c r="R384" s="2"/>
      <c r="S384" s="2"/>
      <c r="T384" s="2"/>
      <c r="U384" s="49"/>
      <c r="V384" s="2"/>
      <c r="W384" s="2"/>
      <c r="X384" s="2"/>
      <c r="Y384" s="2"/>
      <c r="Z384" s="2"/>
    </row>
    <row r="385" spans="13:26" ht="15.75" customHeight="1" x14ac:dyDescent="0.15">
      <c r="M385" s="2"/>
      <c r="N385" s="2"/>
      <c r="O385" s="2"/>
      <c r="P385" s="2"/>
      <c r="Q385" s="2"/>
      <c r="R385" s="2"/>
      <c r="S385" s="2"/>
      <c r="T385" s="2"/>
      <c r="U385" s="49"/>
      <c r="V385" s="2"/>
      <c r="W385" s="2"/>
      <c r="X385" s="2"/>
      <c r="Y385" s="2"/>
      <c r="Z385" s="2"/>
    </row>
    <row r="386" spans="13:26" ht="15.75" customHeight="1" x14ac:dyDescent="0.15">
      <c r="M386" s="2"/>
      <c r="N386" s="2"/>
      <c r="O386" s="2"/>
      <c r="P386" s="2"/>
      <c r="Q386" s="2"/>
      <c r="R386" s="2"/>
      <c r="S386" s="2"/>
      <c r="T386" s="2"/>
      <c r="U386" s="49"/>
      <c r="V386" s="2"/>
      <c r="W386" s="2"/>
      <c r="X386" s="2"/>
      <c r="Y386" s="2"/>
      <c r="Z386" s="2"/>
    </row>
    <row r="387" spans="13:26" ht="15.75" customHeight="1" x14ac:dyDescent="0.15">
      <c r="M387" s="2"/>
      <c r="N387" s="2"/>
      <c r="O387" s="2"/>
      <c r="P387" s="2"/>
      <c r="Q387" s="2"/>
      <c r="R387" s="2"/>
      <c r="S387" s="2"/>
      <c r="T387" s="2"/>
      <c r="U387" s="49"/>
      <c r="V387" s="2"/>
      <c r="W387" s="2"/>
      <c r="X387" s="2"/>
      <c r="Y387" s="2"/>
      <c r="Z387" s="2"/>
    </row>
    <row r="388" spans="13:26" ht="15.75" customHeight="1" x14ac:dyDescent="0.15">
      <c r="M388" s="2"/>
      <c r="N388" s="2"/>
      <c r="O388" s="2"/>
      <c r="P388" s="2"/>
      <c r="Q388" s="2"/>
      <c r="R388" s="2"/>
      <c r="S388" s="2"/>
      <c r="T388" s="2"/>
      <c r="U388" s="49"/>
      <c r="V388" s="2"/>
      <c r="W388" s="2"/>
      <c r="X388" s="2"/>
      <c r="Y388" s="2"/>
      <c r="Z388" s="2"/>
    </row>
    <row r="389" spans="13:26" ht="15.75" customHeight="1" x14ac:dyDescent="0.15">
      <c r="M389" s="2"/>
      <c r="N389" s="2"/>
      <c r="O389" s="2"/>
      <c r="P389" s="2"/>
      <c r="Q389" s="2"/>
      <c r="R389" s="2"/>
      <c r="S389" s="2"/>
      <c r="T389" s="2"/>
      <c r="U389" s="49"/>
      <c r="V389" s="2"/>
      <c r="W389" s="2"/>
      <c r="X389" s="2"/>
      <c r="Y389" s="2"/>
      <c r="Z389" s="2"/>
    </row>
    <row r="390" spans="13:26" ht="15.75" customHeight="1" x14ac:dyDescent="0.15">
      <c r="M390" s="2"/>
      <c r="N390" s="2"/>
      <c r="O390" s="2"/>
      <c r="P390" s="2"/>
      <c r="Q390" s="2"/>
      <c r="R390" s="2"/>
      <c r="S390" s="2"/>
      <c r="T390" s="2"/>
      <c r="U390" s="49"/>
      <c r="V390" s="2"/>
      <c r="W390" s="2"/>
      <c r="X390" s="2"/>
      <c r="Y390" s="2"/>
      <c r="Z390" s="2"/>
    </row>
    <row r="391" spans="13:26" ht="15.75" customHeight="1" x14ac:dyDescent="0.15">
      <c r="M391" s="2"/>
      <c r="N391" s="2"/>
      <c r="O391" s="2"/>
      <c r="P391" s="2"/>
      <c r="Q391" s="2"/>
      <c r="R391" s="2"/>
      <c r="S391" s="2"/>
      <c r="T391" s="2"/>
      <c r="U391" s="49"/>
      <c r="V391" s="2"/>
      <c r="W391" s="2"/>
      <c r="X391" s="2"/>
      <c r="Y391" s="2"/>
      <c r="Z391" s="2"/>
    </row>
    <row r="392" spans="13:26" ht="15.75" customHeight="1" x14ac:dyDescent="0.15">
      <c r="M392" s="2"/>
      <c r="N392" s="2"/>
      <c r="O392" s="2"/>
      <c r="P392" s="2"/>
      <c r="Q392" s="2"/>
      <c r="R392" s="2"/>
      <c r="S392" s="2"/>
      <c r="T392" s="2"/>
      <c r="U392" s="49"/>
      <c r="V392" s="2"/>
      <c r="W392" s="2"/>
      <c r="X392" s="2"/>
      <c r="Y392" s="2"/>
      <c r="Z392" s="2"/>
    </row>
    <row r="393" spans="13:26" ht="15.75" customHeight="1" x14ac:dyDescent="0.15">
      <c r="M393" s="2"/>
      <c r="N393" s="2"/>
      <c r="O393" s="2"/>
      <c r="P393" s="2"/>
      <c r="Q393" s="2"/>
      <c r="R393" s="2"/>
      <c r="S393" s="2"/>
      <c r="T393" s="2"/>
      <c r="U393" s="49"/>
      <c r="V393" s="2"/>
      <c r="W393" s="2"/>
      <c r="X393" s="2"/>
      <c r="Y393" s="2"/>
      <c r="Z393" s="2"/>
    </row>
    <row r="394" spans="13:26" ht="15.75" customHeight="1" x14ac:dyDescent="0.15">
      <c r="M394" s="2"/>
      <c r="N394" s="2"/>
      <c r="O394" s="2"/>
      <c r="P394" s="2"/>
      <c r="Q394" s="2"/>
      <c r="R394" s="2"/>
      <c r="S394" s="2"/>
      <c r="T394" s="2"/>
      <c r="U394" s="49"/>
      <c r="V394" s="2"/>
      <c r="W394" s="2"/>
      <c r="X394" s="2"/>
      <c r="Y394" s="2"/>
      <c r="Z394" s="2"/>
    </row>
    <row r="395" spans="13:26" ht="15.75" customHeight="1" x14ac:dyDescent="0.15">
      <c r="M395" s="2"/>
      <c r="N395" s="2"/>
      <c r="O395" s="2"/>
      <c r="P395" s="2"/>
      <c r="Q395" s="2"/>
      <c r="R395" s="2"/>
      <c r="S395" s="2"/>
      <c r="T395" s="2"/>
      <c r="U395" s="49"/>
      <c r="V395" s="2"/>
      <c r="W395" s="2"/>
      <c r="X395" s="2"/>
      <c r="Y395" s="2"/>
      <c r="Z395" s="2"/>
    </row>
    <row r="396" spans="13:26" ht="15.75" customHeight="1" x14ac:dyDescent="0.15">
      <c r="M396" s="2"/>
      <c r="N396" s="2"/>
      <c r="O396" s="2"/>
      <c r="P396" s="2"/>
      <c r="Q396" s="2"/>
      <c r="R396" s="2"/>
      <c r="S396" s="2"/>
      <c r="T396" s="2"/>
      <c r="U396" s="49"/>
      <c r="V396" s="2"/>
      <c r="W396" s="2"/>
      <c r="X396" s="2"/>
      <c r="Y396" s="2"/>
      <c r="Z396" s="2"/>
    </row>
    <row r="397" spans="13:26" ht="15.75" customHeight="1" x14ac:dyDescent="0.15">
      <c r="M397" s="2"/>
      <c r="N397" s="2"/>
      <c r="O397" s="2"/>
      <c r="P397" s="2"/>
      <c r="Q397" s="2"/>
      <c r="R397" s="2"/>
      <c r="S397" s="2"/>
      <c r="T397" s="2"/>
      <c r="U397" s="49"/>
      <c r="V397" s="2"/>
      <c r="W397" s="2"/>
      <c r="X397" s="2"/>
      <c r="Y397" s="2"/>
      <c r="Z397" s="2"/>
    </row>
    <row r="398" spans="13:26" ht="15.75" customHeight="1" x14ac:dyDescent="0.15">
      <c r="M398" s="2"/>
      <c r="N398" s="2"/>
      <c r="O398" s="2"/>
      <c r="P398" s="2"/>
      <c r="Q398" s="2"/>
      <c r="R398" s="2"/>
      <c r="S398" s="2"/>
      <c r="T398" s="2"/>
      <c r="U398" s="49"/>
      <c r="V398" s="2"/>
      <c r="W398" s="2"/>
      <c r="X398" s="2"/>
      <c r="Y398" s="2"/>
      <c r="Z398" s="2"/>
    </row>
    <row r="399" spans="13:26" ht="15.75" customHeight="1" x14ac:dyDescent="0.15">
      <c r="M399" s="2"/>
      <c r="N399" s="2"/>
      <c r="O399" s="2"/>
      <c r="P399" s="2"/>
      <c r="Q399" s="2"/>
      <c r="R399" s="2"/>
      <c r="S399" s="2"/>
      <c r="T399" s="2"/>
      <c r="U399" s="49"/>
      <c r="V399" s="2"/>
      <c r="W399" s="2"/>
      <c r="X399" s="2"/>
      <c r="Y399" s="2"/>
      <c r="Z399" s="2"/>
    </row>
    <row r="400" spans="13:26" ht="15.75" customHeight="1" x14ac:dyDescent="0.15">
      <c r="M400" s="2"/>
      <c r="N400" s="2"/>
      <c r="O400" s="2"/>
      <c r="P400" s="2"/>
      <c r="Q400" s="2"/>
      <c r="R400" s="2"/>
      <c r="S400" s="2"/>
      <c r="T400" s="2"/>
      <c r="U400" s="49"/>
      <c r="V400" s="2"/>
      <c r="W400" s="2"/>
      <c r="X400" s="2"/>
      <c r="Y400" s="2"/>
      <c r="Z400" s="2"/>
    </row>
    <row r="401" spans="13:26" ht="15.75" customHeight="1" x14ac:dyDescent="0.15">
      <c r="M401" s="2"/>
      <c r="N401" s="2"/>
      <c r="O401" s="2"/>
      <c r="P401" s="2"/>
      <c r="Q401" s="2"/>
      <c r="R401" s="2"/>
      <c r="S401" s="2"/>
      <c r="T401" s="2"/>
      <c r="U401" s="49"/>
      <c r="V401" s="2"/>
      <c r="W401" s="2"/>
      <c r="X401" s="2"/>
      <c r="Y401" s="2"/>
      <c r="Z401" s="2"/>
    </row>
    <row r="402" spans="13:26" ht="15.75" customHeight="1" x14ac:dyDescent="0.15">
      <c r="M402" s="2"/>
      <c r="N402" s="2"/>
      <c r="O402" s="2"/>
      <c r="P402" s="2"/>
      <c r="Q402" s="2"/>
      <c r="R402" s="2"/>
      <c r="S402" s="2"/>
      <c r="T402" s="2"/>
      <c r="U402" s="49"/>
      <c r="V402" s="2"/>
      <c r="W402" s="2"/>
      <c r="X402" s="2"/>
      <c r="Y402" s="2"/>
      <c r="Z402" s="2"/>
    </row>
    <row r="403" spans="13:26" ht="15.75" customHeight="1" x14ac:dyDescent="0.15">
      <c r="M403" s="2"/>
      <c r="N403" s="2"/>
      <c r="O403" s="2"/>
      <c r="P403" s="2"/>
      <c r="Q403" s="2"/>
      <c r="R403" s="2"/>
      <c r="S403" s="2"/>
      <c r="T403" s="2"/>
      <c r="U403" s="49"/>
      <c r="V403" s="2"/>
      <c r="W403" s="2"/>
      <c r="X403" s="2"/>
      <c r="Y403" s="2"/>
      <c r="Z403" s="2"/>
    </row>
    <row r="404" spans="13:26" ht="15.75" customHeight="1" x14ac:dyDescent="0.15">
      <c r="M404" s="2"/>
      <c r="N404" s="2"/>
      <c r="O404" s="2"/>
      <c r="P404" s="2"/>
      <c r="Q404" s="2"/>
      <c r="R404" s="2"/>
      <c r="S404" s="2"/>
      <c r="T404" s="2"/>
      <c r="U404" s="49"/>
      <c r="V404" s="2"/>
      <c r="W404" s="2"/>
      <c r="X404" s="2"/>
      <c r="Y404" s="2"/>
      <c r="Z404" s="2"/>
    </row>
    <row r="405" spans="13:26" ht="15.75" customHeight="1" x14ac:dyDescent="0.15">
      <c r="M405" s="2"/>
      <c r="N405" s="2"/>
      <c r="O405" s="2"/>
      <c r="P405" s="2"/>
      <c r="Q405" s="2"/>
      <c r="R405" s="2"/>
      <c r="S405" s="2"/>
      <c r="T405" s="2"/>
      <c r="U405" s="49"/>
      <c r="V405" s="2"/>
      <c r="W405" s="2"/>
      <c r="X405" s="2"/>
      <c r="Y405" s="2"/>
      <c r="Z405" s="2"/>
    </row>
    <row r="406" spans="13:26" ht="15.75" customHeight="1" x14ac:dyDescent="0.15">
      <c r="M406" s="2"/>
      <c r="N406" s="2"/>
      <c r="O406" s="2"/>
      <c r="P406" s="2"/>
      <c r="Q406" s="2"/>
      <c r="R406" s="2"/>
      <c r="S406" s="2"/>
      <c r="T406" s="2"/>
      <c r="U406" s="49"/>
      <c r="V406" s="2"/>
      <c r="W406" s="2"/>
      <c r="X406" s="2"/>
      <c r="Y406" s="2"/>
      <c r="Z406" s="2"/>
    </row>
    <row r="407" spans="13:26" ht="15.75" customHeight="1" x14ac:dyDescent="0.15">
      <c r="M407" s="2"/>
      <c r="N407" s="2"/>
      <c r="O407" s="2"/>
      <c r="P407" s="2"/>
      <c r="Q407" s="2"/>
      <c r="R407" s="2"/>
      <c r="S407" s="2"/>
      <c r="T407" s="2"/>
      <c r="U407" s="49"/>
      <c r="V407" s="2"/>
      <c r="W407" s="2"/>
      <c r="X407" s="2"/>
      <c r="Y407" s="2"/>
      <c r="Z407" s="2"/>
    </row>
    <row r="408" spans="13:26" ht="15.75" customHeight="1" x14ac:dyDescent="0.15">
      <c r="M408" s="2"/>
      <c r="N408" s="2"/>
      <c r="O408" s="2"/>
      <c r="P408" s="2"/>
      <c r="Q408" s="2"/>
      <c r="R408" s="2"/>
      <c r="S408" s="2"/>
      <c r="T408" s="2"/>
      <c r="U408" s="49"/>
      <c r="V408" s="2"/>
      <c r="W408" s="2"/>
      <c r="X408" s="2"/>
      <c r="Y408" s="2"/>
      <c r="Z408" s="2"/>
    </row>
    <row r="409" spans="13:26" ht="15.75" customHeight="1" x14ac:dyDescent="0.15">
      <c r="M409" s="2"/>
      <c r="N409" s="2"/>
      <c r="O409" s="2"/>
      <c r="P409" s="2"/>
      <c r="Q409" s="2"/>
      <c r="R409" s="2"/>
      <c r="S409" s="2"/>
      <c r="T409" s="2"/>
      <c r="U409" s="49"/>
      <c r="V409" s="2"/>
      <c r="W409" s="2"/>
      <c r="X409" s="2"/>
      <c r="Y409" s="2"/>
      <c r="Z409" s="2"/>
    </row>
    <row r="410" spans="13:26" ht="15.75" customHeight="1" x14ac:dyDescent="0.15">
      <c r="M410" s="2"/>
      <c r="N410" s="2"/>
      <c r="O410" s="2"/>
      <c r="P410" s="2"/>
      <c r="Q410" s="2"/>
      <c r="R410" s="2"/>
      <c r="S410" s="2"/>
      <c r="T410" s="2"/>
      <c r="U410" s="49"/>
      <c r="V410" s="2"/>
      <c r="W410" s="2"/>
      <c r="X410" s="2"/>
      <c r="Y410" s="2"/>
      <c r="Z410" s="2"/>
    </row>
    <row r="411" spans="13:26" ht="15.75" customHeight="1" x14ac:dyDescent="0.15">
      <c r="M411" s="2"/>
      <c r="N411" s="2"/>
      <c r="O411" s="2"/>
      <c r="P411" s="2"/>
      <c r="Q411" s="2"/>
      <c r="R411" s="2"/>
      <c r="S411" s="2"/>
      <c r="T411" s="2"/>
      <c r="U411" s="49"/>
      <c r="V411" s="2"/>
      <c r="W411" s="2"/>
      <c r="X411" s="2"/>
      <c r="Y411" s="2"/>
      <c r="Z411" s="2"/>
    </row>
    <row r="412" spans="13:26" ht="15.75" customHeight="1" x14ac:dyDescent="0.15">
      <c r="M412" s="2"/>
      <c r="N412" s="2"/>
      <c r="O412" s="2"/>
      <c r="P412" s="2"/>
      <c r="Q412" s="2"/>
      <c r="R412" s="2"/>
      <c r="S412" s="2"/>
      <c r="T412" s="2"/>
      <c r="U412" s="49"/>
      <c r="V412" s="2"/>
      <c r="W412" s="2"/>
      <c r="X412" s="2"/>
      <c r="Y412" s="2"/>
      <c r="Z412" s="2"/>
    </row>
    <row r="413" spans="13:26" ht="15.75" customHeight="1" x14ac:dyDescent="0.15">
      <c r="M413" s="2"/>
      <c r="N413" s="2"/>
      <c r="O413" s="2"/>
      <c r="P413" s="2"/>
      <c r="Q413" s="2"/>
      <c r="R413" s="2"/>
      <c r="S413" s="2"/>
      <c r="T413" s="2"/>
      <c r="U413" s="49"/>
      <c r="V413" s="2"/>
      <c r="W413" s="2"/>
      <c r="X413" s="2"/>
      <c r="Y413" s="2"/>
      <c r="Z413" s="2"/>
    </row>
    <row r="414" spans="13:26" ht="15.75" customHeight="1" x14ac:dyDescent="0.15">
      <c r="M414" s="2"/>
      <c r="N414" s="2"/>
      <c r="O414" s="2"/>
      <c r="P414" s="2"/>
      <c r="Q414" s="2"/>
      <c r="R414" s="2"/>
      <c r="S414" s="2"/>
      <c r="T414" s="2"/>
      <c r="U414" s="49"/>
      <c r="V414" s="2"/>
      <c r="W414" s="2"/>
      <c r="X414" s="2"/>
      <c r="Y414" s="2"/>
      <c r="Z414" s="2"/>
    </row>
    <row r="415" spans="13:26" ht="15.75" customHeight="1" x14ac:dyDescent="0.15">
      <c r="M415" s="2"/>
      <c r="N415" s="2"/>
      <c r="O415" s="2"/>
      <c r="P415" s="2"/>
      <c r="Q415" s="2"/>
      <c r="R415" s="2"/>
      <c r="S415" s="2"/>
      <c r="T415" s="2"/>
      <c r="U415" s="49"/>
      <c r="V415" s="2"/>
      <c r="W415" s="2"/>
      <c r="X415" s="2"/>
      <c r="Y415" s="2"/>
      <c r="Z415" s="2"/>
    </row>
    <row r="416" spans="13:26" ht="15.75" customHeight="1" x14ac:dyDescent="0.15">
      <c r="M416" s="2"/>
      <c r="N416" s="2"/>
      <c r="O416" s="2"/>
      <c r="P416" s="2"/>
      <c r="Q416" s="2"/>
      <c r="R416" s="2"/>
      <c r="S416" s="2"/>
      <c r="T416" s="2"/>
      <c r="U416" s="49"/>
      <c r="V416" s="2"/>
      <c r="W416" s="2"/>
      <c r="X416" s="2"/>
      <c r="Y416" s="2"/>
      <c r="Z416" s="2"/>
    </row>
    <row r="417" spans="13:26" ht="15.75" customHeight="1" x14ac:dyDescent="0.15">
      <c r="M417" s="2"/>
      <c r="N417" s="2"/>
      <c r="O417" s="2"/>
      <c r="P417" s="2"/>
      <c r="Q417" s="2"/>
      <c r="R417" s="2"/>
      <c r="S417" s="2"/>
      <c r="T417" s="2"/>
      <c r="U417" s="49"/>
      <c r="V417" s="2"/>
      <c r="W417" s="2"/>
      <c r="X417" s="2"/>
      <c r="Y417" s="2"/>
      <c r="Z417" s="2"/>
    </row>
    <row r="418" spans="13:26" ht="15.75" customHeight="1" x14ac:dyDescent="0.15">
      <c r="M418" s="2"/>
      <c r="N418" s="2"/>
      <c r="O418" s="2"/>
      <c r="P418" s="2"/>
      <c r="Q418" s="2"/>
      <c r="R418" s="2"/>
      <c r="S418" s="2"/>
      <c r="T418" s="2"/>
      <c r="U418" s="49"/>
      <c r="V418" s="2"/>
      <c r="W418" s="2"/>
      <c r="X418" s="2"/>
      <c r="Y418" s="2"/>
      <c r="Z418" s="2"/>
    </row>
    <row r="419" spans="13:26" ht="15.75" customHeight="1" x14ac:dyDescent="0.15">
      <c r="M419" s="2"/>
      <c r="N419" s="2"/>
      <c r="O419" s="2"/>
      <c r="P419" s="2"/>
      <c r="Q419" s="2"/>
      <c r="R419" s="2"/>
      <c r="S419" s="2"/>
      <c r="T419" s="2"/>
      <c r="U419" s="49"/>
      <c r="V419" s="2"/>
      <c r="W419" s="2"/>
      <c r="X419" s="2"/>
      <c r="Y419" s="2"/>
      <c r="Z419" s="2"/>
    </row>
    <row r="420" spans="13:26" ht="15.75" customHeight="1" x14ac:dyDescent="0.15">
      <c r="M420" s="2"/>
      <c r="N420" s="2"/>
      <c r="O420" s="2"/>
      <c r="P420" s="2"/>
      <c r="Q420" s="2"/>
      <c r="R420" s="2"/>
      <c r="S420" s="2"/>
      <c r="T420" s="2"/>
      <c r="U420" s="49"/>
      <c r="V420" s="2"/>
      <c r="W420" s="2"/>
      <c r="X420" s="2"/>
      <c r="Y420" s="2"/>
      <c r="Z420" s="2"/>
    </row>
    <row r="421" spans="13:26" ht="15.75" customHeight="1" x14ac:dyDescent="0.15">
      <c r="M421" s="2"/>
      <c r="N421" s="2"/>
      <c r="O421" s="2"/>
      <c r="P421" s="2"/>
      <c r="Q421" s="2"/>
      <c r="R421" s="2"/>
      <c r="S421" s="2"/>
      <c r="T421" s="2"/>
      <c r="U421" s="49"/>
      <c r="V421" s="2"/>
      <c r="W421" s="2"/>
      <c r="X421" s="2"/>
      <c r="Y421" s="2"/>
      <c r="Z421" s="2"/>
    </row>
    <row r="422" spans="13:26" ht="15.75" customHeight="1" x14ac:dyDescent="0.15">
      <c r="M422" s="2"/>
      <c r="N422" s="2"/>
      <c r="O422" s="2"/>
      <c r="P422" s="2"/>
      <c r="Q422" s="2"/>
      <c r="R422" s="2"/>
      <c r="S422" s="2"/>
      <c r="T422" s="2"/>
      <c r="U422" s="49"/>
      <c r="V422" s="2"/>
      <c r="W422" s="2"/>
      <c r="X422" s="2"/>
      <c r="Y422" s="2"/>
      <c r="Z422" s="2"/>
    </row>
    <row r="423" spans="13:26" ht="15.75" customHeight="1" x14ac:dyDescent="0.15">
      <c r="M423" s="2"/>
      <c r="N423" s="2"/>
      <c r="O423" s="2"/>
      <c r="P423" s="2"/>
      <c r="Q423" s="2"/>
      <c r="R423" s="2"/>
      <c r="S423" s="2"/>
      <c r="T423" s="2"/>
      <c r="U423" s="49"/>
      <c r="V423" s="2"/>
      <c r="W423" s="2"/>
      <c r="X423" s="2"/>
      <c r="Y423" s="2"/>
      <c r="Z423" s="2"/>
    </row>
    <row r="424" spans="13:26" ht="15.75" customHeight="1" x14ac:dyDescent="0.15">
      <c r="M424" s="2"/>
      <c r="N424" s="2"/>
      <c r="O424" s="2"/>
      <c r="P424" s="2"/>
      <c r="Q424" s="2"/>
      <c r="R424" s="2"/>
      <c r="S424" s="2"/>
      <c r="T424" s="2"/>
      <c r="U424" s="49"/>
      <c r="V424" s="2"/>
      <c r="W424" s="2"/>
      <c r="X424" s="2"/>
      <c r="Y424" s="2"/>
      <c r="Z424" s="2"/>
    </row>
    <row r="425" spans="13:26" ht="15.75" customHeight="1" x14ac:dyDescent="0.15">
      <c r="M425" s="2"/>
      <c r="N425" s="2"/>
      <c r="O425" s="2"/>
      <c r="P425" s="2"/>
      <c r="Q425" s="2"/>
      <c r="R425" s="2"/>
      <c r="S425" s="2"/>
      <c r="T425" s="2"/>
      <c r="U425" s="49"/>
      <c r="V425" s="2"/>
      <c r="W425" s="2"/>
      <c r="X425" s="2"/>
      <c r="Y425" s="2"/>
      <c r="Z425" s="2"/>
    </row>
    <row r="426" spans="13:26" ht="15.75" customHeight="1" x14ac:dyDescent="0.15">
      <c r="M426" s="2"/>
      <c r="N426" s="2"/>
      <c r="O426" s="2"/>
      <c r="P426" s="2"/>
      <c r="Q426" s="2"/>
      <c r="R426" s="2"/>
      <c r="S426" s="2"/>
      <c r="T426" s="2"/>
      <c r="U426" s="49"/>
      <c r="V426" s="2"/>
      <c r="W426" s="2"/>
      <c r="X426" s="2"/>
      <c r="Y426" s="2"/>
      <c r="Z426" s="2"/>
    </row>
    <row r="427" spans="13:26" ht="15.75" customHeight="1" x14ac:dyDescent="0.15">
      <c r="M427" s="2"/>
      <c r="N427" s="2"/>
      <c r="O427" s="2"/>
      <c r="P427" s="2"/>
      <c r="Q427" s="2"/>
      <c r="R427" s="2"/>
      <c r="S427" s="2"/>
      <c r="T427" s="2"/>
      <c r="U427" s="49"/>
      <c r="V427" s="2"/>
      <c r="W427" s="2"/>
      <c r="X427" s="2"/>
      <c r="Y427" s="2"/>
      <c r="Z427" s="2"/>
    </row>
    <row r="428" spans="13:26" ht="15.75" customHeight="1" x14ac:dyDescent="0.15">
      <c r="M428" s="2"/>
      <c r="N428" s="2"/>
      <c r="O428" s="2"/>
      <c r="P428" s="2"/>
      <c r="Q428" s="2"/>
      <c r="R428" s="2"/>
      <c r="S428" s="2"/>
      <c r="T428" s="2"/>
      <c r="U428" s="49"/>
      <c r="V428" s="2"/>
      <c r="W428" s="2"/>
      <c r="X428" s="2"/>
      <c r="Y428" s="2"/>
      <c r="Z428" s="2"/>
    </row>
    <row r="429" spans="13:26" ht="15.75" customHeight="1" x14ac:dyDescent="0.15">
      <c r="M429" s="2"/>
      <c r="N429" s="2"/>
      <c r="O429" s="2"/>
      <c r="P429" s="2"/>
      <c r="Q429" s="2"/>
      <c r="R429" s="2"/>
      <c r="S429" s="2"/>
      <c r="T429" s="2"/>
      <c r="U429" s="49"/>
      <c r="V429" s="2"/>
      <c r="W429" s="2"/>
      <c r="X429" s="2"/>
      <c r="Y429" s="2"/>
      <c r="Z429" s="2"/>
    </row>
    <row r="430" spans="13:26" ht="15.75" customHeight="1" x14ac:dyDescent="0.15">
      <c r="M430" s="2"/>
      <c r="N430" s="2"/>
      <c r="O430" s="2"/>
      <c r="P430" s="2"/>
      <c r="Q430" s="2"/>
      <c r="R430" s="2"/>
      <c r="S430" s="2"/>
      <c r="T430" s="2"/>
      <c r="U430" s="49"/>
      <c r="V430" s="2"/>
      <c r="W430" s="2"/>
      <c r="X430" s="2"/>
      <c r="Y430" s="2"/>
      <c r="Z430" s="2"/>
    </row>
    <row r="431" spans="13:26" ht="15.75" customHeight="1" x14ac:dyDescent="0.15">
      <c r="M431" s="2"/>
      <c r="N431" s="2"/>
      <c r="O431" s="2"/>
      <c r="P431" s="2"/>
      <c r="Q431" s="2"/>
      <c r="R431" s="2"/>
      <c r="S431" s="2"/>
      <c r="T431" s="2"/>
      <c r="U431" s="49"/>
      <c r="V431" s="2"/>
      <c r="W431" s="2"/>
      <c r="X431" s="2"/>
      <c r="Y431" s="2"/>
      <c r="Z431" s="2"/>
    </row>
    <row r="432" spans="13:26" ht="15.75" customHeight="1" x14ac:dyDescent="0.15">
      <c r="M432" s="2"/>
      <c r="N432" s="2"/>
      <c r="O432" s="2"/>
      <c r="P432" s="2"/>
      <c r="Q432" s="2"/>
      <c r="R432" s="2"/>
      <c r="S432" s="2"/>
      <c r="T432" s="2"/>
      <c r="U432" s="49"/>
      <c r="V432" s="2"/>
      <c r="W432" s="2"/>
      <c r="X432" s="2"/>
      <c r="Y432" s="2"/>
      <c r="Z432" s="2"/>
    </row>
    <row r="433" spans="13:26" ht="15.75" customHeight="1" x14ac:dyDescent="0.15">
      <c r="M433" s="2"/>
      <c r="N433" s="2"/>
      <c r="O433" s="2"/>
      <c r="P433" s="2"/>
      <c r="Q433" s="2"/>
      <c r="R433" s="2"/>
      <c r="S433" s="2"/>
      <c r="T433" s="2"/>
      <c r="U433" s="49"/>
      <c r="V433" s="2"/>
      <c r="W433" s="2"/>
      <c r="X433" s="2"/>
      <c r="Y433" s="2"/>
      <c r="Z433" s="2"/>
    </row>
    <row r="434" spans="13:26" ht="15.75" customHeight="1" x14ac:dyDescent="0.15">
      <c r="M434" s="2"/>
      <c r="N434" s="2"/>
      <c r="O434" s="2"/>
      <c r="P434" s="2"/>
      <c r="Q434" s="2"/>
      <c r="R434" s="2"/>
      <c r="S434" s="2"/>
      <c r="T434" s="2"/>
      <c r="U434" s="49"/>
      <c r="V434" s="2"/>
      <c r="W434" s="2"/>
      <c r="X434" s="2"/>
      <c r="Y434" s="2"/>
      <c r="Z434" s="2"/>
    </row>
    <row r="435" spans="13:26" ht="15.75" customHeight="1" x14ac:dyDescent="0.15">
      <c r="M435" s="2"/>
      <c r="N435" s="2"/>
      <c r="O435" s="2"/>
      <c r="P435" s="2"/>
      <c r="Q435" s="2"/>
      <c r="R435" s="2"/>
      <c r="S435" s="2"/>
      <c r="T435" s="2"/>
      <c r="U435" s="49"/>
      <c r="V435" s="2"/>
      <c r="W435" s="2"/>
      <c r="X435" s="2"/>
      <c r="Y435" s="2"/>
      <c r="Z435" s="2"/>
    </row>
    <row r="436" spans="13:26" ht="15.75" customHeight="1" x14ac:dyDescent="0.15">
      <c r="M436" s="2"/>
      <c r="N436" s="2"/>
      <c r="O436" s="2"/>
      <c r="P436" s="2"/>
      <c r="Q436" s="2"/>
      <c r="R436" s="2"/>
      <c r="S436" s="2"/>
      <c r="T436" s="2"/>
      <c r="U436" s="49"/>
      <c r="V436" s="2"/>
      <c r="W436" s="2"/>
      <c r="X436" s="2"/>
      <c r="Y436" s="2"/>
      <c r="Z436" s="2"/>
    </row>
    <row r="437" spans="13:26" ht="15.75" customHeight="1" x14ac:dyDescent="0.15">
      <c r="M437" s="2"/>
      <c r="N437" s="2"/>
      <c r="O437" s="2"/>
      <c r="P437" s="2"/>
      <c r="Q437" s="2"/>
      <c r="R437" s="2"/>
      <c r="S437" s="2"/>
      <c r="T437" s="2"/>
      <c r="U437" s="49"/>
      <c r="V437" s="2"/>
      <c r="W437" s="2"/>
      <c r="X437" s="2"/>
      <c r="Y437" s="2"/>
      <c r="Z437" s="2"/>
    </row>
    <row r="438" spans="13:26" ht="15.75" customHeight="1" x14ac:dyDescent="0.15">
      <c r="M438" s="2"/>
      <c r="N438" s="2"/>
      <c r="O438" s="2"/>
      <c r="P438" s="2"/>
      <c r="Q438" s="2"/>
      <c r="R438" s="2"/>
      <c r="S438" s="2"/>
      <c r="T438" s="2"/>
      <c r="U438" s="49"/>
      <c r="V438" s="2"/>
      <c r="W438" s="2"/>
      <c r="X438" s="2"/>
      <c r="Y438" s="2"/>
      <c r="Z438" s="2"/>
    </row>
    <row r="439" spans="13:26" ht="15.75" customHeight="1" x14ac:dyDescent="0.15">
      <c r="M439" s="2"/>
      <c r="N439" s="2"/>
      <c r="O439" s="2"/>
      <c r="P439" s="2"/>
      <c r="Q439" s="2"/>
      <c r="R439" s="2"/>
      <c r="S439" s="2"/>
      <c r="T439" s="2"/>
      <c r="U439" s="49"/>
      <c r="V439" s="2"/>
      <c r="W439" s="2"/>
      <c r="X439" s="2"/>
      <c r="Y439" s="2"/>
      <c r="Z439" s="2"/>
    </row>
    <row r="440" spans="13:26" ht="15.75" customHeight="1" x14ac:dyDescent="0.15">
      <c r="M440" s="2"/>
      <c r="N440" s="2"/>
      <c r="O440" s="2"/>
      <c r="P440" s="2"/>
      <c r="Q440" s="2"/>
      <c r="R440" s="2"/>
      <c r="S440" s="2"/>
      <c r="T440" s="2"/>
      <c r="U440" s="49"/>
      <c r="V440" s="2"/>
      <c r="W440" s="2"/>
      <c r="X440" s="2"/>
      <c r="Y440" s="2"/>
      <c r="Z440" s="2"/>
    </row>
    <row r="441" spans="13:26" ht="15.75" customHeight="1" x14ac:dyDescent="0.15">
      <c r="M441" s="2"/>
      <c r="N441" s="2"/>
      <c r="O441" s="2"/>
      <c r="P441" s="2"/>
      <c r="Q441" s="2"/>
      <c r="R441" s="2"/>
      <c r="S441" s="2"/>
      <c r="T441" s="2"/>
      <c r="U441" s="49"/>
      <c r="V441" s="2"/>
      <c r="W441" s="2"/>
      <c r="X441" s="2"/>
      <c r="Y441" s="2"/>
      <c r="Z441" s="2"/>
    </row>
    <row r="442" spans="13:26" ht="15.75" customHeight="1" x14ac:dyDescent="0.15">
      <c r="M442" s="2"/>
      <c r="N442" s="2"/>
      <c r="O442" s="2"/>
      <c r="P442" s="2"/>
      <c r="Q442" s="2"/>
      <c r="R442" s="2"/>
      <c r="S442" s="2"/>
      <c r="T442" s="2"/>
      <c r="U442" s="49"/>
      <c r="V442" s="2"/>
      <c r="W442" s="2"/>
      <c r="X442" s="2"/>
      <c r="Y442" s="2"/>
      <c r="Z442" s="2"/>
    </row>
    <row r="443" spans="13:26" ht="15.75" customHeight="1" x14ac:dyDescent="0.15">
      <c r="M443" s="2"/>
      <c r="N443" s="2"/>
      <c r="O443" s="2"/>
      <c r="P443" s="2"/>
      <c r="Q443" s="2"/>
      <c r="R443" s="2"/>
      <c r="S443" s="2"/>
      <c r="T443" s="2"/>
      <c r="U443" s="49"/>
      <c r="V443" s="2"/>
      <c r="W443" s="2"/>
      <c r="X443" s="2"/>
      <c r="Y443" s="2"/>
      <c r="Z443" s="2"/>
    </row>
    <row r="444" spans="13:26" ht="15.75" customHeight="1" x14ac:dyDescent="0.15">
      <c r="M444" s="2"/>
      <c r="N444" s="2"/>
      <c r="O444" s="2"/>
      <c r="P444" s="2"/>
      <c r="Q444" s="2"/>
      <c r="R444" s="2"/>
      <c r="S444" s="2"/>
      <c r="T444" s="2"/>
      <c r="U444" s="49"/>
      <c r="V444" s="2"/>
      <c r="W444" s="2"/>
      <c r="X444" s="2"/>
      <c r="Y444" s="2"/>
      <c r="Z444" s="2"/>
    </row>
    <row r="445" spans="13:26" ht="15.75" customHeight="1" x14ac:dyDescent="0.15">
      <c r="M445" s="2"/>
      <c r="N445" s="2"/>
      <c r="O445" s="2"/>
      <c r="P445" s="2"/>
      <c r="Q445" s="2"/>
      <c r="R445" s="2"/>
      <c r="S445" s="2"/>
      <c r="T445" s="2"/>
      <c r="U445" s="49"/>
      <c r="V445" s="2"/>
      <c r="W445" s="2"/>
      <c r="X445" s="2"/>
      <c r="Y445" s="2"/>
      <c r="Z445" s="2"/>
    </row>
    <row r="446" spans="13:26" ht="15.75" customHeight="1" x14ac:dyDescent="0.15">
      <c r="M446" s="2"/>
      <c r="N446" s="2"/>
      <c r="O446" s="2"/>
      <c r="P446" s="2"/>
      <c r="Q446" s="2"/>
      <c r="R446" s="2"/>
      <c r="S446" s="2"/>
      <c r="T446" s="2"/>
      <c r="U446" s="49"/>
      <c r="V446" s="2"/>
      <c r="W446" s="2"/>
      <c r="X446" s="2"/>
      <c r="Y446" s="2"/>
      <c r="Z446" s="2"/>
    </row>
    <row r="447" spans="13:26" ht="15.75" customHeight="1" x14ac:dyDescent="0.15">
      <c r="M447" s="2"/>
      <c r="N447" s="2"/>
      <c r="O447" s="2"/>
      <c r="P447" s="2"/>
      <c r="Q447" s="2"/>
      <c r="R447" s="2"/>
      <c r="S447" s="2"/>
      <c r="T447" s="2"/>
      <c r="U447" s="49"/>
      <c r="V447" s="2"/>
      <c r="W447" s="2"/>
      <c r="X447" s="2"/>
      <c r="Y447" s="2"/>
      <c r="Z447" s="2"/>
    </row>
    <row r="448" spans="13:26" ht="15.75" customHeight="1" x14ac:dyDescent="0.15">
      <c r="M448" s="2"/>
      <c r="N448" s="2"/>
      <c r="O448" s="2"/>
      <c r="P448" s="2"/>
      <c r="Q448" s="2"/>
      <c r="R448" s="2"/>
      <c r="S448" s="2"/>
      <c r="T448" s="2"/>
      <c r="U448" s="49"/>
      <c r="V448" s="2"/>
      <c r="W448" s="2"/>
      <c r="X448" s="2"/>
      <c r="Y448" s="2"/>
      <c r="Z448" s="2"/>
    </row>
    <row r="449" spans="13:26" ht="15.75" customHeight="1" x14ac:dyDescent="0.15">
      <c r="M449" s="2"/>
      <c r="N449" s="2"/>
      <c r="O449" s="2"/>
      <c r="P449" s="2"/>
      <c r="Q449" s="2"/>
      <c r="R449" s="2"/>
      <c r="S449" s="2"/>
      <c r="T449" s="2"/>
      <c r="U449" s="49"/>
      <c r="V449" s="2"/>
      <c r="W449" s="2"/>
      <c r="X449" s="2"/>
      <c r="Y449" s="2"/>
      <c r="Z449" s="2"/>
    </row>
    <row r="450" spans="13:26" ht="15.75" customHeight="1" x14ac:dyDescent="0.15">
      <c r="M450" s="2"/>
      <c r="N450" s="2"/>
      <c r="O450" s="2"/>
      <c r="P450" s="2"/>
      <c r="Q450" s="2"/>
      <c r="R450" s="2"/>
      <c r="S450" s="2"/>
      <c r="T450" s="2"/>
      <c r="U450" s="49"/>
      <c r="V450" s="2"/>
      <c r="W450" s="2"/>
      <c r="X450" s="2"/>
      <c r="Y450" s="2"/>
      <c r="Z450" s="2"/>
    </row>
    <row r="451" spans="13:26" ht="15.75" customHeight="1" x14ac:dyDescent="0.15">
      <c r="M451" s="2"/>
      <c r="N451" s="2"/>
      <c r="O451" s="2"/>
      <c r="P451" s="2"/>
      <c r="Q451" s="2"/>
      <c r="R451" s="2"/>
      <c r="S451" s="2"/>
      <c r="T451" s="2"/>
      <c r="U451" s="49"/>
      <c r="V451" s="2"/>
      <c r="W451" s="2"/>
      <c r="X451" s="2"/>
      <c r="Y451" s="2"/>
      <c r="Z451" s="2"/>
    </row>
    <row r="452" spans="13:26" ht="15.75" customHeight="1" x14ac:dyDescent="0.15">
      <c r="M452" s="2"/>
      <c r="N452" s="2"/>
      <c r="O452" s="2"/>
      <c r="P452" s="2"/>
      <c r="Q452" s="2"/>
      <c r="R452" s="2"/>
      <c r="S452" s="2"/>
      <c r="T452" s="2"/>
      <c r="U452" s="49"/>
      <c r="V452" s="2"/>
      <c r="W452" s="2"/>
      <c r="X452" s="2"/>
      <c r="Y452" s="2"/>
      <c r="Z452" s="2"/>
    </row>
    <row r="453" spans="13:26" ht="15.75" customHeight="1" x14ac:dyDescent="0.15">
      <c r="M453" s="2"/>
      <c r="N453" s="2"/>
      <c r="O453" s="2"/>
      <c r="P453" s="2"/>
      <c r="Q453" s="2"/>
      <c r="R453" s="2"/>
      <c r="S453" s="2"/>
      <c r="T453" s="2"/>
      <c r="U453" s="49"/>
      <c r="V453" s="2"/>
      <c r="W453" s="2"/>
      <c r="X453" s="2"/>
      <c r="Y453" s="2"/>
      <c r="Z453" s="2"/>
    </row>
    <row r="454" spans="13:26" ht="15.75" customHeight="1" x14ac:dyDescent="0.15">
      <c r="M454" s="2"/>
      <c r="N454" s="2"/>
      <c r="O454" s="2"/>
      <c r="P454" s="2"/>
      <c r="Q454" s="2"/>
      <c r="R454" s="2"/>
      <c r="S454" s="2"/>
      <c r="T454" s="2"/>
      <c r="U454" s="49"/>
      <c r="V454" s="2"/>
      <c r="W454" s="2"/>
      <c r="X454" s="2"/>
      <c r="Y454" s="2"/>
      <c r="Z454" s="2"/>
    </row>
    <row r="455" spans="13:26" ht="15.75" customHeight="1" x14ac:dyDescent="0.15">
      <c r="M455" s="2"/>
      <c r="N455" s="2"/>
      <c r="O455" s="2"/>
      <c r="P455" s="2"/>
      <c r="Q455" s="2"/>
      <c r="R455" s="2"/>
      <c r="S455" s="2"/>
      <c r="T455" s="2"/>
      <c r="U455" s="49"/>
      <c r="V455" s="2"/>
      <c r="W455" s="2"/>
      <c r="X455" s="2"/>
      <c r="Y455" s="2"/>
      <c r="Z455" s="2"/>
    </row>
    <row r="456" spans="13:26" ht="15.75" customHeight="1" x14ac:dyDescent="0.15">
      <c r="M456" s="2"/>
      <c r="N456" s="2"/>
      <c r="O456" s="2"/>
      <c r="P456" s="2"/>
      <c r="Q456" s="2"/>
      <c r="R456" s="2"/>
      <c r="S456" s="2"/>
      <c r="T456" s="2"/>
      <c r="U456" s="49"/>
      <c r="V456" s="2"/>
      <c r="W456" s="2"/>
      <c r="X456" s="2"/>
      <c r="Y456" s="2"/>
      <c r="Z456" s="2"/>
    </row>
    <row r="457" spans="13:26" ht="15.75" customHeight="1" x14ac:dyDescent="0.15">
      <c r="M457" s="2"/>
      <c r="N457" s="2"/>
      <c r="O457" s="2"/>
      <c r="P457" s="2"/>
      <c r="Q457" s="2"/>
      <c r="R457" s="2"/>
      <c r="S457" s="2"/>
      <c r="T457" s="2"/>
      <c r="U457" s="49"/>
      <c r="V457" s="2"/>
      <c r="W457" s="2"/>
      <c r="X457" s="2"/>
      <c r="Y457" s="2"/>
      <c r="Z457" s="2"/>
    </row>
    <row r="458" spans="13:26" ht="15.75" customHeight="1" x14ac:dyDescent="0.15">
      <c r="M458" s="2"/>
      <c r="N458" s="2"/>
      <c r="O458" s="2"/>
      <c r="P458" s="2"/>
      <c r="Q458" s="2"/>
      <c r="R458" s="2"/>
      <c r="S458" s="2"/>
      <c r="T458" s="2"/>
      <c r="U458" s="49"/>
      <c r="V458" s="2"/>
      <c r="W458" s="2"/>
      <c r="X458" s="2"/>
      <c r="Y458" s="2"/>
      <c r="Z458" s="2"/>
    </row>
    <row r="459" spans="13:26" ht="15.75" customHeight="1" x14ac:dyDescent="0.15">
      <c r="M459" s="2"/>
      <c r="N459" s="2"/>
      <c r="O459" s="2"/>
      <c r="P459" s="2"/>
      <c r="Q459" s="2"/>
      <c r="R459" s="2"/>
      <c r="S459" s="2"/>
      <c r="T459" s="2"/>
      <c r="U459" s="49"/>
      <c r="V459" s="2"/>
      <c r="W459" s="2"/>
      <c r="X459" s="2"/>
      <c r="Y459" s="2"/>
      <c r="Z459" s="2"/>
    </row>
    <row r="460" spans="13:26" ht="15.75" customHeight="1" x14ac:dyDescent="0.15">
      <c r="M460" s="2"/>
      <c r="N460" s="2"/>
      <c r="O460" s="2"/>
      <c r="P460" s="2"/>
      <c r="Q460" s="2"/>
      <c r="R460" s="2"/>
      <c r="S460" s="2"/>
      <c r="T460" s="2"/>
      <c r="U460" s="49"/>
      <c r="V460" s="2"/>
      <c r="W460" s="2"/>
      <c r="X460" s="2"/>
      <c r="Y460" s="2"/>
      <c r="Z460" s="2"/>
    </row>
    <row r="461" spans="13:26" ht="15.75" customHeight="1" x14ac:dyDescent="0.15">
      <c r="M461" s="2"/>
      <c r="N461" s="2"/>
      <c r="O461" s="2"/>
      <c r="P461" s="2"/>
      <c r="Q461" s="2"/>
      <c r="R461" s="2"/>
      <c r="S461" s="2"/>
      <c r="T461" s="2"/>
      <c r="U461" s="49"/>
      <c r="V461" s="2"/>
      <c r="W461" s="2"/>
      <c r="X461" s="2"/>
      <c r="Y461" s="2"/>
      <c r="Z461" s="2"/>
    </row>
    <row r="462" spans="13:26" ht="15.75" customHeight="1" x14ac:dyDescent="0.15">
      <c r="M462" s="2"/>
      <c r="N462" s="2"/>
      <c r="O462" s="2"/>
      <c r="P462" s="2"/>
      <c r="Q462" s="2"/>
      <c r="R462" s="2"/>
      <c r="S462" s="2"/>
      <c r="T462" s="2"/>
      <c r="U462" s="49"/>
      <c r="V462" s="2"/>
      <c r="W462" s="2"/>
      <c r="X462" s="2"/>
      <c r="Y462" s="2"/>
      <c r="Z462" s="2"/>
    </row>
    <row r="463" spans="13:26" ht="15.75" customHeight="1" x14ac:dyDescent="0.15">
      <c r="M463" s="2"/>
      <c r="N463" s="2"/>
      <c r="O463" s="2"/>
      <c r="P463" s="2"/>
      <c r="Q463" s="2"/>
      <c r="R463" s="2"/>
      <c r="S463" s="2"/>
      <c r="T463" s="2"/>
      <c r="U463" s="49"/>
      <c r="V463" s="2"/>
      <c r="W463" s="2"/>
      <c r="X463" s="2"/>
      <c r="Y463" s="2"/>
      <c r="Z463" s="2"/>
    </row>
    <row r="464" spans="13:26" ht="15.75" customHeight="1" x14ac:dyDescent="0.15">
      <c r="M464" s="2"/>
      <c r="N464" s="2"/>
      <c r="O464" s="2"/>
      <c r="P464" s="2"/>
      <c r="Q464" s="2"/>
      <c r="R464" s="2"/>
      <c r="S464" s="2"/>
      <c r="T464" s="2"/>
      <c r="U464" s="49"/>
      <c r="V464" s="2"/>
      <c r="W464" s="2"/>
      <c r="X464" s="2"/>
      <c r="Y464" s="2"/>
      <c r="Z464" s="2"/>
    </row>
    <row r="465" spans="13:26" ht="15.75" customHeight="1" x14ac:dyDescent="0.15">
      <c r="M465" s="2"/>
      <c r="N465" s="2"/>
      <c r="O465" s="2"/>
      <c r="P465" s="2"/>
      <c r="Q465" s="2"/>
      <c r="R465" s="2"/>
      <c r="S465" s="2"/>
      <c r="T465" s="2"/>
      <c r="U465" s="49"/>
      <c r="V465" s="2"/>
      <c r="W465" s="2"/>
      <c r="X465" s="2"/>
      <c r="Y465" s="2"/>
      <c r="Z465" s="2"/>
    </row>
    <row r="466" spans="13:26" ht="15.75" customHeight="1" x14ac:dyDescent="0.15">
      <c r="M466" s="2"/>
      <c r="N466" s="2"/>
      <c r="O466" s="2"/>
      <c r="P466" s="2"/>
      <c r="Q466" s="2"/>
      <c r="R466" s="2"/>
      <c r="S466" s="2"/>
      <c r="T466" s="2"/>
      <c r="U466" s="49"/>
      <c r="V466" s="2"/>
      <c r="W466" s="2"/>
      <c r="X466" s="2"/>
      <c r="Y466" s="2"/>
      <c r="Z466" s="2"/>
    </row>
    <row r="467" spans="13:26" ht="15.75" customHeight="1" x14ac:dyDescent="0.15">
      <c r="M467" s="2"/>
      <c r="N467" s="2"/>
      <c r="O467" s="2"/>
      <c r="P467" s="2"/>
      <c r="Q467" s="2"/>
      <c r="R467" s="2"/>
      <c r="S467" s="2"/>
      <c r="T467" s="2"/>
      <c r="U467" s="49"/>
      <c r="V467" s="2"/>
      <c r="W467" s="2"/>
      <c r="X467" s="2"/>
      <c r="Y467" s="2"/>
      <c r="Z467" s="2"/>
    </row>
    <row r="468" spans="13:26" ht="15.75" customHeight="1" x14ac:dyDescent="0.15">
      <c r="M468" s="2"/>
      <c r="N468" s="2"/>
      <c r="O468" s="2"/>
      <c r="P468" s="2"/>
      <c r="Q468" s="2"/>
      <c r="R468" s="2"/>
      <c r="S468" s="2"/>
      <c r="T468" s="2"/>
      <c r="U468" s="49"/>
      <c r="V468" s="2"/>
      <c r="W468" s="2"/>
      <c r="X468" s="2"/>
      <c r="Y468" s="2"/>
      <c r="Z468" s="2"/>
    </row>
    <row r="469" spans="13:26" ht="15.75" customHeight="1" x14ac:dyDescent="0.15">
      <c r="M469" s="2"/>
      <c r="N469" s="2"/>
      <c r="O469" s="2"/>
      <c r="P469" s="2"/>
      <c r="Q469" s="2"/>
      <c r="R469" s="2"/>
      <c r="S469" s="2"/>
      <c r="T469" s="2"/>
      <c r="U469" s="49"/>
      <c r="V469" s="2"/>
      <c r="W469" s="2"/>
      <c r="X469" s="2"/>
      <c r="Y469" s="2"/>
      <c r="Z469" s="2"/>
    </row>
    <row r="470" spans="13:26" ht="15.75" customHeight="1" x14ac:dyDescent="0.15">
      <c r="M470" s="2"/>
      <c r="N470" s="2"/>
      <c r="O470" s="2"/>
      <c r="P470" s="2"/>
      <c r="Q470" s="2"/>
      <c r="R470" s="2"/>
      <c r="S470" s="2"/>
      <c r="T470" s="2"/>
      <c r="U470" s="49"/>
      <c r="V470" s="2"/>
      <c r="W470" s="2"/>
      <c r="X470" s="2"/>
      <c r="Y470" s="2"/>
      <c r="Z470" s="2"/>
    </row>
    <row r="471" spans="13:26" ht="15.75" customHeight="1" x14ac:dyDescent="0.15">
      <c r="M471" s="2"/>
      <c r="N471" s="2"/>
      <c r="O471" s="2"/>
      <c r="P471" s="2"/>
      <c r="Q471" s="2"/>
      <c r="R471" s="2"/>
      <c r="S471" s="2"/>
      <c r="T471" s="2"/>
      <c r="U471" s="49"/>
      <c r="V471" s="2"/>
      <c r="W471" s="2"/>
      <c r="X471" s="2"/>
      <c r="Y471" s="2"/>
      <c r="Z471" s="2"/>
    </row>
    <row r="472" spans="13:26" ht="15.75" customHeight="1" x14ac:dyDescent="0.15">
      <c r="M472" s="2"/>
      <c r="N472" s="2"/>
      <c r="O472" s="2"/>
      <c r="P472" s="2"/>
      <c r="Q472" s="2"/>
      <c r="R472" s="2"/>
      <c r="S472" s="2"/>
      <c r="T472" s="2"/>
      <c r="U472" s="49"/>
      <c r="V472" s="2"/>
      <c r="W472" s="2"/>
      <c r="X472" s="2"/>
      <c r="Y472" s="2"/>
      <c r="Z472" s="2"/>
    </row>
    <row r="473" spans="13:26" ht="15.75" customHeight="1" x14ac:dyDescent="0.15">
      <c r="M473" s="2"/>
      <c r="N473" s="2"/>
      <c r="O473" s="2"/>
      <c r="P473" s="2"/>
      <c r="Q473" s="2"/>
      <c r="R473" s="2"/>
      <c r="S473" s="2"/>
      <c r="T473" s="2"/>
      <c r="U473" s="49"/>
      <c r="V473" s="2"/>
      <c r="W473" s="2"/>
      <c r="X473" s="2"/>
      <c r="Y473" s="2"/>
      <c r="Z473" s="2"/>
    </row>
    <row r="474" spans="13:26" ht="15.75" customHeight="1" x14ac:dyDescent="0.15">
      <c r="M474" s="2"/>
      <c r="N474" s="2"/>
      <c r="O474" s="2"/>
      <c r="P474" s="2"/>
      <c r="Q474" s="2"/>
      <c r="R474" s="2"/>
      <c r="S474" s="2"/>
      <c r="T474" s="2"/>
      <c r="U474" s="49"/>
      <c r="V474" s="2"/>
      <c r="W474" s="2"/>
      <c r="X474" s="2"/>
      <c r="Y474" s="2"/>
      <c r="Z474" s="2"/>
    </row>
    <row r="475" spans="13:26" ht="15.75" customHeight="1" x14ac:dyDescent="0.15">
      <c r="M475" s="2"/>
      <c r="N475" s="2"/>
      <c r="O475" s="2"/>
      <c r="P475" s="2"/>
      <c r="Q475" s="2"/>
      <c r="R475" s="2"/>
      <c r="S475" s="2"/>
      <c r="T475" s="2"/>
      <c r="U475" s="49"/>
      <c r="V475" s="2"/>
      <c r="W475" s="2"/>
      <c r="X475" s="2"/>
      <c r="Y475" s="2"/>
      <c r="Z475" s="2"/>
    </row>
    <row r="476" spans="13:26" ht="15.75" customHeight="1" x14ac:dyDescent="0.15">
      <c r="M476" s="2"/>
      <c r="N476" s="2"/>
      <c r="O476" s="2"/>
      <c r="P476" s="2"/>
      <c r="Q476" s="2"/>
      <c r="R476" s="2"/>
      <c r="S476" s="2"/>
      <c r="T476" s="2"/>
      <c r="U476" s="49"/>
      <c r="V476" s="2"/>
      <c r="W476" s="2"/>
      <c r="X476" s="2"/>
      <c r="Y476" s="2"/>
      <c r="Z476" s="2"/>
    </row>
    <row r="477" spans="13:26" ht="15.75" customHeight="1" x14ac:dyDescent="0.15">
      <c r="M477" s="2"/>
      <c r="N477" s="2"/>
      <c r="O477" s="2"/>
      <c r="P477" s="2"/>
      <c r="Q477" s="2"/>
      <c r="R477" s="2"/>
      <c r="S477" s="2"/>
      <c r="T477" s="2"/>
      <c r="U477" s="49"/>
      <c r="V477" s="2"/>
      <c r="W477" s="2"/>
      <c r="X477" s="2"/>
      <c r="Y477" s="2"/>
      <c r="Z477" s="2"/>
    </row>
    <row r="478" spans="13:26" ht="15.75" customHeight="1" x14ac:dyDescent="0.15">
      <c r="M478" s="2"/>
      <c r="N478" s="2"/>
      <c r="O478" s="2"/>
      <c r="P478" s="2"/>
      <c r="Q478" s="2"/>
      <c r="R478" s="2"/>
      <c r="S478" s="2"/>
      <c r="T478" s="2"/>
      <c r="U478" s="49"/>
      <c r="V478" s="2"/>
      <c r="W478" s="2"/>
      <c r="X478" s="2"/>
      <c r="Y478" s="2"/>
      <c r="Z478" s="2"/>
    </row>
    <row r="479" spans="13:26" ht="15.75" customHeight="1" x14ac:dyDescent="0.15">
      <c r="M479" s="2"/>
      <c r="N479" s="2"/>
      <c r="O479" s="2"/>
      <c r="P479" s="2"/>
      <c r="Q479" s="2"/>
      <c r="R479" s="2"/>
      <c r="S479" s="2"/>
      <c r="T479" s="2"/>
      <c r="U479" s="49"/>
      <c r="V479" s="2"/>
      <c r="W479" s="2"/>
      <c r="X479" s="2"/>
      <c r="Y479" s="2"/>
      <c r="Z479" s="2"/>
    </row>
    <row r="480" spans="13:26" ht="15.75" customHeight="1" x14ac:dyDescent="0.15">
      <c r="M480" s="2"/>
      <c r="N480" s="2"/>
      <c r="O480" s="2"/>
      <c r="P480" s="2"/>
      <c r="Q480" s="2"/>
      <c r="R480" s="2"/>
      <c r="S480" s="2"/>
      <c r="T480" s="2"/>
      <c r="U480" s="49"/>
      <c r="V480" s="2"/>
      <c r="W480" s="2"/>
      <c r="X480" s="2"/>
      <c r="Y480" s="2"/>
      <c r="Z480" s="2"/>
    </row>
    <row r="481" spans="13:26" ht="15.75" customHeight="1" x14ac:dyDescent="0.15">
      <c r="M481" s="2"/>
      <c r="N481" s="2"/>
      <c r="O481" s="2"/>
      <c r="P481" s="2"/>
      <c r="Q481" s="2"/>
      <c r="R481" s="2"/>
      <c r="S481" s="2"/>
      <c r="T481" s="2"/>
      <c r="U481" s="49"/>
      <c r="V481" s="2"/>
      <c r="W481" s="2"/>
      <c r="X481" s="2"/>
      <c r="Y481" s="2"/>
      <c r="Z481" s="2"/>
    </row>
    <row r="482" spans="13:26" ht="15.75" customHeight="1" x14ac:dyDescent="0.15">
      <c r="M482" s="2"/>
      <c r="N482" s="2"/>
      <c r="O482" s="2"/>
      <c r="P482" s="2"/>
      <c r="Q482" s="2"/>
      <c r="R482" s="2"/>
      <c r="S482" s="2"/>
      <c r="T482" s="2"/>
      <c r="U482" s="49"/>
      <c r="V482" s="2"/>
      <c r="W482" s="2"/>
      <c r="X482" s="2"/>
      <c r="Y482" s="2"/>
      <c r="Z482" s="2"/>
    </row>
    <row r="483" spans="13:26" ht="15.75" customHeight="1" x14ac:dyDescent="0.15">
      <c r="M483" s="2"/>
      <c r="N483" s="2"/>
      <c r="O483" s="2"/>
      <c r="P483" s="2"/>
      <c r="Q483" s="2"/>
      <c r="R483" s="2"/>
      <c r="S483" s="2"/>
      <c r="T483" s="2"/>
      <c r="U483" s="49"/>
      <c r="V483" s="2"/>
      <c r="W483" s="2"/>
      <c r="X483" s="2"/>
      <c r="Y483" s="2"/>
      <c r="Z483" s="2"/>
    </row>
    <row r="484" spans="13:26" ht="15.75" customHeight="1" x14ac:dyDescent="0.15">
      <c r="M484" s="2"/>
      <c r="N484" s="2"/>
      <c r="O484" s="2"/>
      <c r="P484" s="2"/>
      <c r="Q484" s="2"/>
      <c r="R484" s="2"/>
      <c r="S484" s="2"/>
      <c r="T484" s="2"/>
      <c r="U484" s="49"/>
      <c r="V484" s="2"/>
      <c r="W484" s="2"/>
      <c r="X484" s="2"/>
      <c r="Y484" s="2"/>
      <c r="Z484" s="2"/>
    </row>
    <row r="485" spans="13:26" ht="15.75" customHeight="1" x14ac:dyDescent="0.15">
      <c r="M485" s="2"/>
      <c r="N485" s="2"/>
      <c r="O485" s="2"/>
      <c r="P485" s="2"/>
      <c r="Q485" s="2"/>
      <c r="R485" s="2"/>
      <c r="S485" s="2"/>
      <c r="T485" s="2"/>
      <c r="U485" s="49"/>
      <c r="V485" s="2"/>
      <c r="W485" s="2"/>
      <c r="X485" s="2"/>
      <c r="Y485" s="2"/>
      <c r="Z485" s="2"/>
    </row>
    <row r="486" spans="13:26" ht="15.75" customHeight="1" x14ac:dyDescent="0.15">
      <c r="M486" s="2"/>
      <c r="N486" s="2"/>
      <c r="O486" s="2"/>
      <c r="P486" s="2"/>
      <c r="Q486" s="2"/>
      <c r="R486" s="2"/>
      <c r="S486" s="2"/>
      <c r="T486" s="2"/>
      <c r="U486" s="49"/>
      <c r="V486" s="2"/>
      <c r="W486" s="2"/>
      <c r="X486" s="2"/>
      <c r="Y486" s="2"/>
      <c r="Z486" s="2"/>
    </row>
    <row r="487" spans="13:26" ht="15.75" customHeight="1" x14ac:dyDescent="0.15">
      <c r="M487" s="2"/>
      <c r="N487" s="2"/>
      <c r="O487" s="2"/>
      <c r="P487" s="2"/>
      <c r="Q487" s="2"/>
      <c r="R487" s="2"/>
      <c r="S487" s="2"/>
      <c r="T487" s="2"/>
      <c r="U487" s="49"/>
      <c r="V487" s="2"/>
      <c r="W487" s="2"/>
      <c r="X487" s="2"/>
      <c r="Y487" s="2"/>
      <c r="Z487" s="2"/>
    </row>
    <row r="488" spans="13:26" ht="15.75" customHeight="1" x14ac:dyDescent="0.15">
      <c r="M488" s="2"/>
      <c r="N488" s="2"/>
      <c r="O488" s="2"/>
      <c r="P488" s="2"/>
      <c r="Q488" s="2"/>
      <c r="R488" s="2"/>
      <c r="S488" s="2"/>
      <c r="T488" s="2"/>
      <c r="U488" s="49"/>
      <c r="V488" s="2"/>
      <c r="W488" s="2"/>
      <c r="X488" s="2"/>
      <c r="Y488" s="2"/>
      <c r="Z488" s="2"/>
    </row>
    <row r="489" spans="13:26" ht="15.75" customHeight="1" x14ac:dyDescent="0.15">
      <c r="M489" s="2"/>
      <c r="N489" s="2"/>
      <c r="O489" s="2"/>
      <c r="P489" s="2"/>
      <c r="Q489" s="2"/>
      <c r="R489" s="2"/>
      <c r="S489" s="2"/>
      <c r="T489" s="2"/>
      <c r="U489" s="49"/>
      <c r="V489" s="2"/>
      <c r="W489" s="2"/>
      <c r="X489" s="2"/>
      <c r="Y489" s="2"/>
      <c r="Z489" s="2"/>
    </row>
    <row r="490" spans="13:26" ht="15.75" customHeight="1" x14ac:dyDescent="0.15">
      <c r="M490" s="2"/>
      <c r="N490" s="2"/>
      <c r="O490" s="2"/>
      <c r="P490" s="2"/>
      <c r="Q490" s="2"/>
      <c r="R490" s="2"/>
      <c r="S490" s="2"/>
      <c r="T490" s="2"/>
      <c r="U490" s="49"/>
      <c r="V490" s="2"/>
      <c r="W490" s="2"/>
      <c r="X490" s="2"/>
      <c r="Y490" s="2"/>
      <c r="Z490" s="2"/>
    </row>
    <row r="491" spans="13:26" ht="15.75" customHeight="1" x14ac:dyDescent="0.15">
      <c r="M491" s="2"/>
      <c r="N491" s="2"/>
      <c r="O491" s="2"/>
      <c r="P491" s="2"/>
      <c r="Q491" s="2"/>
      <c r="R491" s="2"/>
      <c r="S491" s="2"/>
      <c r="T491" s="2"/>
      <c r="U491" s="49"/>
      <c r="V491" s="2"/>
      <c r="W491" s="2"/>
      <c r="X491" s="2"/>
      <c r="Y491" s="2"/>
      <c r="Z491" s="2"/>
    </row>
    <row r="492" spans="13:26" ht="15.75" customHeight="1" x14ac:dyDescent="0.15">
      <c r="M492" s="2"/>
      <c r="N492" s="2"/>
      <c r="O492" s="2"/>
      <c r="P492" s="2"/>
      <c r="Q492" s="2"/>
      <c r="R492" s="2"/>
      <c r="S492" s="2"/>
      <c r="T492" s="2"/>
      <c r="U492" s="49"/>
      <c r="V492" s="2"/>
      <c r="W492" s="2"/>
      <c r="X492" s="2"/>
      <c r="Y492" s="2"/>
      <c r="Z492" s="2"/>
    </row>
    <row r="493" spans="13:26" ht="15.75" customHeight="1" x14ac:dyDescent="0.15">
      <c r="M493" s="2"/>
      <c r="N493" s="2"/>
      <c r="O493" s="2"/>
      <c r="P493" s="2"/>
      <c r="Q493" s="2"/>
      <c r="R493" s="2"/>
      <c r="S493" s="2"/>
      <c r="T493" s="2"/>
      <c r="U493" s="49"/>
      <c r="V493" s="2"/>
      <c r="W493" s="2"/>
      <c r="X493" s="2"/>
      <c r="Y493" s="2"/>
      <c r="Z493" s="2"/>
    </row>
    <row r="494" spans="13:26" ht="15.75" customHeight="1" x14ac:dyDescent="0.15">
      <c r="M494" s="2"/>
      <c r="N494" s="2"/>
      <c r="O494" s="2"/>
      <c r="P494" s="2"/>
      <c r="Q494" s="2"/>
      <c r="R494" s="2"/>
      <c r="S494" s="2"/>
      <c r="T494" s="2"/>
      <c r="U494" s="49"/>
      <c r="V494" s="2"/>
      <c r="W494" s="2"/>
      <c r="X494" s="2"/>
      <c r="Y494" s="2"/>
      <c r="Z494" s="2"/>
    </row>
    <row r="495" spans="13:26" ht="15.75" customHeight="1" x14ac:dyDescent="0.15">
      <c r="M495" s="2"/>
      <c r="N495" s="2"/>
      <c r="O495" s="2"/>
      <c r="P495" s="2"/>
      <c r="Q495" s="2"/>
      <c r="R495" s="2"/>
      <c r="S495" s="2"/>
      <c r="T495" s="2"/>
      <c r="U495" s="49"/>
      <c r="V495" s="2"/>
      <c r="W495" s="2"/>
      <c r="X495" s="2"/>
      <c r="Y495" s="2"/>
      <c r="Z495" s="2"/>
    </row>
    <row r="496" spans="13:26" ht="15.75" customHeight="1" x14ac:dyDescent="0.15">
      <c r="M496" s="2"/>
      <c r="N496" s="2"/>
      <c r="O496" s="2"/>
      <c r="P496" s="2"/>
      <c r="Q496" s="2"/>
      <c r="R496" s="2"/>
      <c r="S496" s="2"/>
      <c r="T496" s="2"/>
      <c r="U496" s="49"/>
      <c r="V496" s="2"/>
      <c r="W496" s="2"/>
      <c r="X496" s="2"/>
      <c r="Y496" s="2"/>
      <c r="Z496" s="2"/>
    </row>
    <row r="497" spans="13:26" ht="15.75" customHeight="1" x14ac:dyDescent="0.15">
      <c r="M497" s="2"/>
      <c r="N497" s="2"/>
      <c r="O497" s="2"/>
      <c r="P497" s="2"/>
      <c r="Q497" s="2"/>
      <c r="R497" s="2"/>
      <c r="S497" s="2"/>
      <c r="T497" s="2"/>
      <c r="U497" s="49"/>
      <c r="V497" s="2"/>
      <c r="W497" s="2"/>
      <c r="X497" s="2"/>
      <c r="Y497" s="2"/>
      <c r="Z497" s="2"/>
    </row>
    <row r="498" spans="13:26" ht="15.75" customHeight="1" x14ac:dyDescent="0.15">
      <c r="M498" s="2"/>
      <c r="N498" s="2"/>
      <c r="O498" s="2"/>
      <c r="P498" s="2"/>
      <c r="Q498" s="2"/>
      <c r="R498" s="2"/>
      <c r="S498" s="2"/>
      <c r="T498" s="2"/>
      <c r="U498" s="49"/>
      <c r="V498" s="2"/>
      <c r="W498" s="2"/>
      <c r="X498" s="2"/>
      <c r="Y498" s="2"/>
      <c r="Z498" s="2"/>
    </row>
    <row r="499" spans="13:26" ht="15.75" customHeight="1" x14ac:dyDescent="0.15">
      <c r="M499" s="2"/>
      <c r="N499" s="2"/>
      <c r="O499" s="2"/>
      <c r="P499" s="2"/>
      <c r="Q499" s="2"/>
      <c r="R499" s="2"/>
      <c r="S499" s="2"/>
      <c r="T499" s="2"/>
      <c r="U499" s="49"/>
      <c r="V499" s="2"/>
      <c r="W499" s="2"/>
      <c r="X499" s="2"/>
      <c r="Y499" s="2"/>
      <c r="Z499" s="2"/>
    </row>
    <row r="500" spans="13:26" ht="15.75" customHeight="1" x14ac:dyDescent="0.15">
      <c r="M500" s="2"/>
      <c r="N500" s="2"/>
      <c r="O500" s="2"/>
      <c r="P500" s="2"/>
      <c r="Q500" s="2"/>
      <c r="R500" s="2"/>
      <c r="S500" s="2"/>
      <c r="T500" s="2"/>
      <c r="U500" s="49"/>
      <c r="V500" s="2"/>
      <c r="W500" s="2"/>
      <c r="X500" s="2"/>
      <c r="Y500" s="2"/>
      <c r="Z500" s="2"/>
    </row>
    <row r="501" spans="13:26" ht="15.75" customHeight="1" x14ac:dyDescent="0.15">
      <c r="M501" s="2"/>
      <c r="N501" s="2"/>
      <c r="O501" s="2"/>
      <c r="P501" s="2"/>
      <c r="Q501" s="2"/>
      <c r="R501" s="2"/>
      <c r="S501" s="2"/>
      <c r="T501" s="2"/>
      <c r="U501" s="49"/>
      <c r="V501" s="2"/>
      <c r="W501" s="2"/>
      <c r="X501" s="2"/>
      <c r="Y501" s="2"/>
      <c r="Z501" s="2"/>
    </row>
    <row r="502" spans="13:26" ht="15.75" customHeight="1" x14ac:dyDescent="0.15">
      <c r="M502" s="2"/>
      <c r="N502" s="2"/>
      <c r="O502" s="2"/>
      <c r="P502" s="2"/>
      <c r="Q502" s="2"/>
      <c r="R502" s="2"/>
      <c r="S502" s="2"/>
      <c r="T502" s="2"/>
      <c r="U502" s="49"/>
      <c r="V502" s="2"/>
      <c r="W502" s="2"/>
      <c r="X502" s="2"/>
      <c r="Y502" s="2"/>
      <c r="Z502" s="2"/>
    </row>
    <row r="503" spans="13:26" ht="15.75" customHeight="1" x14ac:dyDescent="0.15">
      <c r="M503" s="2"/>
      <c r="N503" s="2"/>
      <c r="O503" s="2"/>
      <c r="P503" s="2"/>
      <c r="Q503" s="2"/>
      <c r="R503" s="2"/>
      <c r="S503" s="2"/>
      <c r="T503" s="2"/>
      <c r="U503" s="49"/>
      <c r="V503" s="2"/>
      <c r="W503" s="2"/>
      <c r="X503" s="2"/>
      <c r="Y503" s="2"/>
      <c r="Z503" s="2"/>
    </row>
    <row r="504" spans="13:26" ht="15.75" customHeight="1" x14ac:dyDescent="0.15">
      <c r="M504" s="2"/>
      <c r="N504" s="2"/>
      <c r="O504" s="2"/>
      <c r="P504" s="2"/>
      <c r="Q504" s="2"/>
      <c r="R504" s="2"/>
      <c r="S504" s="2"/>
      <c r="T504" s="2"/>
      <c r="U504" s="49"/>
      <c r="V504" s="2"/>
      <c r="W504" s="2"/>
      <c r="X504" s="2"/>
      <c r="Y504" s="2"/>
      <c r="Z504" s="2"/>
    </row>
    <row r="505" spans="13:26" ht="15.75" customHeight="1" x14ac:dyDescent="0.15">
      <c r="M505" s="2"/>
      <c r="N505" s="2"/>
      <c r="O505" s="2"/>
      <c r="P505" s="2"/>
      <c r="Q505" s="2"/>
      <c r="R505" s="2"/>
      <c r="S505" s="2"/>
      <c r="T505" s="2"/>
      <c r="U505" s="49"/>
      <c r="V505" s="2"/>
      <c r="W505" s="2"/>
      <c r="X505" s="2"/>
      <c r="Y505" s="2"/>
      <c r="Z505" s="2"/>
    </row>
    <row r="506" spans="13:26" ht="15.75" customHeight="1" x14ac:dyDescent="0.15">
      <c r="M506" s="2"/>
      <c r="N506" s="2"/>
      <c r="O506" s="2"/>
      <c r="P506" s="2"/>
      <c r="Q506" s="2"/>
      <c r="R506" s="2"/>
      <c r="S506" s="2"/>
      <c r="T506" s="2"/>
      <c r="U506" s="49"/>
      <c r="V506" s="2"/>
      <c r="W506" s="2"/>
      <c r="X506" s="2"/>
      <c r="Y506" s="2"/>
      <c r="Z506" s="2"/>
    </row>
    <row r="507" spans="13:26" ht="15.75" customHeight="1" x14ac:dyDescent="0.15">
      <c r="M507" s="2"/>
      <c r="N507" s="2"/>
      <c r="O507" s="2"/>
      <c r="P507" s="2"/>
      <c r="Q507" s="2"/>
      <c r="R507" s="2"/>
      <c r="S507" s="2"/>
      <c r="T507" s="2"/>
      <c r="U507" s="49"/>
      <c r="V507" s="2"/>
      <c r="W507" s="2"/>
      <c r="X507" s="2"/>
      <c r="Y507" s="2"/>
      <c r="Z507" s="2"/>
    </row>
    <row r="508" spans="13:26" ht="15.75" customHeight="1" x14ac:dyDescent="0.15">
      <c r="M508" s="2"/>
      <c r="N508" s="2"/>
      <c r="O508" s="2"/>
      <c r="P508" s="2"/>
      <c r="Q508" s="2"/>
      <c r="R508" s="2"/>
      <c r="S508" s="2"/>
      <c r="T508" s="2"/>
      <c r="U508" s="49"/>
      <c r="V508" s="2"/>
      <c r="W508" s="2"/>
      <c r="X508" s="2"/>
      <c r="Y508" s="2"/>
      <c r="Z508" s="2"/>
    </row>
    <row r="509" spans="13:26" ht="15.75" customHeight="1" x14ac:dyDescent="0.15">
      <c r="M509" s="2"/>
      <c r="N509" s="2"/>
      <c r="O509" s="2"/>
      <c r="P509" s="2"/>
      <c r="Q509" s="2"/>
      <c r="R509" s="2"/>
      <c r="S509" s="2"/>
      <c r="T509" s="2"/>
      <c r="U509" s="49"/>
      <c r="V509" s="2"/>
      <c r="W509" s="2"/>
      <c r="X509" s="2"/>
      <c r="Y509" s="2"/>
      <c r="Z509" s="2"/>
    </row>
    <row r="510" spans="13:26" ht="15.75" customHeight="1" x14ac:dyDescent="0.15">
      <c r="M510" s="2"/>
      <c r="N510" s="2"/>
      <c r="O510" s="2"/>
      <c r="P510" s="2"/>
      <c r="Q510" s="2"/>
      <c r="R510" s="2"/>
      <c r="S510" s="2"/>
      <c r="T510" s="2"/>
      <c r="U510" s="49"/>
      <c r="V510" s="2"/>
      <c r="W510" s="2"/>
      <c r="X510" s="2"/>
      <c r="Y510" s="2"/>
      <c r="Z510" s="2"/>
    </row>
    <row r="511" spans="13:26" ht="15.75" customHeight="1" x14ac:dyDescent="0.15">
      <c r="M511" s="2"/>
      <c r="N511" s="2"/>
      <c r="O511" s="2"/>
      <c r="P511" s="2"/>
      <c r="Q511" s="2"/>
      <c r="R511" s="2"/>
      <c r="S511" s="2"/>
      <c r="T511" s="2"/>
      <c r="U511" s="49"/>
      <c r="V511" s="2"/>
      <c r="W511" s="2"/>
      <c r="X511" s="2"/>
      <c r="Y511" s="2"/>
      <c r="Z511" s="2"/>
    </row>
    <row r="512" spans="13:26" ht="15.75" customHeight="1" x14ac:dyDescent="0.15">
      <c r="M512" s="2"/>
      <c r="N512" s="2"/>
      <c r="O512" s="2"/>
      <c r="P512" s="2"/>
      <c r="Q512" s="2"/>
      <c r="R512" s="2"/>
      <c r="S512" s="2"/>
      <c r="T512" s="2"/>
      <c r="U512" s="49"/>
      <c r="V512" s="2"/>
      <c r="W512" s="2"/>
      <c r="X512" s="2"/>
      <c r="Y512" s="2"/>
      <c r="Z512" s="2"/>
    </row>
    <row r="513" spans="13:26" ht="15.75" customHeight="1" x14ac:dyDescent="0.15">
      <c r="M513" s="2"/>
      <c r="N513" s="2"/>
      <c r="O513" s="2"/>
      <c r="P513" s="2"/>
      <c r="Q513" s="2"/>
      <c r="R513" s="2"/>
      <c r="S513" s="2"/>
      <c r="T513" s="2"/>
      <c r="U513" s="49"/>
      <c r="V513" s="2"/>
      <c r="W513" s="2"/>
      <c r="X513" s="2"/>
      <c r="Y513" s="2"/>
      <c r="Z513" s="2"/>
    </row>
    <row r="514" spans="13:26" ht="15.75" customHeight="1" x14ac:dyDescent="0.15">
      <c r="M514" s="2"/>
      <c r="N514" s="2"/>
      <c r="O514" s="2"/>
      <c r="P514" s="2"/>
      <c r="Q514" s="2"/>
      <c r="R514" s="2"/>
      <c r="S514" s="2"/>
      <c r="T514" s="2"/>
      <c r="U514" s="49"/>
      <c r="V514" s="2"/>
      <c r="W514" s="2"/>
      <c r="X514" s="2"/>
      <c r="Y514" s="2"/>
      <c r="Z514" s="2"/>
    </row>
    <row r="515" spans="13:26" ht="15.75" customHeight="1" x14ac:dyDescent="0.15">
      <c r="M515" s="2"/>
      <c r="N515" s="2"/>
      <c r="O515" s="2"/>
      <c r="P515" s="2"/>
      <c r="Q515" s="2"/>
      <c r="R515" s="2"/>
      <c r="S515" s="2"/>
      <c r="T515" s="2"/>
      <c r="U515" s="49"/>
      <c r="V515" s="2"/>
      <c r="W515" s="2"/>
      <c r="X515" s="2"/>
      <c r="Y515" s="2"/>
      <c r="Z515" s="2"/>
    </row>
    <row r="516" spans="13:26" ht="15.75" customHeight="1" x14ac:dyDescent="0.15">
      <c r="M516" s="2"/>
      <c r="N516" s="2"/>
      <c r="O516" s="2"/>
      <c r="P516" s="2"/>
      <c r="Q516" s="2"/>
      <c r="R516" s="2"/>
      <c r="S516" s="2"/>
      <c r="T516" s="2"/>
      <c r="U516" s="49"/>
      <c r="V516" s="2"/>
      <c r="W516" s="2"/>
      <c r="X516" s="2"/>
      <c r="Y516" s="2"/>
      <c r="Z516" s="2"/>
    </row>
    <row r="517" spans="13:26" ht="15.75" customHeight="1" x14ac:dyDescent="0.15">
      <c r="M517" s="2"/>
      <c r="N517" s="2"/>
      <c r="O517" s="2"/>
      <c r="P517" s="2"/>
      <c r="Q517" s="2"/>
      <c r="R517" s="2"/>
      <c r="S517" s="2"/>
      <c r="T517" s="2"/>
      <c r="U517" s="49"/>
      <c r="V517" s="2"/>
      <c r="W517" s="2"/>
      <c r="X517" s="2"/>
      <c r="Y517" s="2"/>
      <c r="Z517" s="2"/>
    </row>
    <row r="518" spans="13:26" ht="15.75" customHeight="1" x14ac:dyDescent="0.15">
      <c r="M518" s="2"/>
      <c r="N518" s="2"/>
      <c r="O518" s="2"/>
      <c r="P518" s="2"/>
      <c r="Q518" s="2"/>
      <c r="R518" s="2"/>
      <c r="S518" s="2"/>
      <c r="T518" s="2"/>
      <c r="U518" s="49"/>
      <c r="V518" s="2"/>
      <c r="W518" s="2"/>
      <c r="X518" s="2"/>
      <c r="Y518" s="2"/>
      <c r="Z518" s="2"/>
    </row>
    <row r="519" spans="13:26" ht="15.75" customHeight="1" x14ac:dyDescent="0.15">
      <c r="M519" s="2"/>
      <c r="N519" s="2"/>
      <c r="O519" s="2"/>
      <c r="P519" s="2"/>
      <c r="Q519" s="2"/>
      <c r="R519" s="2"/>
      <c r="S519" s="2"/>
      <c r="T519" s="2"/>
      <c r="U519" s="49"/>
      <c r="V519" s="2"/>
      <c r="W519" s="2"/>
      <c r="X519" s="2"/>
      <c r="Y519" s="2"/>
      <c r="Z519" s="2"/>
    </row>
    <row r="520" spans="13:26" ht="15.75" customHeight="1" x14ac:dyDescent="0.15">
      <c r="M520" s="2"/>
      <c r="N520" s="2"/>
      <c r="O520" s="2"/>
      <c r="P520" s="2"/>
      <c r="Q520" s="2"/>
      <c r="R520" s="2"/>
      <c r="S520" s="2"/>
      <c r="T520" s="2"/>
      <c r="U520" s="49"/>
      <c r="V520" s="2"/>
      <c r="W520" s="2"/>
      <c r="X520" s="2"/>
      <c r="Y520" s="2"/>
      <c r="Z520" s="2"/>
    </row>
    <row r="521" spans="13:26" ht="15.75" customHeight="1" x14ac:dyDescent="0.15">
      <c r="M521" s="2"/>
      <c r="N521" s="2"/>
      <c r="O521" s="2"/>
      <c r="P521" s="2"/>
      <c r="Q521" s="2"/>
      <c r="R521" s="2"/>
      <c r="S521" s="2"/>
      <c r="T521" s="2"/>
      <c r="U521" s="49"/>
      <c r="V521" s="2"/>
      <c r="W521" s="2"/>
      <c r="X521" s="2"/>
      <c r="Y521" s="2"/>
      <c r="Z521" s="2"/>
    </row>
    <row r="522" spans="13:26" ht="15.75" customHeight="1" x14ac:dyDescent="0.15">
      <c r="M522" s="2"/>
      <c r="N522" s="2"/>
      <c r="O522" s="2"/>
      <c r="P522" s="2"/>
      <c r="Q522" s="2"/>
      <c r="R522" s="2"/>
      <c r="S522" s="2"/>
      <c r="T522" s="2"/>
      <c r="U522" s="49"/>
      <c r="V522" s="2"/>
      <c r="W522" s="2"/>
      <c r="X522" s="2"/>
      <c r="Y522" s="2"/>
      <c r="Z522" s="2"/>
    </row>
    <row r="523" spans="13:26" ht="15.75" customHeight="1" x14ac:dyDescent="0.15">
      <c r="M523" s="2"/>
      <c r="N523" s="2"/>
      <c r="O523" s="2"/>
      <c r="P523" s="2"/>
      <c r="Q523" s="2"/>
      <c r="R523" s="2"/>
      <c r="S523" s="2"/>
      <c r="T523" s="2"/>
      <c r="U523" s="49"/>
      <c r="V523" s="2"/>
      <c r="W523" s="2"/>
      <c r="X523" s="2"/>
      <c r="Y523" s="2"/>
      <c r="Z523" s="2"/>
    </row>
    <row r="524" spans="13:26" ht="15.75" customHeight="1" x14ac:dyDescent="0.15">
      <c r="M524" s="2"/>
      <c r="N524" s="2"/>
      <c r="O524" s="2"/>
      <c r="P524" s="2"/>
      <c r="Q524" s="2"/>
      <c r="R524" s="2"/>
      <c r="S524" s="2"/>
      <c r="T524" s="2"/>
      <c r="U524" s="49"/>
      <c r="V524" s="2"/>
      <c r="W524" s="2"/>
      <c r="X524" s="2"/>
      <c r="Y524" s="2"/>
      <c r="Z524" s="2"/>
    </row>
    <row r="525" spans="13:26" ht="15.75" customHeight="1" x14ac:dyDescent="0.15">
      <c r="M525" s="2"/>
      <c r="N525" s="2"/>
      <c r="O525" s="2"/>
      <c r="P525" s="2"/>
      <c r="Q525" s="2"/>
      <c r="R525" s="2"/>
      <c r="S525" s="2"/>
      <c r="T525" s="2"/>
      <c r="U525" s="49"/>
      <c r="V525" s="2"/>
      <c r="W525" s="2"/>
      <c r="X525" s="2"/>
      <c r="Y525" s="2"/>
      <c r="Z525" s="2"/>
    </row>
    <row r="526" spans="13:26" ht="15.75" customHeight="1" x14ac:dyDescent="0.15">
      <c r="M526" s="2"/>
      <c r="N526" s="2"/>
      <c r="O526" s="2"/>
      <c r="P526" s="2"/>
      <c r="Q526" s="2"/>
      <c r="R526" s="2"/>
      <c r="S526" s="2"/>
      <c r="T526" s="2"/>
      <c r="U526" s="49"/>
      <c r="V526" s="2"/>
      <c r="W526" s="2"/>
      <c r="X526" s="2"/>
      <c r="Y526" s="2"/>
      <c r="Z526" s="2"/>
    </row>
    <row r="527" spans="13:26" ht="15.75" customHeight="1" x14ac:dyDescent="0.15">
      <c r="M527" s="2"/>
      <c r="N527" s="2"/>
      <c r="O527" s="2"/>
      <c r="P527" s="2"/>
      <c r="Q527" s="2"/>
      <c r="R527" s="2"/>
      <c r="S527" s="2"/>
      <c r="T527" s="2"/>
      <c r="U527" s="49"/>
      <c r="V527" s="2"/>
      <c r="W527" s="2"/>
      <c r="X527" s="2"/>
      <c r="Y527" s="2"/>
      <c r="Z527" s="2"/>
    </row>
    <row r="528" spans="13:26" ht="15.75" customHeight="1" x14ac:dyDescent="0.15">
      <c r="M528" s="2"/>
      <c r="N528" s="2"/>
      <c r="O528" s="2"/>
      <c r="P528" s="2"/>
      <c r="Q528" s="2"/>
      <c r="R528" s="2"/>
      <c r="S528" s="2"/>
      <c r="T528" s="2"/>
      <c r="U528" s="49"/>
      <c r="V528" s="2"/>
      <c r="W528" s="2"/>
      <c r="X528" s="2"/>
      <c r="Y528" s="2"/>
      <c r="Z528" s="2"/>
    </row>
    <row r="529" spans="13:26" ht="15.75" customHeight="1" x14ac:dyDescent="0.15">
      <c r="M529" s="2"/>
      <c r="N529" s="2"/>
      <c r="O529" s="2"/>
      <c r="P529" s="2"/>
      <c r="Q529" s="2"/>
      <c r="R529" s="2"/>
      <c r="S529" s="2"/>
      <c r="T529" s="2"/>
      <c r="U529" s="49"/>
      <c r="V529" s="2"/>
      <c r="W529" s="2"/>
      <c r="X529" s="2"/>
      <c r="Y529" s="2"/>
      <c r="Z529" s="2"/>
    </row>
    <row r="530" spans="13:26" ht="15.75" customHeight="1" x14ac:dyDescent="0.15">
      <c r="M530" s="2"/>
      <c r="N530" s="2"/>
      <c r="O530" s="2"/>
      <c r="P530" s="2"/>
      <c r="Q530" s="2"/>
      <c r="R530" s="2"/>
      <c r="S530" s="2"/>
      <c r="T530" s="2"/>
      <c r="U530" s="49"/>
      <c r="V530" s="2"/>
      <c r="W530" s="2"/>
      <c r="X530" s="2"/>
      <c r="Y530" s="2"/>
      <c r="Z530" s="2"/>
    </row>
    <row r="531" spans="13:26" ht="15.75" customHeight="1" x14ac:dyDescent="0.15">
      <c r="M531" s="2"/>
      <c r="N531" s="2"/>
      <c r="O531" s="2"/>
      <c r="P531" s="2"/>
      <c r="Q531" s="2"/>
      <c r="R531" s="2"/>
      <c r="S531" s="2"/>
      <c r="T531" s="2"/>
      <c r="U531" s="49"/>
      <c r="V531" s="2"/>
      <c r="W531" s="2"/>
      <c r="X531" s="2"/>
      <c r="Y531" s="2"/>
      <c r="Z531" s="2"/>
    </row>
    <row r="532" spans="13:26" ht="15.75" customHeight="1" x14ac:dyDescent="0.15">
      <c r="M532" s="2"/>
      <c r="N532" s="2"/>
      <c r="O532" s="2"/>
      <c r="P532" s="2"/>
      <c r="Q532" s="2"/>
      <c r="R532" s="2"/>
      <c r="S532" s="2"/>
      <c r="T532" s="2"/>
      <c r="U532" s="49"/>
      <c r="V532" s="2"/>
      <c r="W532" s="2"/>
      <c r="X532" s="2"/>
      <c r="Y532" s="2"/>
      <c r="Z532" s="2"/>
    </row>
    <row r="533" spans="13:26" ht="15.75" customHeight="1" x14ac:dyDescent="0.15">
      <c r="M533" s="2"/>
      <c r="N533" s="2"/>
      <c r="O533" s="2"/>
      <c r="P533" s="2"/>
      <c r="Q533" s="2"/>
      <c r="R533" s="2"/>
      <c r="S533" s="2"/>
      <c r="T533" s="2"/>
      <c r="U533" s="49"/>
      <c r="V533" s="2"/>
      <c r="W533" s="2"/>
      <c r="X533" s="2"/>
      <c r="Y533" s="2"/>
      <c r="Z533" s="2"/>
    </row>
    <row r="534" spans="13:26" ht="15.75" customHeight="1" x14ac:dyDescent="0.15">
      <c r="M534" s="2"/>
      <c r="N534" s="2"/>
      <c r="O534" s="2"/>
      <c r="P534" s="2"/>
      <c r="Q534" s="2"/>
      <c r="R534" s="2"/>
      <c r="S534" s="2"/>
      <c r="T534" s="2"/>
      <c r="U534" s="49"/>
      <c r="V534" s="2"/>
      <c r="W534" s="2"/>
      <c r="X534" s="2"/>
      <c r="Y534" s="2"/>
      <c r="Z534" s="2"/>
    </row>
    <row r="535" spans="13:26" ht="15.75" customHeight="1" x14ac:dyDescent="0.15">
      <c r="M535" s="2"/>
      <c r="N535" s="2"/>
      <c r="O535" s="2"/>
      <c r="P535" s="2"/>
      <c r="Q535" s="2"/>
      <c r="R535" s="2"/>
      <c r="S535" s="2"/>
      <c r="T535" s="2"/>
      <c r="U535" s="49"/>
      <c r="V535" s="2"/>
      <c r="W535" s="2"/>
      <c r="X535" s="2"/>
      <c r="Y535" s="2"/>
      <c r="Z535" s="2"/>
    </row>
    <row r="536" spans="13:26" ht="15.75" customHeight="1" x14ac:dyDescent="0.15">
      <c r="M536" s="2"/>
      <c r="N536" s="2"/>
      <c r="O536" s="2"/>
      <c r="P536" s="2"/>
      <c r="Q536" s="2"/>
      <c r="R536" s="2"/>
      <c r="S536" s="2"/>
      <c r="T536" s="2"/>
      <c r="U536" s="49"/>
      <c r="V536" s="2"/>
      <c r="W536" s="2"/>
      <c r="X536" s="2"/>
      <c r="Y536" s="2"/>
      <c r="Z536" s="2"/>
    </row>
    <row r="537" spans="13:26" ht="15.75" customHeight="1" x14ac:dyDescent="0.15">
      <c r="M537" s="2"/>
      <c r="N537" s="2"/>
      <c r="O537" s="2"/>
      <c r="P537" s="2"/>
      <c r="Q537" s="2"/>
      <c r="R537" s="2"/>
      <c r="S537" s="2"/>
      <c r="T537" s="2"/>
      <c r="U537" s="49"/>
      <c r="V537" s="2"/>
      <c r="W537" s="2"/>
      <c r="X537" s="2"/>
      <c r="Y537" s="2"/>
      <c r="Z537" s="2"/>
    </row>
    <row r="538" spans="13:26" ht="15.75" customHeight="1" x14ac:dyDescent="0.15">
      <c r="M538" s="2"/>
      <c r="N538" s="2"/>
      <c r="O538" s="2"/>
      <c r="P538" s="2"/>
      <c r="Q538" s="2"/>
      <c r="R538" s="2"/>
      <c r="S538" s="2"/>
      <c r="T538" s="2"/>
      <c r="U538" s="49"/>
      <c r="V538" s="2"/>
      <c r="W538" s="2"/>
      <c r="X538" s="2"/>
      <c r="Y538" s="2"/>
      <c r="Z538" s="2"/>
    </row>
    <row r="539" spans="13:26" ht="15.75" customHeight="1" x14ac:dyDescent="0.15">
      <c r="M539" s="2"/>
      <c r="N539" s="2"/>
      <c r="O539" s="2"/>
      <c r="P539" s="2"/>
      <c r="Q539" s="2"/>
      <c r="R539" s="2"/>
      <c r="S539" s="2"/>
      <c r="T539" s="2"/>
      <c r="U539" s="49"/>
      <c r="V539" s="2"/>
      <c r="W539" s="2"/>
      <c r="X539" s="2"/>
      <c r="Y539" s="2"/>
      <c r="Z539" s="2"/>
    </row>
    <row r="540" spans="13:26" ht="15.75" customHeight="1" x14ac:dyDescent="0.15">
      <c r="M540" s="2"/>
      <c r="N540" s="2"/>
      <c r="O540" s="2"/>
      <c r="P540" s="2"/>
      <c r="Q540" s="2"/>
      <c r="R540" s="2"/>
      <c r="S540" s="2"/>
      <c r="T540" s="2"/>
      <c r="U540" s="49"/>
      <c r="V540" s="2"/>
      <c r="W540" s="2"/>
      <c r="X540" s="2"/>
      <c r="Y540" s="2"/>
      <c r="Z540" s="2"/>
    </row>
    <row r="541" spans="13:26" ht="15.75" customHeight="1" x14ac:dyDescent="0.15">
      <c r="M541" s="2"/>
      <c r="N541" s="2"/>
      <c r="O541" s="2"/>
      <c r="P541" s="2"/>
      <c r="Q541" s="2"/>
      <c r="R541" s="2"/>
      <c r="S541" s="2"/>
      <c r="T541" s="2"/>
      <c r="U541" s="49"/>
      <c r="V541" s="2"/>
      <c r="W541" s="2"/>
      <c r="X541" s="2"/>
      <c r="Y541" s="2"/>
      <c r="Z541" s="2"/>
    </row>
    <row r="542" spans="13:26" ht="15.75" customHeight="1" x14ac:dyDescent="0.15">
      <c r="M542" s="2"/>
      <c r="N542" s="2"/>
      <c r="O542" s="2"/>
      <c r="P542" s="2"/>
      <c r="Q542" s="2"/>
      <c r="R542" s="2"/>
      <c r="S542" s="2"/>
      <c r="T542" s="2"/>
      <c r="U542" s="49"/>
      <c r="V542" s="2"/>
      <c r="W542" s="2"/>
      <c r="X542" s="2"/>
      <c r="Y542" s="2"/>
      <c r="Z542" s="2"/>
    </row>
    <row r="543" spans="13:26" ht="15.75" customHeight="1" x14ac:dyDescent="0.15">
      <c r="M543" s="2"/>
      <c r="N543" s="2"/>
      <c r="O543" s="2"/>
      <c r="P543" s="2"/>
      <c r="Q543" s="2"/>
      <c r="R543" s="2"/>
      <c r="S543" s="2"/>
      <c r="T543" s="2"/>
      <c r="U543" s="49"/>
      <c r="V543" s="2"/>
      <c r="W543" s="2"/>
      <c r="X543" s="2"/>
      <c r="Y543" s="2"/>
      <c r="Z543" s="2"/>
    </row>
    <row r="544" spans="13:26" ht="15.75" customHeight="1" x14ac:dyDescent="0.15">
      <c r="M544" s="2"/>
      <c r="N544" s="2"/>
      <c r="O544" s="2"/>
      <c r="P544" s="2"/>
      <c r="Q544" s="2"/>
      <c r="R544" s="2"/>
      <c r="S544" s="2"/>
      <c r="T544" s="2"/>
      <c r="U544" s="49"/>
      <c r="V544" s="2"/>
      <c r="W544" s="2"/>
      <c r="X544" s="2"/>
      <c r="Y544" s="2"/>
      <c r="Z544" s="2"/>
    </row>
    <row r="545" spans="13:26" ht="15.75" customHeight="1" x14ac:dyDescent="0.15">
      <c r="M545" s="2"/>
      <c r="N545" s="2"/>
      <c r="O545" s="2"/>
      <c r="P545" s="2"/>
      <c r="Q545" s="2"/>
      <c r="R545" s="2"/>
      <c r="S545" s="2"/>
      <c r="T545" s="2"/>
      <c r="U545" s="49"/>
      <c r="V545" s="2"/>
      <c r="W545" s="2"/>
      <c r="X545" s="2"/>
      <c r="Y545" s="2"/>
      <c r="Z545" s="2"/>
    </row>
    <row r="546" spans="13:26" ht="15.75" customHeight="1" x14ac:dyDescent="0.15">
      <c r="M546" s="2"/>
      <c r="N546" s="2"/>
      <c r="O546" s="2"/>
      <c r="P546" s="2"/>
      <c r="Q546" s="2"/>
      <c r="R546" s="2"/>
      <c r="S546" s="2"/>
      <c r="T546" s="2"/>
      <c r="U546" s="49"/>
      <c r="V546" s="2"/>
      <c r="W546" s="2"/>
      <c r="X546" s="2"/>
      <c r="Y546" s="2"/>
      <c r="Z546" s="2"/>
    </row>
    <row r="547" spans="13:26" ht="15.75" customHeight="1" x14ac:dyDescent="0.15">
      <c r="M547" s="2"/>
      <c r="N547" s="2"/>
      <c r="O547" s="2"/>
      <c r="P547" s="2"/>
      <c r="Q547" s="2"/>
      <c r="R547" s="2"/>
      <c r="S547" s="2"/>
      <c r="T547" s="2"/>
      <c r="U547" s="49"/>
      <c r="V547" s="2"/>
      <c r="W547" s="2"/>
      <c r="X547" s="2"/>
      <c r="Y547" s="2"/>
      <c r="Z547" s="2"/>
    </row>
    <row r="548" spans="13:26" ht="15.75" customHeight="1" x14ac:dyDescent="0.15">
      <c r="M548" s="2"/>
      <c r="N548" s="2"/>
      <c r="O548" s="2"/>
      <c r="P548" s="2"/>
      <c r="Q548" s="2"/>
      <c r="R548" s="2"/>
      <c r="S548" s="2"/>
      <c r="T548" s="2"/>
      <c r="U548" s="49"/>
      <c r="V548" s="2"/>
      <c r="W548" s="2"/>
      <c r="X548" s="2"/>
      <c r="Y548" s="2"/>
      <c r="Z548" s="2"/>
    </row>
    <row r="549" spans="13:26" ht="15.75" customHeight="1" x14ac:dyDescent="0.15">
      <c r="M549" s="2"/>
      <c r="N549" s="2"/>
      <c r="O549" s="2"/>
      <c r="P549" s="2"/>
      <c r="Q549" s="2"/>
      <c r="R549" s="2"/>
      <c r="S549" s="2"/>
      <c r="T549" s="2"/>
      <c r="U549" s="49"/>
      <c r="V549" s="2"/>
      <c r="W549" s="2"/>
      <c r="X549" s="2"/>
      <c r="Y549" s="2"/>
      <c r="Z549" s="2"/>
    </row>
    <row r="550" spans="13:26" ht="15.75" customHeight="1" x14ac:dyDescent="0.15">
      <c r="M550" s="2"/>
      <c r="N550" s="2"/>
      <c r="O550" s="2"/>
      <c r="P550" s="2"/>
      <c r="Q550" s="2"/>
      <c r="R550" s="2"/>
      <c r="S550" s="2"/>
      <c r="T550" s="2"/>
      <c r="U550" s="49"/>
      <c r="V550" s="2"/>
      <c r="W550" s="2"/>
      <c r="X550" s="2"/>
      <c r="Y550" s="2"/>
      <c r="Z550" s="2"/>
    </row>
    <row r="551" spans="13:26" ht="15.75" customHeight="1" x14ac:dyDescent="0.15">
      <c r="M551" s="2"/>
      <c r="N551" s="2"/>
      <c r="O551" s="2"/>
      <c r="P551" s="2"/>
      <c r="Q551" s="2"/>
      <c r="R551" s="2"/>
      <c r="S551" s="2"/>
      <c r="T551" s="2"/>
      <c r="U551" s="49"/>
      <c r="V551" s="2"/>
      <c r="W551" s="2"/>
      <c r="X551" s="2"/>
      <c r="Y551" s="2"/>
      <c r="Z551" s="2"/>
    </row>
    <row r="552" spans="13:26" ht="15.75" customHeight="1" x14ac:dyDescent="0.15">
      <c r="M552" s="2"/>
      <c r="N552" s="2"/>
      <c r="O552" s="2"/>
      <c r="P552" s="2"/>
      <c r="Q552" s="2"/>
      <c r="R552" s="2"/>
      <c r="S552" s="2"/>
      <c r="T552" s="2"/>
      <c r="U552" s="49"/>
      <c r="V552" s="2"/>
      <c r="W552" s="2"/>
      <c r="X552" s="2"/>
      <c r="Y552" s="2"/>
      <c r="Z552" s="2"/>
    </row>
    <row r="553" spans="13:26" ht="15.75" customHeight="1" x14ac:dyDescent="0.15">
      <c r="M553" s="2"/>
      <c r="N553" s="2"/>
      <c r="O553" s="2"/>
      <c r="P553" s="2"/>
      <c r="Q553" s="2"/>
      <c r="R553" s="2"/>
      <c r="S553" s="2"/>
      <c r="T553" s="2"/>
      <c r="U553" s="49"/>
      <c r="V553" s="2"/>
      <c r="W553" s="2"/>
      <c r="X553" s="2"/>
      <c r="Y553" s="2"/>
      <c r="Z553" s="2"/>
    </row>
    <row r="554" spans="13:26" ht="15.75" customHeight="1" x14ac:dyDescent="0.15">
      <c r="M554" s="2"/>
      <c r="N554" s="2"/>
      <c r="O554" s="2"/>
      <c r="P554" s="2"/>
      <c r="Q554" s="2"/>
      <c r="R554" s="2"/>
      <c r="S554" s="2"/>
      <c r="T554" s="2"/>
      <c r="U554" s="49"/>
      <c r="V554" s="2"/>
      <c r="W554" s="2"/>
      <c r="X554" s="2"/>
      <c r="Y554" s="2"/>
      <c r="Z554" s="2"/>
    </row>
    <row r="555" spans="13:26" ht="15.75" customHeight="1" x14ac:dyDescent="0.15">
      <c r="M555" s="2"/>
      <c r="N555" s="2"/>
      <c r="O555" s="2"/>
      <c r="P555" s="2"/>
      <c r="Q555" s="2"/>
      <c r="R555" s="2"/>
      <c r="S555" s="2"/>
      <c r="T555" s="2"/>
      <c r="U555" s="49"/>
      <c r="V555" s="2"/>
      <c r="W555" s="2"/>
      <c r="X555" s="2"/>
      <c r="Y555" s="2"/>
      <c r="Z555" s="2"/>
    </row>
    <row r="556" spans="13:26" ht="15.75" customHeight="1" x14ac:dyDescent="0.15">
      <c r="M556" s="2"/>
      <c r="N556" s="2"/>
      <c r="O556" s="2"/>
      <c r="P556" s="2"/>
      <c r="Q556" s="2"/>
      <c r="R556" s="2"/>
      <c r="S556" s="2"/>
      <c r="T556" s="2"/>
      <c r="U556" s="49"/>
      <c r="V556" s="2"/>
      <c r="W556" s="2"/>
      <c r="X556" s="2"/>
      <c r="Y556" s="2"/>
      <c r="Z556" s="2"/>
    </row>
    <row r="557" spans="13:26" ht="15.75" customHeight="1" x14ac:dyDescent="0.15">
      <c r="M557" s="2"/>
      <c r="N557" s="2"/>
      <c r="O557" s="2"/>
      <c r="P557" s="2"/>
      <c r="Q557" s="2"/>
      <c r="R557" s="2"/>
      <c r="S557" s="2"/>
      <c r="T557" s="2"/>
      <c r="U557" s="49"/>
      <c r="V557" s="2"/>
      <c r="W557" s="2"/>
      <c r="X557" s="2"/>
      <c r="Y557" s="2"/>
      <c r="Z557" s="2"/>
    </row>
    <row r="558" spans="13:26" ht="15.75" customHeight="1" x14ac:dyDescent="0.15">
      <c r="M558" s="2"/>
      <c r="N558" s="2"/>
      <c r="O558" s="2"/>
      <c r="P558" s="2"/>
      <c r="Q558" s="2"/>
      <c r="R558" s="2"/>
      <c r="S558" s="2"/>
      <c r="T558" s="2"/>
      <c r="U558" s="49"/>
      <c r="V558" s="2"/>
      <c r="W558" s="2"/>
      <c r="X558" s="2"/>
      <c r="Y558" s="2"/>
      <c r="Z558" s="2"/>
    </row>
    <row r="559" spans="13:26" ht="15.75" customHeight="1" x14ac:dyDescent="0.15">
      <c r="M559" s="2"/>
      <c r="N559" s="2"/>
      <c r="O559" s="2"/>
      <c r="P559" s="2"/>
      <c r="Q559" s="2"/>
      <c r="R559" s="2"/>
      <c r="S559" s="2"/>
      <c r="T559" s="2"/>
      <c r="U559" s="49"/>
      <c r="V559" s="2"/>
      <c r="W559" s="2"/>
      <c r="X559" s="2"/>
      <c r="Y559" s="2"/>
      <c r="Z559" s="2"/>
    </row>
    <row r="560" spans="13:26" ht="15.75" customHeight="1" x14ac:dyDescent="0.15">
      <c r="M560" s="2"/>
      <c r="N560" s="2"/>
      <c r="O560" s="2"/>
      <c r="P560" s="2"/>
      <c r="Q560" s="2"/>
      <c r="R560" s="2"/>
      <c r="S560" s="2"/>
      <c r="T560" s="2"/>
      <c r="U560" s="49"/>
      <c r="V560" s="2"/>
      <c r="W560" s="2"/>
      <c r="X560" s="2"/>
      <c r="Y560" s="2"/>
      <c r="Z560" s="2"/>
    </row>
    <row r="561" spans="13:26" ht="15.75" customHeight="1" x14ac:dyDescent="0.15">
      <c r="M561" s="2"/>
      <c r="N561" s="2"/>
      <c r="O561" s="2"/>
      <c r="P561" s="2"/>
      <c r="Q561" s="2"/>
      <c r="R561" s="2"/>
      <c r="S561" s="2"/>
      <c r="T561" s="2"/>
      <c r="U561" s="49"/>
      <c r="V561" s="2"/>
      <c r="W561" s="2"/>
      <c r="X561" s="2"/>
      <c r="Y561" s="2"/>
      <c r="Z561" s="2"/>
    </row>
    <row r="562" spans="13:26" ht="15.75" customHeight="1" x14ac:dyDescent="0.15">
      <c r="M562" s="2"/>
      <c r="N562" s="2"/>
      <c r="O562" s="2"/>
      <c r="P562" s="2"/>
      <c r="Q562" s="2"/>
      <c r="R562" s="2"/>
      <c r="S562" s="2"/>
      <c r="T562" s="2"/>
      <c r="U562" s="49"/>
      <c r="V562" s="2"/>
      <c r="W562" s="2"/>
      <c r="X562" s="2"/>
      <c r="Y562" s="2"/>
      <c r="Z562" s="2"/>
    </row>
    <row r="563" spans="13:26" ht="15.75" customHeight="1" x14ac:dyDescent="0.15">
      <c r="M563" s="2"/>
      <c r="N563" s="2"/>
      <c r="O563" s="2"/>
      <c r="P563" s="2"/>
      <c r="Q563" s="2"/>
      <c r="R563" s="2"/>
      <c r="S563" s="2"/>
      <c r="T563" s="2"/>
      <c r="U563" s="49"/>
      <c r="V563" s="2"/>
      <c r="W563" s="2"/>
      <c r="X563" s="2"/>
      <c r="Y563" s="2"/>
      <c r="Z563" s="2"/>
    </row>
    <row r="564" spans="13:26" ht="15.75" customHeight="1" x14ac:dyDescent="0.15">
      <c r="M564" s="2"/>
      <c r="N564" s="2"/>
      <c r="O564" s="2"/>
      <c r="P564" s="2"/>
      <c r="Q564" s="2"/>
      <c r="R564" s="2"/>
      <c r="S564" s="2"/>
      <c r="T564" s="2"/>
      <c r="U564" s="49"/>
      <c r="V564" s="2"/>
      <c r="W564" s="2"/>
      <c r="X564" s="2"/>
      <c r="Y564" s="2"/>
      <c r="Z564" s="2"/>
    </row>
    <row r="565" spans="13:26" ht="15.75" customHeight="1" x14ac:dyDescent="0.15">
      <c r="M565" s="2"/>
      <c r="N565" s="2"/>
      <c r="O565" s="2"/>
      <c r="P565" s="2"/>
      <c r="Q565" s="2"/>
      <c r="R565" s="2"/>
      <c r="S565" s="2"/>
      <c r="T565" s="2"/>
      <c r="U565" s="49"/>
      <c r="V565" s="2"/>
      <c r="W565" s="2"/>
      <c r="X565" s="2"/>
      <c r="Y565" s="2"/>
      <c r="Z565" s="2"/>
    </row>
    <row r="566" spans="13:26" ht="15.75" customHeight="1" x14ac:dyDescent="0.15">
      <c r="M566" s="2"/>
      <c r="N566" s="2"/>
      <c r="O566" s="2"/>
      <c r="P566" s="2"/>
      <c r="Q566" s="2"/>
      <c r="R566" s="2"/>
      <c r="S566" s="2"/>
      <c r="T566" s="2"/>
      <c r="U566" s="49"/>
      <c r="V566" s="2"/>
      <c r="W566" s="2"/>
      <c r="X566" s="2"/>
      <c r="Y566" s="2"/>
      <c r="Z566" s="2"/>
    </row>
    <row r="567" spans="13:26" ht="15.75" customHeight="1" x14ac:dyDescent="0.15">
      <c r="M567" s="2"/>
      <c r="N567" s="2"/>
      <c r="O567" s="2"/>
      <c r="P567" s="2"/>
      <c r="Q567" s="2"/>
      <c r="R567" s="2"/>
      <c r="S567" s="2"/>
      <c r="T567" s="2"/>
      <c r="U567" s="49"/>
      <c r="V567" s="2"/>
      <c r="W567" s="2"/>
      <c r="X567" s="2"/>
      <c r="Y567" s="2"/>
      <c r="Z567" s="2"/>
    </row>
    <row r="568" spans="13:26" ht="15.75" customHeight="1" x14ac:dyDescent="0.15">
      <c r="M568" s="2"/>
      <c r="N568" s="2"/>
      <c r="O568" s="2"/>
      <c r="P568" s="2"/>
      <c r="Q568" s="2"/>
      <c r="R568" s="2"/>
      <c r="S568" s="2"/>
      <c r="T568" s="2"/>
      <c r="U568" s="49"/>
      <c r="V568" s="2"/>
      <c r="W568" s="2"/>
      <c r="X568" s="2"/>
      <c r="Y568" s="2"/>
      <c r="Z568" s="2"/>
    </row>
    <row r="569" spans="13:26" ht="15.75" customHeight="1" x14ac:dyDescent="0.15">
      <c r="M569" s="2"/>
      <c r="N569" s="2"/>
      <c r="O569" s="2"/>
      <c r="P569" s="2"/>
      <c r="Q569" s="2"/>
      <c r="R569" s="2"/>
      <c r="S569" s="2"/>
      <c r="T569" s="2"/>
      <c r="U569" s="49"/>
      <c r="V569" s="2"/>
      <c r="W569" s="2"/>
      <c r="X569" s="2"/>
      <c r="Y569" s="2"/>
      <c r="Z569" s="2"/>
    </row>
    <row r="570" spans="13:26" ht="15.75" customHeight="1" x14ac:dyDescent="0.15">
      <c r="M570" s="2"/>
      <c r="N570" s="2"/>
      <c r="O570" s="2"/>
      <c r="P570" s="2"/>
      <c r="Q570" s="2"/>
      <c r="R570" s="2"/>
      <c r="S570" s="2"/>
      <c r="T570" s="2"/>
      <c r="U570" s="49"/>
      <c r="V570" s="2"/>
      <c r="W570" s="2"/>
      <c r="X570" s="2"/>
      <c r="Y570" s="2"/>
      <c r="Z570" s="2"/>
    </row>
    <row r="571" spans="13:26" ht="15.75" customHeight="1" x14ac:dyDescent="0.15">
      <c r="M571" s="2"/>
      <c r="N571" s="2"/>
      <c r="O571" s="2"/>
      <c r="P571" s="2"/>
      <c r="Q571" s="2"/>
      <c r="R571" s="2"/>
      <c r="S571" s="2"/>
      <c r="T571" s="2"/>
      <c r="U571" s="49"/>
      <c r="V571" s="2"/>
      <c r="W571" s="2"/>
      <c r="X571" s="2"/>
      <c r="Y571" s="2"/>
      <c r="Z571" s="2"/>
    </row>
    <row r="572" spans="13:26" ht="15.75" customHeight="1" x14ac:dyDescent="0.15">
      <c r="M572" s="2"/>
      <c r="N572" s="2"/>
      <c r="O572" s="2"/>
      <c r="P572" s="2"/>
      <c r="Q572" s="2"/>
      <c r="R572" s="2"/>
      <c r="S572" s="2"/>
      <c r="T572" s="2"/>
      <c r="U572" s="49"/>
      <c r="V572" s="2"/>
      <c r="W572" s="2"/>
      <c r="X572" s="2"/>
      <c r="Y572" s="2"/>
      <c r="Z572" s="2"/>
    </row>
    <row r="573" spans="13:26" ht="15.75" customHeight="1" x14ac:dyDescent="0.15">
      <c r="M573" s="2"/>
      <c r="N573" s="2"/>
      <c r="O573" s="2"/>
      <c r="P573" s="2"/>
      <c r="Q573" s="2"/>
      <c r="R573" s="2"/>
      <c r="S573" s="2"/>
      <c r="T573" s="2"/>
      <c r="U573" s="49"/>
      <c r="V573" s="2"/>
      <c r="W573" s="2"/>
      <c r="X573" s="2"/>
      <c r="Y573" s="2"/>
      <c r="Z573" s="2"/>
    </row>
    <row r="574" spans="13:26" ht="15.75" customHeight="1" x14ac:dyDescent="0.15">
      <c r="M574" s="2"/>
      <c r="N574" s="2"/>
      <c r="O574" s="2"/>
      <c r="P574" s="2"/>
      <c r="Q574" s="2"/>
      <c r="R574" s="2"/>
      <c r="S574" s="2"/>
      <c r="T574" s="2"/>
      <c r="U574" s="49"/>
      <c r="V574" s="2"/>
      <c r="W574" s="2"/>
      <c r="X574" s="2"/>
      <c r="Y574" s="2"/>
      <c r="Z574" s="2"/>
    </row>
    <row r="575" spans="13:26" ht="15.75" customHeight="1" x14ac:dyDescent="0.15">
      <c r="M575" s="2"/>
      <c r="N575" s="2"/>
      <c r="O575" s="2"/>
      <c r="P575" s="2"/>
      <c r="Q575" s="2"/>
      <c r="R575" s="2"/>
      <c r="S575" s="2"/>
      <c r="T575" s="2"/>
      <c r="U575" s="49"/>
      <c r="V575" s="2"/>
      <c r="W575" s="2"/>
      <c r="X575" s="2"/>
      <c r="Y575" s="2"/>
      <c r="Z575" s="2"/>
    </row>
    <row r="576" spans="13:26" ht="15.75" customHeight="1" x14ac:dyDescent="0.15">
      <c r="M576" s="2"/>
      <c r="N576" s="2"/>
      <c r="O576" s="2"/>
      <c r="P576" s="2"/>
      <c r="Q576" s="2"/>
      <c r="R576" s="2"/>
      <c r="S576" s="2"/>
      <c r="T576" s="2"/>
      <c r="U576" s="49"/>
      <c r="V576" s="2"/>
      <c r="W576" s="2"/>
      <c r="X576" s="2"/>
      <c r="Y576" s="2"/>
      <c r="Z576" s="2"/>
    </row>
    <row r="577" spans="13:26" ht="15.75" customHeight="1" x14ac:dyDescent="0.15">
      <c r="M577" s="2"/>
      <c r="N577" s="2"/>
      <c r="O577" s="2"/>
      <c r="P577" s="2"/>
      <c r="Q577" s="2"/>
      <c r="R577" s="2"/>
      <c r="S577" s="2"/>
      <c r="T577" s="2"/>
      <c r="U577" s="49"/>
      <c r="V577" s="2"/>
      <c r="W577" s="2"/>
      <c r="X577" s="2"/>
      <c r="Y577" s="2"/>
      <c r="Z577" s="2"/>
    </row>
    <row r="578" spans="13:26" ht="15.75" customHeight="1" x14ac:dyDescent="0.15">
      <c r="M578" s="2"/>
      <c r="N578" s="2"/>
      <c r="O578" s="2"/>
      <c r="P578" s="2"/>
      <c r="Q578" s="2"/>
      <c r="R578" s="2"/>
      <c r="S578" s="2"/>
      <c r="T578" s="2"/>
      <c r="U578" s="49"/>
      <c r="V578" s="2"/>
      <c r="W578" s="2"/>
      <c r="X578" s="2"/>
      <c r="Y578" s="2"/>
      <c r="Z578" s="2"/>
    </row>
    <row r="579" spans="13:26" ht="15.75" customHeight="1" x14ac:dyDescent="0.15">
      <c r="M579" s="2"/>
      <c r="N579" s="2"/>
      <c r="O579" s="2"/>
      <c r="P579" s="2"/>
      <c r="Q579" s="2"/>
      <c r="R579" s="2"/>
      <c r="S579" s="2"/>
      <c r="T579" s="2"/>
      <c r="U579" s="49"/>
      <c r="V579" s="2"/>
      <c r="W579" s="2"/>
      <c r="X579" s="2"/>
      <c r="Y579" s="2"/>
      <c r="Z579" s="2"/>
    </row>
    <row r="580" spans="13:26" ht="15.75" customHeight="1" x14ac:dyDescent="0.15">
      <c r="M580" s="2"/>
      <c r="N580" s="2"/>
      <c r="O580" s="2"/>
      <c r="P580" s="2"/>
      <c r="Q580" s="2"/>
      <c r="R580" s="2"/>
      <c r="S580" s="2"/>
      <c r="T580" s="2"/>
      <c r="U580" s="49"/>
      <c r="V580" s="2"/>
      <c r="W580" s="2"/>
      <c r="X580" s="2"/>
      <c r="Y580" s="2"/>
      <c r="Z580" s="2"/>
    </row>
    <row r="581" spans="13:26" ht="15.75" customHeight="1" x14ac:dyDescent="0.15">
      <c r="M581" s="2"/>
      <c r="N581" s="2"/>
      <c r="O581" s="2"/>
      <c r="P581" s="2"/>
      <c r="Q581" s="2"/>
      <c r="R581" s="2"/>
      <c r="S581" s="2"/>
      <c r="T581" s="2"/>
      <c r="U581" s="49"/>
      <c r="V581" s="2"/>
      <c r="W581" s="2"/>
      <c r="X581" s="2"/>
      <c r="Y581" s="2"/>
      <c r="Z581" s="2"/>
    </row>
    <row r="582" spans="13:26" ht="15.75" customHeight="1" x14ac:dyDescent="0.15">
      <c r="M582" s="2"/>
      <c r="N582" s="2"/>
      <c r="O582" s="2"/>
      <c r="P582" s="2"/>
      <c r="Q582" s="2"/>
      <c r="R582" s="2"/>
      <c r="S582" s="2"/>
      <c r="T582" s="2"/>
      <c r="U582" s="49"/>
      <c r="V582" s="2"/>
      <c r="W582" s="2"/>
      <c r="X582" s="2"/>
      <c r="Y582" s="2"/>
      <c r="Z582" s="2"/>
    </row>
    <row r="583" spans="13:26" ht="15.75" customHeight="1" x14ac:dyDescent="0.15">
      <c r="M583" s="2"/>
      <c r="N583" s="2"/>
      <c r="O583" s="2"/>
      <c r="P583" s="2"/>
      <c r="Q583" s="2"/>
      <c r="R583" s="2"/>
      <c r="S583" s="2"/>
      <c r="T583" s="2"/>
      <c r="U583" s="49"/>
      <c r="V583" s="2"/>
      <c r="W583" s="2"/>
      <c r="X583" s="2"/>
      <c r="Y583" s="2"/>
      <c r="Z583" s="2"/>
    </row>
    <row r="584" spans="13:26" ht="15.75" customHeight="1" x14ac:dyDescent="0.15">
      <c r="M584" s="2"/>
      <c r="N584" s="2"/>
      <c r="O584" s="2"/>
      <c r="P584" s="2"/>
      <c r="Q584" s="2"/>
      <c r="R584" s="2"/>
      <c r="S584" s="2"/>
      <c r="T584" s="2"/>
      <c r="U584" s="49"/>
      <c r="V584" s="2"/>
      <c r="W584" s="2"/>
      <c r="X584" s="2"/>
      <c r="Y584" s="2"/>
      <c r="Z584" s="2"/>
    </row>
    <row r="585" spans="13:26" ht="15.75" customHeight="1" x14ac:dyDescent="0.15">
      <c r="M585" s="2"/>
      <c r="N585" s="2"/>
      <c r="O585" s="2"/>
      <c r="P585" s="2"/>
      <c r="Q585" s="2"/>
      <c r="R585" s="2"/>
      <c r="S585" s="2"/>
      <c r="T585" s="2"/>
      <c r="U585" s="49"/>
      <c r="V585" s="2"/>
      <c r="W585" s="2"/>
      <c r="X585" s="2"/>
      <c r="Y585" s="2"/>
      <c r="Z585" s="2"/>
    </row>
    <row r="586" spans="13:26" ht="15.75" customHeight="1" x14ac:dyDescent="0.15">
      <c r="M586" s="2"/>
      <c r="N586" s="2"/>
      <c r="O586" s="2"/>
      <c r="P586" s="2"/>
      <c r="Q586" s="2"/>
      <c r="R586" s="2"/>
      <c r="S586" s="2"/>
      <c r="T586" s="2"/>
      <c r="U586" s="49"/>
      <c r="V586" s="2"/>
      <c r="W586" s="2"/>
      <c r="X586" s="2"/>
      <c r="Y586" s="2"/>
      <c r="Z586" s="2"/>
    </row>
    <row r="587" spans="13:26" ht="15.75" customHeight="1" x14ac:dyDescent="0.15">
      <c r="M587" s="2"/>
      <c r="N587" s="2"/>
      <c r="O587" s="2"/>
      <c r="P587" s="2"/>
      <c r="Q587" s="2"/>
      <c r="R587" s="2"/>
      <c r="S587" s="2"/>
      <c r="T587" s="2"/>
      <c r="U587" s="49"/>
      <c r="V587" s="2"/>
      <c r="W587" s="2"/>
      <c r="X587" s="2"/>
      <c r="Y587" s="2"/>
      <c r="Z587" s="2"/>
    </row>
    <row r="588" spans="13:26" ht="15.75" customHeight="1" x14ac:dyDescent="0.15">
      <c r="M588" s="2"/>
      <c r="N588" s="2"/>
      <c r="O588" s="2"/>
      <c r="P588" s="2"/>
      <c r="Q588" s="2"/>
      <c r="R588" s="2"/>
      <c r="S588" s="2"/>
      <c r="T588" s="2"/>
      <c r="U588" s="49"/>
      <c r="V588" s="2"/>
      <c r="W588" s="2"/>
      <c r="X588" s="2"/>
      <c r="Y588" s="2"/>
      <c r="Z588" s="2"/>
    </row>
    <row r="589" spans="13:26" ht="15.75" customHeight="1" x14ac:dyDescent="0.15">
      <c r="M589" s="2"/>
      <c r="N589" s="2"/>
      <c r="O589" s="2"/>
      <c r="P589" s="2"/>
      <c r="Q589" s="2"/>
      <c r="R589" s="2"/>
      <c r="S589" s="2"/>
      <c r="T589" s="2"/>
      <c r="U589" s="49"/>
      <c r="V589" s="2"/>
      <c r="W589" s="2"/>
      <c r="X589" s="2"/>
      <c r="Y589" s="2"/>
      <c r="Z589" s="2"/>
    </row>
    <row r="590" spans="13:26" ht="15.75" customHeight="1" x14ac:dyDescent="0.15">
      <c r="M590" s="2"/>
      <c r="N590" s="2"/>
      <c r="O590" s="2"/>
      <c r="P590" s="2"/>
      <c r="Q590" s="2"/>
      <c r="R590" s="2"/>
      <c r="S590" s="2"/>
      <c r="T590" s="2"/>
      <c r="U590" s="49"/>
      <c r="V590" s="2"/>
      <c r="W590" s="2"/>
      <c r="X590" s="2"/>
      <c r="Y590" s="2"/>
      <c r="Z590" s="2"/>
    </row>
    <row r="591" spans="13:26" ht="15.75" customHeight="1" x14ac:dyDescent="0.15">
      <c r="M591" s="2"/>
      <c r="N591" s="2"/>
      <c r="O591" s="2"/>
      <c r="P591" s="2"/>
      <c r="Q591" s="2"/>
      <c r="R591" s="2"/>
      <c r="S591" s="2"/>
      <c r="T591" s="2"/>
      <c r="U591" s="49"/>
      <c r="V591" s="2"/>
      <c r="W591" s="2"/>
      <c r="X591" s="2"/>
      <c r="Y591" s="2"/>
      <c r="Z591" s="2"/>
    </row>
    <row r="592" spans="13:26" ht="15.75" customHeight="1" x14ac:dyDescent="0.15">
      <c r="M592" s="2"/>
      <c r="N592" s="2"/>
      <c r="O592" s="2"/>
      <c r="P592" s="2"/>
      <c r="Q592" s="2"/>
      <c r="R592" s="2"/>
      <c r="S592" s="2"/>
      <c r="T592" s="2"/>
      <c r="U592" s="49"/>
      <c r="V592" s="2"/>
      <c r="W592" s="2"/>
      <c r="X592" s="2"/>
      <c r="Y592" s="2"/>
      <c r="Z592" s="2"/>
    </row>
    <row r="593" spans="13:26" ht="15.75" customHeight="1" x14ac:dyDescent="0.15">
      <c r="M593" s="2"/>
      <c r="N593" s="2"/>
      <c r="O593" s="2"/>
      <c r="P593" s="2"/>
      <c r="Q593" s="2"/>
      <c r="R593" s="2"/>
      <c r="S593" s="2"/>
      <c r="T593" s="2"/>
      <c r="U593" s="49"/>
      <c r="V593" s="2"/>
      <c r="W593" s="2"/>
      <c r="X593" s="2"/>
      <c r="Y593" s="2"/>
      <c r="Z593" s="2"/>
    </row>
    <row r="594" spans="13:26" ht="15.75" customHeight="1" x14ac:dyDescent="0.15">
      <c r="M594" s="2"/>
      <c r="N594" s="2"/>
      <c r="O594" s="2"/>
      <c r="P594" s="2"/>
      <c r="Q594" s="2"/>
      <c r="R594" s="2"/>
      <c r="S594" s="2"/>
      <c r="T594" s="2"/>
      <c r="U594" s="49"/>
      <c r="V594" s="2"/>
      <c r="W594" s="2"/>
      <c r="X594" s="2"/>
      <c r="Y594" s="2"/>
      <c r="Z594" s="2"/>
    </row>
    <row r="595" spans="13:26" ht="15.75" customHeight="1" x14ac:dyDescent="0.15">
      <c r="M595" s="2"/>
      <c r="N595" s="2"/>
      <c r="O595" s="2"/>
      <c r="P595" s="2"/>
      <c r="Q595" s="2"/>
      <c r="R595" s="2"/>
      <c r="S595" s="2"/>
      <c r="T595" s="2"/>
      <c r="U595" s="49"/>
      <c r="V595" s="2"/>
      <c r="W595" s="2"/>
      <c r="X595" s="2"/>
      <c r="Y595" s="2"/>
      <c r="Z595" s="2"/>
    </row>
    <row r="596" spans="13:26" ht="15.75" customHeight="1" x14ac:dyDescent="0.15">
      <c r="M596" s="2"/>
      <c r="N596" s="2"/>
      <c r="O596" s="2"/>
      <c r="P596" s="2"/>
      <c r="Q596" s="2"/>
      <c r="R596" s="2"/>
      <c r="S596" s="2"/>
      <c r="T596" s="2"/>
      <c r="U596" s="49"/>
      <c r="V596" s="2"/>
      <c r="W596" s="2"/>
      <c r="X596" s="2"/>
      <c r="Y596" s="2"/>
      <c r="Z596" s="2"/>
    </row>
    <row r="597" spans="13:26" ht="15.75" customHeight="1" x14ac:dyDescent="0.15">
      <c r="M597" s="2"/>
      <c r="N597" s="2"/>
      <c r="O597" s="2"/>
      <c r="P597" s="2"/>
      <c r="Q597" s="2"/>
      <c r="R597" s="2"/>
      <c r="S597" s="2"/>
      <c r="T597" s="2"/>
      <c r="U597" s="49"/>
      <c r="V597" s="2"/>
      <c r="W597" s="2"/>
      <c r="X597" s="2"/>
      <c r="Y597" s="2"/>
      <c r="Z597" s="2"/>
    </row>
    <row r="598" spans="13:26" ht="15.75" customHeight="1" x14ac:dyDescent="0.15">
      <c r="M598" s="2"/>
      <c r="N598" s="2"/>
      <c r="O598" s="2"/>
      <c r="P598" s="2"/>
      <c r="Q598" s="2"/>
      <c r="R598" s="2"/>
      <c r="S598" s="2"/>
      <c r="T598" s="2"/>
      <c r="U598" s="49"/>
      <c r="V598" s="2"/>
      <c r="W598" s="2"/>
      <c r="X598" s="2"/>
      <c r="Y598" s="2"/>
      <c r="Z598" s="2"/>
    </row>
    <row r="599" spans="13:26" ht="15.75" customHeight="1" x14ac:dyDescent="0.15">
      <c r="M599" s="2"/>
      <c r="N599" s="2"/>
      <c r="O599" s="2"/>
      <c r="P599" s="2"/>
      <c r="Q599" s="2"/>
      <c r="R599" s="2"/>
      <c r="S599" s="2"/>
      <c r="T599" s="2"/>
      <c r="U599" s="49"/>
      <c r="V599" s="2"/>
      <c r="W599" s="2"/>
      <c r="X599" s="2"/>
      <c r="Y599" s="2"/>
      <c r="Z599" s="2"/>
    </row>
    <row r="600" spans="13:26" ht="15.75" customHeight="1" x14ac:dyDescent="0.15">
      <c r="M600" s="2"/>
      <c r="N600" s="2"/>
      <c r="O600" s="2"/>
      <c r="P600" s="2"/>
      <c r="Q600" s="2"/>
      <c r="R600" s="2"/>
      <c r="S600" s="2"/>
      <c r="T600" s="2"/>
      <c r="U600" s="49"/>
      <c r="V600" s="2"/>
      <c r="W600" s="2"/>
      <c r="X600" s="2"/>
      <c r="Y600" s="2"/>
      <c r="Z600" s="2"/>
    </row>
    <row r="601" spans="13:26" ht="15.75" customHeight="1" x14ac:dyDescent="0.15">
      <c r="M601" s="2"/>
      <c r="N601" s="2"/>
      <c r="O601" s="2"/>
      <c r="P601" s="2"/>
      <c r="Q601" s="2"/>
      <c r="R601" s="2"/>
      <c r="S601" s="2"/>
      <c r="T601" s="2"/>
      <c r="U601" s="49"/>
      <c r="V601" s="2"/>
      <c r="W601" s="2"/>
      <c r="X601" s="2"/>
      <c r="Y601" s="2"/>
      <c r="Z601" s="2"/>
    </row>
    <row r="602" spans="13:26" ht="15.75" customHeight="1" x14ac:dyDescent="0.15">
      <c r="M602" s="2"/>
      <c r="N602" s="2"/>
      <c r="O602" s="2"/>
      <c r="P602" s="2"/>
      <c r="Q602" s="2"/>
      <c r="R602" s="2"/>
      <c r="S602" s="2"/>
      <c r="T602" s="2"/>
      <c r="U602" s="49"/>
      <c r="V602" s="2"/>
      <c r="W602" s="2"/>
      <c r="X602" s="2"/>
      <c r="Y602" s="2"/>
      <c r="Z602" s="2"/>
    </row>
    <row r="603" spans="13:26" ht="15.75" customHeight="1" x14ac:dyDescent="0.15">
      <c r="M603" s="2"/>
      <c r="N603" s="2"/>
      <c r="O603" s="2"/>
      <c r="P603" s="2"/>
      <c r="Q603" s="2"/>
      <c r="R603" s="2"/>
      <c r="S603" s="2"/>
      <c r="T603" s="2"/>
      <c r="U603" s="49"/>
      <c r="V603" s="2"/>
      <c r="W603" s="2"/>
      <c r="X603" s="2"/>
      <c r="Y603" s="2"/>
      <c r="Z603" s="2"/>
    </row>
    <row r="604" spans="13:26" ht="15.75" customHeight="1" x14ac:dyDescent="0.15">
      <c r="M604" s="2"/>
      <c r="N604" s="2"/>
      <c r="O604" s="2"/>
      <c r="P604" s="2"/>
      <c r="Q604" s="2"/>
      <c r="R604" s="2"/>
      <c r="S604" s="2"/>
      <c r="T604" s="2"/>
      <c r="U604" s="49"/>
      <c r="V604" s="2"/>
      <c r="W604" s="2"/>
      <c r="X604" s="2"/>
      <c r="Y604" s="2"/>
      <c r="Z604" s="2"/>
    </row>
    <row r="605" spans="13:26" ht="15.75" customHeight="1" x14ac:dyDescent="0.15">
      <c r="M605" s="2"/>
      <c r="N605" s="2"/>
      <c r="O605" s="2"/>
      <c r="P605" s="2"/>
      <c r="Q605" s="2"/>
      <c r="R605" s="2"/>
      <c r="S605" s="2"/>
      <c r="T605" s="2"/>
      <c r="U605" s="49"/>
      <c r="V605" s="2"/>
      <c r="W605" s="2"/>
      <c r="X605" s="2"/>
      <c r="Y605" s="2"/>
      <c r="Z605" s="2"/>
    </row>
    <row r="606" spans="13:26" ht="15.75" customHeight="1" x14ac:dyDescent="0.15">
      <c r="M606" s="2"/>
      <c r="N606" s="2"/>
      <c r="O606" s="2"/>
      <c r="P606" s="2"/>
      <c r="Q606" s="2"/>
      <c r="R606" s="2"/>
      <c r="S606" s="2"/>
      <c r="T606" s="2"/>
      <c r="U606" s="49"/>
      <c r="V606" s="2"/>
      <c r="W606" s="2"/>
      <c r="X606" s="2"/>
      <c r="Y606" s="2"/>
      <c r="Z606" s="2"/>
    </row>
    <row r="607" spans="13:26" ht="15.75" customHeight="1" x14ac:dyDescent="0.15">
      <c r="M607" s="2"/>
      <c r="N607" s="2"/>
      <c r="O607" s="2"/>
      <c r="P607" s="2"/>
      <c r="Q607" s="2"/>
      <c r="R607" s="2"/>
      <c r="S607" s="2"/>
      <c r="T607" s="2"/>
      <c r="U607" s="49"/>
      <c r="V607" s="2"/>
      <c r="W607" s="2"/>
      <c r="X607" s="2"/>
      <c r="Y607" s="2"/>
      <c r="Z607" s="2"/>
    </row>
    <row r="608" spans="13:26" ht="15.75" customHeight="1" x14ac:dyDescent="0.15">
      <c r="M608" s="2"/>
      <c r="N608" s="2"/>
      <c r="O608" s="2"/>
      <c r="P608" s="2"/>
      <c r="Q608" s="2"/>
      <c r="R608" s="2"/>
      <c r="S608" s="2"/>
      <c r="T608" s="2"/>
      <c r="U608" s="49"/>
      <c r="V608" s="2"/>
      <c r="W608" s="2"/>
      <c r="X608" s="2"/>
      <c r="Y608" s="2"/>
      <c r="Z608" s="2"/>
    </row>
    <row r="609" spans="13:26" ht="15.75" customHeight="1" x14ac:dyDescent="0.15">
      <c r="M609" s="2"/>
      <c r="N609" s="2"/>
      <c r="O609" s="2"/>
      <c r="P609" s="2"/>
      <c r="Q609" s="2"/>
      <c r="R609" s="2"/>
      <c r="S609" s="2"/>
      <c r="T609" s="2"/>
      <c r="U609" s="49"/>
      <c r="V609" s="2"/>
      <c r="W609" s="2"/>
      <c r="X609" s="2"/>
      <c r="Y609" s="2"/>
      <c r="Z609" s="2"/>
    </row>
    <row r="610" spans="13:26" ht="15.75" customHeight="1" x14ac:dyDescent="0.15">
      <c r="M610" s="2"/>
      <c r="N610" s="2"/>
      <c r="O610" s="2"/>
      <c r="P610" s="2"/>
      <c r="Q610" s="2"/>
      <c r="R610" s="2"/>
      <c r="S610" s="2"/>
      <c r="T610" s="2"/>
      <c r="U610" s="49"/>
      <c r="V610" s="2"/>
      <c r="W610" s="2"/>
      <c r="X610" s="2"/>
      <c r="Y610" s="2"/>
      <c r="Z610" s="2"/>
    </row>
    <row r="611" spans="13:26" ht="15.75" customHeight="1" x14ac:dyDescent="0.15">
      <c r="M611" s="2"/>
      <c r="N611" s="2"/>
      <c r="O611" s="2"/>
      <c r="P611" s="2"/>
      <c r="Q611" s="2"/>
      <c r="R611" s="2"/>
      <c r="S611" s="2"/>
      <c r="T611" s="2"/>
      <c r="U611" s="49"/>
      <c r="V611" s="2"/>
      <c r="W611" s="2"/>
      <c r="X611" s="2"/>
      <c r="Y611" s="2"/>
      <c r="Z611" s="2"/>
    </row>
    <row r="612" spans="13:26" ht="15.75" customHeight="1" x14ac:dyDescent="0.15">
      <c r="M612" s="2"/>
      <c r="N612" s="2"/>
      <c r="O612" s="2"/>
      <c r="P612" s="2"/>
      <c r="Q612" s="2"/>
      <c r="R612" s="2"/>
      <c r="S612" s="2"/>
      <c r="T612" s="2"/>
      <c r="U612" s="49"/>
      <c r="V612" s="2"/>
      <c r="W612" s="2"/>
      <c r="X612" s="2"/>
      <c r="Y612" s="2"/>
      <c r="Z612" s="2"/>
    </row>
    <row r="613" spans="13:26" ht="15.75" customHeight="1" x14ac:dyDescent="0.15">
      <c r="M613" s="2"/>
      <c r="N613" s="2"/>
      <c r="O613" s="2"/>
      <c r="P613" s="2"/>
      <c r="Q613" s="2"/>
      <c r="R613" s="2"/>
      <c r="S613" s="2"/>
      <c r="T613" s="2"/>
      <c r="U613" s="49"/>
      <c r="V613" s="2"/>
      <c r="W613" s="2"/>
      <c r="X613" s="2"/>
      <c r="Y613" s="2"/>
      <c r="Z613" s="2"/>
    </row>
    <row r="614" spans="13:26" ht="15.75" customHeight="1" x14ac:dyDescent="0.15">
      <c r="M614" s="2"/>
      <c r="N614" s="2"/>
      <c r="O614" s="2"/>
      <c r="P614" s="2"/>
      <c r="Q614" s="2"/>
      <c r="R614" s="2"/>
      <c r="S614" s="2"/>
      <c r="T614" s="2"/>
      <c r="U614" s="49"/>
      <c r="V614" s="2"/>
      <c r="W614" s="2"/>
      <c r="X614" s="2"/>
      <c r="Y614" s="2"/>
      <c r="Z614" s="2"/>
    </row>
    <row r="615" spans="13:26" ht="15.75" customHeight="1" x14ac:dyDescent="0.15">
      <c r="M615" s="2"/>
      <c r="N615" s="2"/>
      <c r="O615" s="2"/>
      <c r="P615" s="2"/>
      <c r="Q615" s="2"/>
      <c r="R615" s="2"/>
      <c r="S615" s="2"/>
      <c r="T615" s="2"/>
      <c r="U615" s="49"/>
      <c r="V615" s="2"/>
      <c r="W615" s="2"/>
      <c r="X615" s="2"/>
      <c r="Y615" s="2"/>
      <c r="Z615" s="2"/>
    </row>
    <row r="616" spans="13:26" ht="15.75" customHeight="1" x14ac:dyDescent="0.15">
      <c r="M616" s="2"/>
      <c r="N616" s="2"/>
      <c r="O616" s="2"/>
      <c r="P616" s="2"/>
      <c r="Q616" s="2"/>
      <c r="R616" s="2"/>
      <c r="S616" s="2"/>
      <c r="T616" s="2"/>
      <c r="U616" s="49"/>
      <c r="V616" s="2"/>
      <c r="W616" s="2"/>
      <c r="X616" s="2"/>
      <c r="Y616" s="2"/>
      <c r="Z616" s="2"/>
    </row>
    <row r="617" spans="13:26" ht="15.75" customHeight="1" x14ac:dyDescent="0.15">
      <c r="M617" s="2"/>
      <c r="N617" s="2"/>
      <c r="O617" s="2"/>
      <c r="P617" s="2"/>
      <c r="Q617" s="2"/>
      <c r="R617" s="2"/>
      <c r="S617" s="2"/>
      <c r="T617" s="2"/>
      <c r="U617" s="49"/>
      <c r="V617" s="2"/>
      <c r="W617" s="2"/>
      <c r="X617" s="2"/>
      <c r="Y617" s="2"/>
      <c r="Z617" s="2"/>
    </row>
    <row r="618" spans="13:26" ht="15.75" customHeight="1" x14ac:dyDescent="0.15">
      <c r="M618" s="2"/>
      <c r="N618" s="2"/>
      <c r="O618" s="2"/>
      <c r="P618" s="2"/>
      <c r="Q618" s="2"/>
      <c r="R618" s="2"/>
      <c r="S618" s="2"/>
      <c r="T618" s="2"/>
      <c r="U618" s="49"/>
      <c r="V618" s="2"/>
      <c r="W618" s="2"/>
      <c r="X618" s="2"/>
      <c r="Y618" s="2"/>
      <c r="Z618" s="2"/>
    </row>
    <row r="619" spans="13:26" ht="15.75" customHeight="1" x14ac:dyDescent="0.15">
      <c r="M619" s="2"/>
      <c r="N619" s="2"/>
      <c r="O619" s="2"/>
      <c r="P619" s="2"/>
      <c r="Q619" s="2"/>
      <c r="R619" s="2"/>
      <c r="S619" s="2"/>
      <c r="T619" s="2"/>
      <c r="U619" s="49"/>
      <c r="V619" s="2"/>
      <c r="W619" s="2"/>
      <c r="X619" s="2"/>
      <c r="Y619" s="2"/>
      <c r="Z619" s="2"/>
    </row>
    <row r="620" spans="13:26" ht="15.75" customHeight="1" x14ac:dyDescent="0.15">
      <c r="M620" s="2"/>
      <c r="N620" s="2"/>
      <c r="O620" s="2"/>
      <c r="P620" s="2"/>
      <c r="Q620" s="2"/>
      <c r="R620" s="2"/>
      <c r="S620" s="2"/>
      <c r="T620" s="2"/>
      <c r="U620" s="49"/>
      <c r="V620" s="2"/>
      <c r="W620" s="2"/>
      <c r="X620" s="2"/>
      <c r="Y620" s="2"/>
      <c r="Z620" s="2"/>
    </row>
    <row r="621" spans="13:26" ht="15.75" customHeight="1" x14ac:dyDescent="0.15">
      <c r="M621" s="2"/>
      <c r="N621" s="2"/>
      <c r="O621" s="2"/>
      <c r="P621" s="2"/>
      <c r="Q621" s="2"/>
      <c r="R621" s="2"/>
      <c r="S621" s="2"/>
      <c r="T621" s="2"/>
      <c r="U621" s="49"/>
      <c r="V621" s="2"/>
      <c r="W621" s="2"/>
      <c r="X621" s="2"/>
      <c r="Y621" s="2"/>
      <c r="Z621" s="2"/>
    </row>
    <row r="622" spans="13:26" ht="15.75" customHeight="1" x14ac:dyDescent="0.15">
      <c r="M622" s="2"/>
      <c r="N622" s="2"/>
      <c r="O622" s="2"/>
      <c r="P622" s="2"/>
      <c r="Q622" s="2"/>
      <c r="R622" s="2"/>
      <c r="S622" s="2"/>
      <c r="T622" s="2"/>
      <c r="U622" s="49"/>
      <c r="V622" s="2"/>
      <c r="W622" s="2"/>
      <c r="X622" s="2"/>
      <c r="Y622" s="2"/>
      <c r="Z622" s="2"/>
    </row>
    <row r="623" spans="13:26" ht="15.75" customHeight="1" x14ac:dyDescent="0.15">
      <c r="M623" s="2"/>
      <c r="N623" s="2"/>
      <c r="O623" s="2"/>
      <c r="P623" s="2"/>
      <c r="Q623" s="2"/>
      <c r="R623" s="2"/>
      <c r="S623" s="2"/>
      <c r="T623" s="2"/>
      <c r="U623" s="49"/>
      <c r="V623" s="2"/>
      <c r="W623" s="2"/>
      <c r="X623" s="2"/>
      <c r="Y623" s="2"/>
      <c r="Z623" s="2"/>
    </row>
    <row r="624" spans="13:26" ht="15.75" customHeight="1" x14ac:dyDescent="0.15">
      <c r="M624" s="2"/>
      <c r="N624" s="2"/>
      <c r="O624" s="2"/>
      <c r="P624" s="2"/>
      <c r="Q624" s="2"/>
      <c r="R624" s="2"/>
      <c r="S624" s="2"/>
      <c r="T624" s="2"/>
      <c r="U624" s="49"/>
      <c r="V624" s="2"/>
      <c r="W624" s="2"/>
      <c r="X624" s="2"/>
      <c r="Y624" s="2"/>
      <c r="Z624" s="2"/>
    </row>
    <row r="625" spans="13:26" ht="15.75" customHeight="1" x14ac:dyDescent="0.15">
      <c r="M625" s="2"/>
      <c r="N625" s="2"/>
      <c r="O625" s="2"/>
      <c r="P625" s="2"/>
      <c r="Q625" s="2"/>
      <c r="R625" s="2"/>
      <c r="S625" s="2"/>
      <c r="T625" s="2"/>
      <c r="U625" s="49"/>
      <c r="V625" s="2"/>
      <c r="W625" s="2"/>
      <c r="X625" s="2"/>
      <c r="Y625" s="2"/>
      <c r="Z625" s="2"/>
    </row>
    <row r="626" spans="13:26" ht="15.75" customHeight="1" x14ac:dyDescent="0.15">
      <c r="M626" s="2"/>
      <c r="N626" s="2"/>
      <c r="O626" s="2"/>
      <c r="P626" s="2"/>
      <c r="Q626" s="2"/>
      <c r="R626" s="2"/>
      <c r="S626" s="2"/>
      <c r="T626" s="2"/>
      <c r="U626" s="49"/>
      <c r="V626" s="2"/>
      <c r="W626" s="2"/>
      <c r="X626" s="2"/>
      <c r="Y626" s="2"/>
      <c r="Z626" s="2"/>
    </row>
    <row r="627" spans="13:26" ht="15.75" customHeight="1" x14ac:dyDescent="0.15">
      <c r="M627" s="2"/>
      <c r="N627" s="2"/>
      <c r="O627" s="2"/>
      <c r="P627" s="2"/>
      <c r="Q627" s="2"/>
      <c r="R627" s="2"/>
      <c r="S627" s="2"/>
      <c r="T627" s="2"/>
      <c r="U627" s="49"/>
      <c r="V627" s="2"/>
      <c r="W627" s="2"/>
      <c r="X627" s="2"/>
      <c r="Y627" s="2"/>
      <c r="Z627" s="2"/>
    </row>
    <row r="628" spans="13:26" ht="15.75" customHeight="1" x14ac:dyDescent="0.15">
      <c r="M628" s="2"/>
      <c r="N628" s="2"/>
      <c r="O628" s="2"/>
      <c r="P628" s="2"/>
      <c r="Q628" s="2"/>
      <c r="R628" s="2"/>
      <c r="S628" s="2"/>
      <c r="T628" s="2"/>
      <c r="U628" s="49"/>
      <c r="V628" s="2"/>
      <c r="W628" s="2"/>
      <c r="X628" s="2"/>
      <c r="Y628" s="2"/>
      <c r="Z628" s="2"/>
    </row>
    <row r="629" spans="13:26" ht="15.75" customHeight="1" x14ac:dyDescent="0.15">
      <c r="M629" s="2"/>
      <c r="N629" s="2"/>
      <c r="O629" s="2"/>
      <c r="P629" s="2"/>
      <c r="Q629" s="2"/>
      <c r="R629" s="2"/>
      <c r="S629" s="2"/>
      <c r="T629" s="2"/>
      <c r="U629" s="49"/>
      <c r="V629" s="2"/>
      <c r="W629" s="2"/>
      <c r="X629" s="2"/>
      <c r="Y629" s="2"/>
      <c r="Z629" s="2"/>
    </row>
    <row r="630" spans="13:26" ht="15.75" customHeight="1" x14ac:dyDescent="0.15">
      <c r="M630" s="2"/>
      <c r="N630" s="2"/>
      <c r="O630" s="2"/>
      <c r="P630" s="2"/>
      <c r="Q630" s="2"/>
      <c r="R630" s="2"/>
      <c r="S630" s="2"/>
      <c r="T630" s="2"/>
      <c r="U630" s="49"/>
      <c r="V630" s="2"/>
      <c r="W630" s="2"/>
      <c r="X630" s="2"/>
      <c r="Y630" s="2"/>
      <c r="Z630" s="2"/>
    </row>
    <row r="631" spans="13:26" ht="15.75" customHeight="1" x14ac:dyDescent="0.15">
      <c r="M631" s="2"/>
      <c r="N631" s="2"/>
      <c r="O631" s="2"/>
      <c r="P631" s="2"/>
      <c r="Q631" s="2"/>
      <c r="R631" s="2"/>
      <c r="S631" s="2"/>
      <c r="T631" s="2"/>
      <c r="U631" s="49"/>
      <c r="V631" s="2"/>
      <c r="W631" s="2"/>
      <c r="X631" s="2"/>
      <c r="Y631" s="2"/>
      <c r="Z631" s="2"/>
    </row>
    <row r="632" spans="13:26" ht="15.75" customHeight="1" x14ac:dyDescent="0.15">
      <c r="M632" s="2"/>
      <c r="N632" s="2"/>
      <c r="O632" s="2"/>
      <c r="P632" s="2"/>
      <c r="Q632" s="2"/>
      <c r="R632" s="2"/>
      <c r="S632" s="2"/>
      <c r="T632" s="2"/>
      <c r="U632" s="49"/>
      <c r="V632" s="2"/>
      <c r="W632" s="2"/>
      <c r="X632" s="2"/>
      <c r="Y632" s="2"/>
      <c r="Z632" s="2"/>
    </row>
    <row r="633" spans="13:26" ht="15.75" customHeight="1" x14ac:dyDescent="0.15">
      <c r="M633" s="2"/>
      <c r="N633" s="2"/>
      <c r="O633" s="2"/>
      <c r="P633" s="2"/>
      <c r="Q633" s="2"/>
      <c r="R633" s="2"/>
      <c r="S633" s="2"/>
      <c r="T633" s="2"/>
      <c r="U633" s="49"/>
      <c r="V633" s="2"/>
      <c r="W633" s="2"/>
      <c r="X633" s="2"/>
      <c r="Y633" s="2"/>
      <c r="Z633" s="2"/>
    </row>
    <row r="634" spans="13:26" ht="15.75" customHeight="1" x14ac:dyDescent="0.15">
      <c r="M634" s="2"/>
      <c r="N634" s="2"/>
      <c r="O634" s="2"/>
      <c r="P634" s="2"/>
      <c r="Q634" s="2"/>
      <c r="R634" s="2"/>
      <c r="S634" s="2"/>
      <c r="T634" s="2"/>
      <c r="U634" s="49"/>
      <c r="V634" s="2"/>
      <c r="W634" s="2"/>
      <c r="X634" s="2"/>
      <c r="Y634" s="2"/>
      <c r="Z634" s="2"/>
    </row>
    <row r="635" spans="13:26" ht="15.75" customHeight="1" x14ac:dyDescent="0.15">
      <c r="M635" s="2"/>
      <c r="N635" s="2"/>
      <c r="O635" s="2"/>
      <c r="P635" s="2"/>
      <c r="Q635" s="2"/>
      <c r="R635" s="2"/>
      <c r="S635" s="2"/>
      <c r="T635" s="2"/>
      <c r="U635" s="49"/>
      <c r="V635" s="2"/>
      <c r="W635" s="2"/>
      <c r="X635" s="2"/>
      <c r="Y635" s="2"/>
      <c r="Z635" s="2"/>
    </row>
    <row r="636" spans="13:26" ht="15.75" customHeight="1" x14ac:dyDescent="0.15">
      <c r="M636" s="2"/>
      <c r="N636" s="2"/>
      <c r="O636" s="2"/>
      <c r="P636" s="2"/>
      <c r="Q636" s="2"/>
      <c r="R636" s="2"/>
      <c r="S636" s="2"/>
      <c r="T636" s="2"/>
      <c r="U636" s="49"/>
      <c r="V636" s="2"/>
      <c r="W636" s="2"/>
      <c r="X636" s="2"/>
      <c r="Y636" s="2"/>
      <c r="Z636" s="2"/>
    </row>
    <row r="637" spans="13:26" ht="15.75" customHeight="1" x14ac:dyDescent="0.15">
      <c r="M637" s="2"/>
      <c r="N637" s="2"/>
      <c r="O637" s="2"/>
      <c r="P637" s="2"/>
      <c r="Q637" s="2"/>
      <c r="R637" s="2"/>
      <c r="S637" s="2"/>
      <c r="T637" s="2"/>
      <c r="U637" s="49"/>
      <c r="V637" s="2"/>
      <c r="W637" s="2"/>
      <c r="X637" s="2"/>
      <c r="Y637" s="2"/>
      <c r="Z637" s="2"/>
    </row>
    <row r="638" spans="13:26" ht="15.75" customHeight="1" x14ac:dyDescent="0.15">
      <c r="M638" s="2"/>
      <c r="N638" s="2"/>
      <c r="O638" s="2"/>
      <c r="P638" s="2"/>
      <c r="Q638" s="2"/>
      <c r="R638" s="2"/>
      <c r="S638" s="2"/>
      <c r="T638" s="2"/>
      <c r="U638" s="49"/>
      <c r="V638" s="2"/>
      <c r="W638" s="2"/>
      <c r="X638" s="2"/>
      <c r="Y638" s="2"/>
      <c r="Z638" s="2"/>
    </row>
    <row r="639" spans="13:26" ht="15.75" customHeight="1" x14ac:dyDescent="0.15">
      <c r="M639" s="2"/>
      <c r="N639" s="2"/>
      <c r="O639" s="2"/>
      <c r="P639" s="2"/>
      <c r="Q639" s="2"/>
      <c r="R639" s="2"/>
      <c r="S639" s="2"/>
      <c r="T639" s="2"/>
      <c r="U639" s="49"/>
      <c r="V639" s="2"/>
      <c r="W639" s="2"/>
      <c r="X639" s="2"/>
      <c r="Y639" s="2"/>
      <c r="Z639" s="2"/>
    </row>
    <row r="640" spans="13:26" ht="15.75" customHeight="1" x14ac:dyDescent="0.15">
      <c r="M640" s="2"/>
      <c r="N640" s="2"/>
      <c r="O640" s="2"/>
      <c r="P640" s="2"/>
      <c r="Q640" s="2"/>
      <c r="R640" s="2"/>
      <c r="S640" s="2"/>
      <c r="T640" s="2"/>
      <c r="U640" s="49"/>
      <c r="V640" s="2"/>
      <c r="W640" s="2"/>
      <c r="X640" s="2"/>
      <c r="Y640" s="2"/>
      <c r="Z640" s="2"/>
    </row>
    <row r="641" spans="13:26" ht="15.75" customHeight="1" x14ac:dyDescent="0.15">
      <c r="M641" s="2"/>
      <c r="N641" s="2"/>
      <c r="O641" s="2"/>
      <c r="P641" s="2"/>
      <c r="Q641" s="2"/>
      <c r="R641" s="2"/>
      <c r="S641" s="2"/>
      <c r="T641" s="2"/>
      <c r="U641" s="49"/>
      <c r="V641" s="2"/>
      <c r="W641" s="2"/>
      <c r="X641" s="2"/>
      <c r="Y641" s="2"/>
      <c r="Z641" s="2"/>
    </row>
    <row r="642" spans="13:26" ht="15.75" customHeight="1" x14ac:dyDescent="0.15">
      <c r="M642" s="2"/>
      <c r="N642" s="2"/>
      <c r="O642" s="2"/>
      <c r="P642" s="2"/>
      <c r="Q642" s="2"/>
      <c r="R642" s="2"/>
      <c r="S642" s="2"/>
      <c r="T642" s="2"/>
      <c r="U642" s="49"/>
      <c r="V642" s="2"/>
      <c r="W642" s="2"/>
      <c r="X642" s="2"/>
      <c r="Y642" s="2"/>
      <c r="Z642" s="2"/>
    </row>
    <row r="643" spans="13:26" ht="15.75" customHeight="1" x14ac:dyDescent="0.15">
      <c r="M643" s="2"/>
      <c r="N643" s="2"/>
      <c r="O643" s="2"/>
      <c r="P643" s="2"/>
      <c r="Q643" s="2"/>
      <c r="R643" s="2"/>
      <c r="S643" s="2"/>
      <c r="T643" s="2"/>
      <c r="U643" s="49"/>
      <c r="V643" s="2"/>
      <c r="W643" s="2"/>
      <c r="X643" s="2"/>
      <c r="Y643" s="2"/>
      <c r="Z643" s="2"/>
    </row>
    <row r="644" spans="13:26" ht="15.75" customHeight="1" x14ac:dyDescent="0.15">
      <c r="M644" s="2"/>
      <c r="N644" s="2"/>
      <c r="O644" s="2"/>
      <c r="P644" s="2"/>
      <c r="Q644" s="2"/>
      <c r="R644" s="2"/>
      <c r="S644" s="2"/>
      <c r="T644" s="2"/>
      <c r="U644" s="49"/>
      <c r="V644" s="2"/>
      <c r="W644" s="2"/>
      <c r="X644" s="2"/>
      <c r="Y644" s="2"/>
      <c r="Z644" s="2"/>
    </row>
    <row r="645" spans="13:26" ht="15.75" customHeight="1" x14ac:dyDescent="0.15">
      <c r="M645" s="2"/>
      <c r="N645" s="2"/>
      <c r="O645" s="2"/>
      <c r="P645" s="2"/>
      <c r="Q645" s="2"/>
      <c r="R645" s="2"/>
      <c r="S645" s="2"/>
      <c r="T645" s="2"/>
      <c r="U645" s="49"/>
      <c r="V645" s="2"/>
      <c r="W645" s="2"/>
      <c r="X645" s="2"/>
      <c r="Y645" s="2"/>
      <c r="Z645" s="2"/>
    </row>
    <row r="646" spans="13:26" ht="15.75" customHeight="1" x14ac:dyDescent="0.15">
      <c r="M646" s="2"/>
      <c r="N646" s="2"/>
      <c r="O646" s="2"/>
      <c r="P646" s="2"/>
      <c r="Q646" s="2"/>
      <c r="R646" s="2"/>
      <c r="S646" s="2"/>
      <c r="T646" s="2"/>
      <c r="U646" s="49"/>
      <c r="V646" s="2"/>
      <c r="W646" s="2"/>
      <c r="X646" s="2"/>
      <c r="Y646" s="2"/>
      <c r="Z646" s="2"/>
    </row>
    <row r="647" spans="13:26" ht="15.75" customHeight="1" x14ac:dyDescent="0.15">
      <c r="M647" s="2"/>
      <c r="N647" s="2"/>
      <c r="O647" s="2"/>
      <c r="P647" s="2"/>
      <c r="Q647" s="2"/>
      <c r="R647" s="2"/>
      <c r="S647" s="2"/>
      <c r="T647" s="2"/>
      <c r="U647" s="49"/>
      <c r="V647" s="2"/>
      <c r="W647" s="2"/>
      <c r="X647" s="2"/>
      <c r="Y647" s="2"/>
      <c r="Z647" s="2"/>
    </row>
    <row r="648" spans="13:26" ht="15.75" customHeight="1" x14ac:dyDescent="0.15">
      <c r="M648" s="2"/>
      <c r="N648" s="2"/>
      <c r="O648" s="2"/>
      <c r="P648" s="2"/>
      <c r="Q648" s="2"/>
      <c r="R648" s="2"/>
      <c r="S648" s="2"/>
      <c r="T648" s="2"/>
      <c r="U648" s="49"/>
      <c r="V648" s="2"/>
      <c r="W648" s="2"/>
      <c r="X648" s="2"/>
      <c r="Y648" s="2"/>
      <c r="Z648" s="2"/>
    </row>
    <row r="649" spans="13:26" ht="15.75" customHeight="1" x14ac:dyDescent="0.15">
      <c r="M649" s="2"/>
      <c r="N649" s="2"/>
      <c r="O649" s="2"/>
      <c r="P649" s="2"/>
      <c r="Q649" s="2"/>
      <c r="R649" s="2"/>
      <c r="S649" s="2"/>
      <c r="T649" s="2"/>
      <c r="U649" s="49"/>
      <c r="V649" s="2"/>
      <c r="W649" s="2"/>
      <c r="X649" s="2"/>
      <c r="Y649" s="2"/>
      <c r="Z649" s="2"/>
    </row>
    <row r="650" spans="13:26" ht="15.75" customHeight="1" x14ac:dyDescent="0.15">
      <c r="M650" s="2"/>
      <c r="N650" s="2"/>
      <c r="O650" s="2"/>
      <c r="P650" s="2"/>
      <c r="Q650" s="2"/>
      <c r="R650" s="2"/>
      <c r="S650" s="2"/>
      <c r="T650" s="2"/>
      <c r="U650" s="49"/>
      <c r="V650" s="2"/>
      <c r="W650" s="2"/>
      <c r="X650" s="2"/>
      <c r="Y650" s="2"/>
      <c r="Z650" s="2"/>
    </row>
    <row r="651" spans="13:26" ht="15.75" customHeight="1" x14ac:dyDescent="0.15">
      <c r="M651" s="2"/>
      <c r="N651" s="2"/>
      <c r="O651" s="2"/>
      <c r="P651" s="2"/>
      <c r="Q651" s="2"/>
      <c r="R651" s="2"/>
      <c r="S651" s="2"/>
      <c r="T651" s="2"/>
      <c r="U651" s="49"/>
      <c r="V651" s="2"/>
      <c r="W651" s="2"/>
      <c r="X651" s="2"/>
      <c r="Y651" s="2"/>
      <c r="Z651" s="2"/>
    </row>
    <row r="652" spans="13:26" ht="15.75" customHeight="1" x14ac:dyDescent="0.15">
      <c r="M652" s="2"/>
      <c r="N652" s="2"/>
      <c r="O652" s="2"/>
      <c r="P652" s="2"/>
      <c r="Q652" s="2"/>
      <c r="R652" s="2"/>
      <c r="S652" s="2"/>
      <c r="T652" s="2"/>
      <c r="U652" s="49"/>
      <c r="V652" s="2"/>
      <c r="W652" s="2"/>
      <c r="X652" s="2"/>
      <c r="Y652" s="2"/>
      <c r="Z652" s="2"/>
    </row>
    <row r="653" spans="13:26" ht="15.75" customHeight="1" x14ac:dyDescent="0.15">
      <c r="M653" s="2"/>
      <c r="N653" s="2"/>
      <c r="O653" s="2"/>
      <c r="P653" s="2"/>
      <c r="Q653" s="2"/>
      <c r="R653" s="2"/>
      <c r="S653" s="2"/>
      <c r="T653" s="2"/>
      <c r="U653" s="49"/>
      <c r="V653" s="2"/>
      <c r="W653" s="2"/>
      <c r="X653" s="2"/>
      <c r="Y653" s="2"/>
      <c r="Z653" s="2"/>
    </row>
    <row r="654" spans="13:26" ht="15.75" customHeight="1" x14ac:dyDescent="0.15">
      <c r="M654" s="2"/>
      <c r="N654" s="2"/>
      <c r="O654" s="2"/>
      <c r="P654" s="2"/>
      <c r="Q654" s="2"/>
      <c r="R654" s="2"/>
      <c r="S654" s="2"/>
      <c r="T654" s="2"/>
      <c r="U654" s="49"/>
      <c r="V654" s="2"/>
      <c r="W654" s="2"/>
      <c r="X654" s="2"/>
      <c r="Y654" s="2"/>
      <c r="Z654" s="2"/>
    </row>
    <row r="655" spans="13:26" ht="15.75" customHeight="1" x14ac:dyDescent="0.15">
      <c r="M655" s="2"/>
      <c r="N655" s="2"/>
      <c r="O655" s="2"/>
      <c r="P655" s="2"/>
      <c r="Q655" s="2"/>
      <c r="R655" s="2"/>
      <c r="S655" s="2"/>
      <c r="T655" s="2"/>
      <c r="U655" s="49"/>
      <c r="V655" s="2"/>
      <c r="W655" s="2"/>
      <c r="X655" s="2"/>
      <c r="Y655" s="2"/>
      <c r="Z655" s="2"/>
    </row>
    <row r="656" spans="13:26" ht="15.75" customHeight="1" x14ac:dyDescent="0.15">
      <c r="M656" s="2"/>
      <c r="N656" s="2"/>
      <c r="O656" s="2"/>
      <c r="P656" s="2"/>
      <c r="Q656" s="2"/>
      <c r="R656" s="2"/>
      <c r="S656" s="2"/>
      <c r="T656" s="2"/>
      <c r="U656" s="49"/>
      <c r="V656" s="2"/>
      <c r="W656" s="2"/>
      <c r="X656" s="2"/>
      <c r="Y656" s="2"/>
      <c r="Z656" s="2"/>
    </row>
    <row r="657" spans="13:26" ht="15.75" customHeight="1" x14ac:dyDescent="0.15">
      <c r="M657" s="2"/>
      <c r="N657" s="2"/>
      <c r="O657" s="2"/>
      <c r="P657" s="2"/>
      <c r="Q657" s="2"/>
      <c r="R657" s="2"/>
      <c r="S657" s="2"/>
      <c r="T657" s="2"/>
      <c r="U657" s="49"/>
      <c r="V657" s="2"/>
      <c r="W657" s="2"/>
      <c r="X657" s="2"/>
      <c r="Y657" s="2"/>
      <c r="Z657" s="2"/>
    </row>
    <row r="658" spans="13:26" ht="15.75" customHeight="1" x14ac:dyDescent="0.15">
      <c r="M658" s="2"/>
      <c r="N658" s="2"/>
      <c r="O658" s="2"/>
      <c r="P658" s="2"/>
      <c r="Q658" s="2"/>
      <c r="R658" s="2"/>
      <c r="S658" s="2"/>
      <c r="T658" s="2"/>
      <c r="U658" s="49"/>
      <c r="V658" s="2"/>
      <c r="W658" s="2"/>
      <c r="X658" s="2"/>
      <c r="Y658" s="2"/>
      <c r="Z658" s="2"/>
    </row>
    <row r="659" spans="13:26" ht="15.75" customHeight="1" x14ac:dyDescent="0.15">
      <c r="M659" s="2"/>
      <c r="N659" s="2"/>
      <c r="O659" s="2"/>
      <c r="P659" s="2"/>
      <c r="Q659" s="2"/>
      <c r="R659" s="2"/>
      <c r="S659" s="2"/>
      <c r="T659" s="2"/>
      <c r="U659" s="49"/>
      <c r="V659" s="2"/>
      <c r="W659" s="2"/>
      <c r="X659" s="2"/>
      <c r="Y659" s="2"/>
      <c r="Z659" s="2"/>
    </row>
    <row r="660" spans="13:26" ht="15.75" customHeight="1" x14ac:dyDescent="0.15">
      <c r="M660" s="2"/>
      <c r="N660" s="2"/>
      <c r="O660" s="2"/>
      <c r="P660" s="2"/>
      <c r="Q660" s="2"/>
      <c r="R660" s="2"/>
      <c r="S660" s="2"/>
      <c r="T660" s="2"/>
      <c r="U660" s="49"/>
      <c r="V660" s="2"/>
      <c r="W660" s="2"/>
      <c r="X660" s="2"/>
      <c r="Y660" s="2"/>
      <c r="Z660" s="2"/>
    </row>
    <row r="661" spans="13:26" ht="15.75" customHeight="1" x14ac:dyDescent="0.15">
      <c r="M661" s="2"/>
      <c r="N661" s="2"/>
      <c r="O661" s="2"/>
      <c r="P661" s="2"/>
      <c r="Q661" s="2"/>
      <c r="R661" s="2"/>
      <c r="S661" s="2"/>
      <c r="T661" s="2"/>
      <c r="U661" s="49"/>
      <c r="V661" s="2"/>
      <c r="W661" s="2"/>
      <c r="X661" s="2"/>
      <c r="Y661" s="2"/>
      <c r="Z661" s="2"/>
    </row>
    <row r="662" spans="13:26" ht="15.75" customHeight="1" x14ac:dyDescent="0.15">
      <c r="M662" s="2"/>
      <c r="N662" s="2"/>
      <c r="O662" s="2"/>
      <c r="P662" s="2"/>
      <c r="Q662" s="2"/>
      <c r="R662" s="2"/>
      <c r="S662" s="2"/>
      <c r="T662" s="2"/>
      <c r="U662" s="49"/>
      <c r="V662" s="2"/>
      <c r="W662" s="2"/>
      <c r="X662" s="2"/>
      <c r="Y662" s="2"/>
      <c r="Z662" s="2"/>
    </row>
    <row r="663" spans="13:26" ht="15.75" customHeight="1" x14ac:dyDescent="0.15">
      <c r="M663" s="2"/>
      <c r="N663" s="2"/>
      <c r="O663" s="2"/>
      <c r="P663" s="2"/>
      <c r="Q663" s="2"/>
      <c r="R663" s="2"/>
      <c r="S663" s="2"/>
      <c r="T663" s="2"/>
      <c r="U663" s="49"/>
      <c r="V663" s="2"/>
      <c r="W663" s="2"/>
      <c r="X663" s="2"/>
      <c r="Y663" s="2"/>
      <c r="Z663" s="2"/>
    </row>
    <row r="664" spans="13:26" ht="15.75" customHeight="1" x14ac:dyDescent="0.15">
      <c r="M664" s="2"/>
      <c r="N664" s="2"/>
      <c r="O664" s="2"/>
      <c r="P664" s="2"/>
      <c r="Q664" s="2"/>
      <c r="R664" s="2"/>
      <c r="S664" s="2"/>
      <c r="T664" s="2"/>
      <c r="U664" s="49"/>
      <c r="V664" s="2"/>
      <c r="W664" s="2"/>
      <c r="X664" s="2"/>
      <c r="Y664" s="2"/>
      <c r="Z664" s="2"/>
    </row>
    <row r="665" spans="13:26" ht="15.75" customHeight="1" x14ac:dyDescent="0.15">
      <c r="M665" s="2"/>
      <c r="N665" s="2"/>
      <c r="O665" s="2"/>
      <c r="P665" s="2"/>
      <c r="Q665" s="2"/>
      <c r="R665" s="2"/>
      <c r="S665" s="2"/>
      <c r="T665" s="2"/>
      <c r="U665" s="49"/>
      <c r="V665" s="2"/>
      <c r="W665" s="2"/>
      <c r="X665" s="2"/>
      <c r="Y665" s="2"/>
      <c r="Z665" s="2"/>
    </row>
    <row r="666" spans="13:26" ht="15.75" customHeight="1" x14ac:dyDescent="0.15">
      <c r="M666" s="2"/>
      <c r="N666" s="2"/>
      <c r="O666" s="2"/>
      <c r="P666" s="2"/>
      <c r="Q666" s="2"/>
      <c r="R666" s="2"/>
      <c r="S666" s="2"/>
      <c r="T666" s="2"/>
      <c r="U666" s="49"/>
      <c r="V666" s="2"/>
      <c r="W666" s="2"/>
      <c r="X666" s="2"/>
      <c r="Y666" s="2"/>
      <c r="Z666" s="2"/>
    </row>
    <row r="667" spans="13:26" ht="15.75" customHeight="1" x14ac:dyDescent="0.15">
      <c r="M667" s="2"/>
      <c r="N667" s="2"/>
      <c r="O667" s="2"/>
      <c r="P667" s="2"/>
      <c r="Q667" s="2"/>
      <c r="R667" s="2"/>
      <c r="S667" s="2"/>
      <c r="T667" s="2"/>
      <c r="U667" s="49"/>
      <c r="V667" s="2"/>
      <c r="W667" s="2"/>
      <c r="X667" s="2"/>
      <c r="Y667" s="2"/>
      <c r="Z667" s="2"/>
    </row>
    <row r="668" spans="13:26" ht="15.75" customHeight="1" x14ac:dyDescent="0.15">
      <c r="M668" s="2"/>
      <c r="N668" s="2"/>
      <c r="O668" s="2"/>
      <c r="P668" s="2"/>
      <c r="Q668" s="2"/>
      <c r="R668" s="2"/>
      <c r="S668" s="2"/>
      <c r="T668" s="2"/>
      <c r="U668" s="49"/>
      <c r="V668" s="2"/>
      <c r="W668" s="2"/>
      <c r="X668" s="2"/>
      <c r="Y668" s="2"/>
      <c r="Z668" s="2"/>
    </row>
    <row r="669" spans="13:26" ht="15.75" customHeight="1" x14ac:dyDescent="0.15">
      <c r="M669" s="2"/>
      <c r="N669" s="2"/>
      <c r="O669" s="2"/>
      <c r="P669" s="2"/>
      <c r="Q669" s="2"/>
      <c r="R669" s="2"/>
      <c r="S669" s="2"/>
      <c r="T669" s="2"/>
      <c r="U669" s="49"/>
      <c r="V669" s="2"/>
      <c r="W669" s="2"/>
      <c r="X669" s="2"/>
      <c r="Y669" s="2"/>
      <c r="Z669" s="2"/>
    </row>
    <row r="670" spans="13:26" ht="15.75" customHeight="1" x14ac:dyDescent="0.15">
      <c r="M670" s="2"/>
      <c r="N670" s="2"/>
      <c r="O670" s="2"/>
      <c r="P670" s="2"/>
      <c r="Q670" s="2"/>
      <c r="R670" s="2"/>
      <c r="S670" s="2"/>
      <c r="T670" s="2"/>
      <c r="U670" s="49"/>
      <c r="V670" s="2"/>
      <c r="W670" s="2"/>
      <c r="X670" s="2"/>
      <c r="Y670" s="2"/>
      <c r="Z670" s="2"/>
    </row>
    <row r="671" spans="13:26" ht="15.75" customHeight="1" x14ac:dyDescent="0.15">
      <c r="M671" s="2"/>
      <c r="N671" s="2"/>
      <c r="O671" s="2"/>
      <c r="P671" s="2"/>
      <c r="Q671" s="2"/>
      <c r="R671" s="2"/>
      <c r="S671" s="2"/>
      <c r="T671" s="2"/>
      <c r="U671" s="49"/>
      <c r="V671" s="2"/>
      <c r="W671" s="2"/>
      <c r="X671" s="2"/>
      <c r="Y671" s="2"/>
      <c r="Z671" s="2"/>
    </row>
    <row r="672" spans="13:26" ht="15.75" customHeight="1" x14ac:dyDescent="0.15">
      <c r="M672" s="2"/>
      <c r="N672" s="2"/>
      <c r="O672" s="2"/>
      <c r="P672" s="2"/>
      <c r="Q672" s="2"/>
      <c r="R672" s="2"/>
      <c r="S672" s="2"/>
      <c r="T672" s="2"/>
      <c r="U672" s="49"/>
      <c r="V672" s="2"/>
      <c r="W672" s="2"/>
      <c r="X672" s="2"/>
      <c r="Y672" s="2"/>
      <c r="Z672" s="2"/>
    </row>
    <row r="673" spans="13:26" ht="15.75" customHeight="1" x14ac:dyDescent="0.15">
      <c r="M673" s="2"/>
      <c r="N673" s="2"/>
      <c r="O673" s="2"/>
      <c r="P673" s="2"/>
      <c r="Q673" s="2"/>
      <c r="R673" s="2"/>
      <c r="S673" s="2"/>
      <c r="T673" s="2"/>
      <c r="U673" s="49"/>
      <c r="V673" s="2"/>
      <c r="W673" s="2"/>
      <c r="X673" s="2"/>
      <c r="Y673" s="2"/>
      <c r="Z673" s="2"/>
    </row>
    <row r="674" spans="13:26" ht="15.75" customHeight="1" x14ac:dyDescent="0.15">
      <c r="M674" s="2"/>
      <c r="N674" s="2"/>
      <c r="O674" s="2"/>
      <c r="P674" s="2"/>
      <c r="Q674" s="2"/>
      <c r="R674" s="2"/>
      <c r="S674" s="2"/>
      <c r="T674" s="2"/>
      <c r="U674" s="49"/>
      <c r="V674" s="2"/>
      <c r="W674" s="2"/>
      <c r="X674" s="2"/>
      <c r="Y674" s="2"/>
      <c r="Z674" s="2"/>
    </row>
    <row r="675" spans="13:26" ht="15.75" customHeight="1" x14ac:dyDescent="0.15">
      <c r="M675" s="2"/>
      <c r="N675" s="2"/>
      <c r="O675" s="2"/>
      <c r="P675" s="2"/>
      <c r="Q675" s="2"/>
      <c r="R675" s="2"/>
      <c r="S675" s="2"/>
      <c r="T675" s="2"/>
      <c r="U675" s="49"/>
      <c r="V675" s="2"/>
      <c r="W675" s="2"/>
      <c r="X675" s="2"/>
      <c r="Y675" s="2"/>
      <c r="Z675" s="2"/>
    </row>
    <row r="676" spans="13:26" ht="15.75" customHeight="1" x14ac:dyDescent="0.15">
      <c r="M676" s="2"/>
      <c r="N676" s="2"/>
      <c r="O676" s="2"/>
      <c r="P676" s="2"/>
      <c r="Q676" s="2"/>
      <c r="R676" s="2"/>
      <c r="S676" s="2"/>
      <c r="T676" s="2"/>
      <c r="U676" s="49"/>
      <c r="V676" s="2"/>
      <c r="W676" s="2"/>
      <c r="X676" s="2"/>
      <c r="Y676" s="2"/>
      <c r="Z676" s="2"/>
    </row>
    <row r="677" spans="13:26" ht="15.75" customHeight="1" x14ac:dyDescent="0.15">
      <c r="M677" s="2"/>
      <c r="N677" s="2"/>
      <c r="O677" s="2"/>
      <c r="P677" s="2"/>
      <c r="Q677" s="2"/>
      <c r="R677" s="2"/>
      <c r="S677" s="2"/>
      <c r="T677" s="2"/>
      <c r="U677" s="49"/>
      <c r="V677" s="2"/>
      <c r="W677" s="2"/>
      <c r="X677" s="2"/>
      <c r="Y677" s="2"/>
      <c r="Z677" s="2"/>
    </row>
    <row r="678" spans="13:26" ht="15.75" customHeight="1" x14ac:dyDescent="0.15">
      <c r="M678" s="2"/>
      <c r="N678" s="2"/>
      <c r="O678" s="2"/>
      <c r="P678" s="2"/>
      <c r="Q678" s="2"/>
      <c r="R678" s="2"/>
      <c r="S678" s="2"/>
      <c r="T678" s="2"/>
      <c r="U678" s="49"/>
      <c r="V678" s="2"/>
      <c r="W678" s="2"/>
      <c r="X678" s="2"/>
      <c r="Y678" s="2"/>
      <c r="Z678" s="2"/>
    </row>
    <row r="679" spans="13:26" ht="15.75" customHeight="1" x14ac:dyDescent="0.15">
      <c r="M679" s="2"/>
      <c r="N679" s="2"/>
      <c r="O679" s="2"/>
      <c r="P679" s="2"/>
      <c r="Q679" s="2"/>
      <c r="R679" s="2"/>
      <c r="S679" s="2"/>
      <c r="T679" s="2"/>
      <c r="U679" s="49"/>
      <c r="V679" s="2"/>
      <c r="W679" s="2"/>
      <c r="X679" s="2"/>
      <c r="Y679" s="2"/>
      <c r="Z679" s="2"/>
    </row>
    <row r="680" spans="13:26" ht="15.75" customHeight="1" x14ac:dyDescent="0.15">
      <c r="M680" s="2"/>
      <c r="N680" s="2"/>
      <c r="O680" s="2"/>
      <c r="P680" s="2"/>
      <c r="Q680" s="2"/>
      <c r="R680" s="2"/>
      <c r="S680" s="2"/>
      <c r="T680" s="2"/>
      <c r="U680" s="49"/>
      <c r="V680" s="2"/>
      <c r="W680" s="2"/>
      <c r="X680" s="2"/>
      <c r="Y680" s="2"/>
      <c r="Z680" s="2"/>
    </row>
    <row r="681" spans="13:26" ht="15.75" customHeight="1" x14ac:dyDescent="0.15">
      <c r="M681" s="2"/>
      <c r="N681" s="2"/>
      <c r="O681" s="2"/>
      <c r="P681" s="2"/>
      <c r="Q681" s="2"/>
      <c r="R681" s="2"/>
      <c r="S681" s="2"/>
      <c r="T681" s="2"/>
      <c r="U681" s="49"/>
      <c r="V681" s="2"/>
      <c r="W681" s="2"/>
      <c r="X681" s="2"/>
      <c r="Y681" s="2"/>
      <c r="Z681" s="2"/>
    </row>
    <row r="682" spans="13:26" ht="15.75" customHeight="1" x14ac:dyDescent="0.15">
      <c r="M682" s="2"/>
      <c r="N682" s="2"/>
      <c r="O682" s="2"/>
      <c r="P682" s="2"/>
      <c r="Q682" s="2"/>
      <c r="R682" s="2"/>
      <c r="S682" s="2"/>
      <c r="T682" s="2"/>
      <c r="U682" s="49"/>
      <c r="V682" s="2"/>
      <c r="W682" s="2"/>
      <c r="X682" s="2"/>
      <c r="Y682" s="2"/>
      <c r="Z682" s="2"/>
    </row>
    <row r="683" spans="13:26" ht="15.75" customHeight="1" x14ac:dyDescent="0.15">
      <c r="M683" s="2"/>
      <c r="N683" s="2"/>
      <c r="O683" s="2"/>
      <c r="P683" s="2"/>
      <c r="Q683" s="2"/>
      <c r="R683" s="2"/>
      <c r="S683" s="2"/>
      <c r="T683" s="2"/>
      <c r="U683" s="49"/>
      <c r="V683" s="2"/>
      <c r="W683" s="2"/>
      <c r="X683" s="2"/>
      <c r="Y683" s="2"/>
      <c r="Z683" s="2"/>
    </row>
    <row r="684" spans="13:26" ht="15.75" customHeight="1" x14ac:dyDescent="0.15">
      <c r="M684" s="2"/>
      <c r="N684" s="2"/>
      <c r="O684" s="2"/>
      <c r="P684" s="2"/>
      <c r="Q684" s="2"/>
      <c r="R684" s="2"/>
      <c r="S684" s="2"/>
      <c r="T684" s="2"/>
      <c r="U684" s="49"/>
      <c r="V684" s="2"/>
      <c r="W684" s="2"/>
      <c r="X684" s="2"/>
      <c r="Y684" s="2"/>
      <c r="Z684" s="2"/>
    </row>
    <row r="685" spans="13:26" ht="15.75" customHeight="1" x14ac:dyDescent="0.15">
      <c r="M685" s="2"/>
      <c r="N685" s="2"/>
      <c r="O685" s="2"/>
      <c r="P685" s="2"/>
      <c r="Q685" s="2"/>
      <c r="R685" s="2"/>
      <c r="S685" s="2"/>
      <c r="T685" s="2"/>
      <c r="U685" s="49"/>
      <c r="V685" s="2"/>
      <c r="W685" s="2"/>
      <c r="X685" s="2"/>
      <c r="Y685" s="2"/>
      <c r="Z685" s="2"/>
    </row>
    <row r="686" spans="13:26" ht="15.75" customHeight="1" x14ac:dyDescent="0.15">
      <c r="M686" s="2"/>
      <c r="N686" s="2"/>
      <c r="O686" s="2"/>
      <c r="P686" s="2"/>
      <c r="Q686" s="2"/>
      <c r="R686" s="2"/>
      <c r="S686" s="2"/>
      <c r="T686" s="2"/>
      <c r="U686" s="49"/>
      <c r="V686" s="2"/>
      <c r="W686" s="2"/>
      <c r="X686" s="2"/>
      <c r="Y686" s="2"/>
      <c r="Z686" s="2"/>
    </row>
    <row r="687" spans="13:26" ht="15.75" customHeight="1" x14ac:dyDescent="0.15">
      <c r="M687" s="2"/>
      <c r="N687" s="2"/>
      <c r="O687" s="2"/>
      <c r="P687" s="2"/>
      <c r="Q687" s="2"/>
      <c r="R687" s="2"/>
      <c r="S687" s="2"/>
      <c r="T687" s="2"/>
      <c r="U687" s="49"/>
      <c r="V687" s="2"/>
      <c r="W687" s="2"/>
      <c r="X687" s="2"/>
      <c r="Y687" s="2"/>
      <c r="Z687" s="2"/>
    </row>
    <row r="688" spans="13:26" ht="15.75" customHeight="1" x14ac:dyDescent="0.15">
      <c r="M688" s="2"/>
      <c r="N688" s="2"/>
      <c r="O688" s="2"/>
      <c r="P688" s="2"/>
      <c r="Q688" s="2"/>
      <c r="R688" s="2"/>
      <c r="S688" s="2"/>
      <c r="T688" s="2"/>
      <c r="U688" s="49"/>
      <c r="V688" s="2"/>
      <c r="W688" s="2"/>
      <c r="X688" s="2"/>
      <c r="Y688" s="2"/>
      <c r="Z688" s="2"/>
    </row>
    <row r="689" spans="13:26" ht="15.75" customHeight="1" x14ac:dyDescent="0.15">
      <c r="M689" s="2"/>
      <c r="N689" s="2"/>
      <c r="O689" s="2"/>
      <c r="P689" s="2"/>
      <c r="Q689" s="2"/>
      <c r="R689" s="2"/>
      <c r="S689" s="2"/>
      <c r="T689" s="2"/>
      <c r="U689" s="49"/>
      <c r="V689" s="2"/>
      <c r="W689" s="2"/>
      <c r="X689" s="2"/>
      <c r="Y689" s="2"/>
      <c r="Z689" s="2"/>
    </row>
    <row r="690" spans="13:26" ht="15.75" customHeight="1" x14ac:dyDescent="0.15">
      <c r="M690" s="2"/>
      <c r="N690" s="2"/>
      <c r="O690" s="2"/>
      <c r="P690" s="2"/>
      <c r="Q690" s="2"/>
      <c r="R690" s="2"/>
      <c r="S690" s="2"/>
      <c r="T690" s="2"/>
      <c r="U690" s="49"/>
      <c r="V690" s="2"/>
      <c r="W690" s="2"/>
      <c r="X690" s="2"/>
      <c r="Y690" s="2"/>
      <c r="Z690" s="2"/>
    </row>
    <row r="691" spans="13:26" ht="15.75" customHeight="1" x14ac:dyDescent="0.15">
      <c r="M691" s="2"/>
      <c r="N691" s="2"/>
      <c r="O691" s="2"/>
      <c r="P691" s="2"/>
      <c r="Q691" s="2"/>
      <c r="R691" s="2"/>
      <c r="S691" s="2"/>
      <c r="T691" s="2"/>
      <c r="U691" s="49"/>
      <c r="V691" s="2"/>
      <c r="W691" s="2"/>
      <c r="X691" s="2"/>
      <c r="Y691" s="2"/>
      <c r="Z691" s="2"/>
    </row>
    <row r="692" spans="13:26" ht="15.75" customHeight="1" x14ac:dyDescent="0.15">
      <c r="M692" s="2"/>
      <c r="N692" s="2"/>
      <c r="O692" s="2"/>
      <c r="P692" s="2"/>
      <c r="Q692" s="2"/>
      <c r="R692" s="2"/>
      <c r="S692" s="2"/>
      <c r="T692" s="2"/>
      <c r="U692" s="49"/>
      <c r="V692" s="2"/>
      <c r="W692" s="2"/>
      <c r="X692" s="2"/>
      <c r="Y692" s="2"/>
      <c r="Z692" s="2"/>
    </row>
    <row r="693" spans="13:26" ht="15.75" customHeight="1" x14ac:dyDescent="0.15">
      <c r="M693" s="2"/>
      <c r="N693" s="2"/>
      <c r="O693" s="2"/>
      <c r="P693" s="2"/>
      <c r="Q693" s="2"/>
      <c r="R693" s="2"/>
      <c r="S693" s="2"/>
      <c r="T693" s="2"/>
      <c r="U693" s="49"/>
      <c r="V693" s="2"/>
      <c r="W693" s="2"/>
      <c r="X693" s="2"/>
      <c r="Y693" s="2"/>
      <c r="Z693" s="2"/>
    </row>
    <row r="694" spans="13:26" ht="15.75" customHeight="1" x14ac:dyDescent="0.15">
      <c r="M694" s="2"/>
      <c r="N694" s="2"/>
      <c r="O694" s="2"/>
      <c r="P694" s="2"/>
      <c r="Q694" s="2"/>
      <c r="R694" s="2"/>
      <c r="S694" s="2"/>
      <c r="T694" s="2"/>
      <c r="U694" s="49"/>
      <c r="V694" s="2"/>
      <c r="W694" s="2"/>
      <c r="X694" s="2"/>
      <c r="Y694" s="2"/>
      <c r="Z694" s="2"/>
    </row>
    <row r="695" spans="13:26" ht="15.75" customHeight="1" x14ac:dyDescent="0.15">
      <c r="M695" s="2"/>
      <c r="N695" s="2"/>
      <c r="O695" s="2"/>
      <c r="P695" s="2"/>
      <c r="Q695" s="2"/>
      <c r="R695" s="2"/>
      <c r="S695" s="2"/>
      <c r="T695" s="2"/>
      <c r="U695" s="49"/>
      <c r="V695" s="2"/>
      <c r="W695" s="2"/>
      <c r="X695" s="2"/>
      <c r="Y695" s="2"/>
      <c r="Z695" s="2"/>
    </row>
    <row r="696" spans="13:26" ht="15.75" customHeight="1" x14ac:dyDescent="0.15">
      <c r="M696" s="2"/>
      <c r="N696" s="2"/>
      <c r="O696" s="2"/>
      <c r="P696" s="2"/>
      <c r="Q696" s="2"/>
      <c r="R696" s="2"/>
      <c r="S696" s="2"/>
      <c r="T696" s="2"/>
      <c r="U696" s="49"/>
      <c r="V696" s="2"/>
      <c r="W696" s="2"/>
      <c r="X696" s="2"/>
      <c r="Y696" s="2"/>
      <c r="Z696" s="2"/>
    </row>
    <row r="697" spans="13:26" ht="15.75" customHeight="1" x14ac:dyDescent="0.15">
      <c r="M697" s="2"/>
      <c r="N697" s="2"/>
      <c r="O697" s="2"/>
      <c r="P697" s="2"/>
      <c r="Q697" s="2"/>
      <c r="R697" s="2"/>
      <c r="S697" s="2"/>
      <c r="T697" s="2"/>
      <c r="U697" s="49"/>
      <c r="V697" s="2"/>
      <c r="W697" s="2"/>
      <c r="X697" s="2"/>
      <c r="Y697" s="2"/>
      <c r="Z697" s="2"/>
    </row>
    <row r="698" spans="13:26" ht="15.75" customHeight="1" x14ac:dyDescent="0.15">
      <c r="M698" s="2"/>
      <c r="N698" s="2"/>
      <c r="O698" s="2"/>
      <c r="P698" s="2"/>
      <c r="Q698" s="2"/>
      <c r="R698" s="2"/>
      <c r="S698" s="2"/>
      <c r="T698" s="2"/>
      <c r="U698" s="49"/>
      <c r="V698" s="2"/>
      <c r="W698" s="2"/>
      <c r="X698" s="2"/>
      <c r="Y698" s="2"/>
      <c r="Z698" s="2"/>
    </row>
    <row r="699" spans="13:26" ht="15.75" customHeight="1" x14ac:dyDescent="0.15">
      <c r="M699" s="2"/>
      <c r="N699" s="2"/>
      <c r="O699" s="2"/>
      <c r="P699" s="2"/>
      <c r="Q699" s="2"/>
      <c r="R699" s="2"/>
      <c r="S699" s="2"/>
      <c r="T699" s="2"/>
      <c r="U699" s="49"/>
      <c r="V699" s="2"/>
      <c r="W699" s="2"/>
      <c r="X699" s="2"/>
      <c r="Y699" s="2"/>
      <c r="Z699" s="2"/>
    </row>
    <row r="700" spans="13:26" ht="15.75" customHeight="1" x14ac:dyDescent="0.15">
      <c r="M700" s="2"/>
      <c r="N700" s="2"/>
      <c r="O700" s="2"/>
      <c r="P700" s="2"/>
      <c r="Q700" s="2"/>
      <c r="R700" s="2"/>
      <c r="S700" s="2"/>
      <c r="T700" s="2"/>
      <c r="U700" s="49"/>
      <c r="V700" s="2"/>
      <c r="W700" s="2"/>
      <c r="X700" s="2"/>
      <c r="Y700" s="2"/>
      <c r="Z700" s="2"/>
    </row>
    <row r="701" spans="13:26" ht="15.75" customHeight="1" x14ac:dyDescent="0.15">
      <c r="M701" s="2"/>
      <c r="N701" s="2"/>
      <c r="O701" s="2"/>
      <c r="P701" s="2"/>
      <c r="Q701" s="2"/>
      <c r="R701" s="2"/>
      <c r="S701" s="2"/>
      <c r="T701" s="2"/>
      <c r="U701" s="49"/>
      <c r="V701" s="2"/>
      <c r="W701" s="2"/>
      <c r="X701" s="2"/>
      <c r="Y701" s="2"/>
      <c r="Z701" s="2"/>
    </row>
    <row r="702" spans="13:26" ht="15.75" customHeight="1" x14ac:dyDescent="0.15">
      <c r="M702" s="2"/>
      <c r="N702" s="2"/>
      <c r="O702" s="2"/>
      <c r="P702" s="2"/>
      <c r="Q702" s="2"/>
      <c r="R702" s="2"/>
      <c r="S702" s="2"/>
      <c r="T702" s="2"/>
      <c r="U702" s="49"/>
      <c r="V702" s="2"/>
      <c r="W702" s="2"/>
      <c r="X702" s="2"/>
      <c r="Y702" s="2"/>
      <c r="Z702" s="2"/>
    </row>
    <row r="703" spans="13:26" ht="15.75" customHeight="1" x14ac:dyDescent="0.15">
      <c r="M703" s="2"/>
      <c r="N703" s="2"/>
      <c r="O703" s="2"/>
      <c r="P703" s="2"/>
      <c r="Q703" s="2"/>
      <c r="R703" s="2"/>
      <c r="S703" s="2"/>
      <c r="T703" s="2"/>
      <c r="U703" s="49"/>
      <c r="V703" s="2"/>
      <c r="W703" s="2"/>
      <c r="X703" s="2"/>
      <c r="Y703" s="2"/>
      <c r="Z703" s="2"/>
    </row>
    <row r="704" spans="13:26" ht="15.75" customHeight="1" x14ac:dyDescent="0.15">
      <c r="M704" s="2"/>
      <c r="N704" s="2"/>
      <c r="O704" s="2"/>
      <c r="P704" s="2"/>
      <c r="Q704" s="2"/>
      <c r="R704" s="2"/>
      <c r="S704" s="2"/>
      <c r="T704" s="2"/>
      <c r="U704" s="49"/>
      <c r="V704" s="2"/>
      <c r="W704" s="2"/>
      <c r="X704" s="2"/>
      <c r="Y704" s="2"/>
      <c r="Z704" s="2"/>
    </row>
    <row r="705" spans="13:26" ht="15.75" customHeight="1" x14ac:dyDescent="0.15">
      <c r="M705" s="2"/>
      <c r="N705" s="2"/>
      <c r="O705" s="2"/>
      <c r="P705" s="2"/>
      <c r="Q705" s="2"/>
      <c r="R705" s="2"/>
      <c r="S705" s="2"/>
      <c r="T705" s="2"/>
      <c r="U705" s="49"/>
      <c r="V705" s="2"/>
      <c r="W705" s="2"/>
      <c r="X705" s="2"/>
      <c r="Y705" s="2"/>
      <c r="Z705" s="2"/>
    </row>
    <row r="706" spans="13:26" ht="15.75" customHeight="1" x14ac:dyDescent="0.15">
      <c r="M706" s="2"/>
      <c r="N706" s="2"/>
      <c r="O706" s="2"/>
      <c r="P706" s="2"/>
      <c r="Q706" s="2"/>
      <c r="R706" s="2"/>
      <c r="S706" s="2"/>
      <c r="T706" s="2"/>
      <c r="U706" s="49"/>
      <c r="V706" s="2"/>
      <c r="W706" s="2"/>
      <c r="X706" s="2"/>
      <c r="Y706" s="2"/>
      <c r="Z706" s="2"/>
    </row>
    <row r="707" spans="13:26" ht="15.75" customHeight="1" x14ac:dyDescent="0.15">
      <c r="M707" s="2"/>
      <c r="N707" s="2"/>
      <c r="O707" s="2"/>
      <c r="P707" s="2"/>
      <c r="Q707" s="2"/>
      <c r="R707" s="2"/>
      <c r="S707" s="2"/>
      <c r="T707" s="2"/>
      <c r="U707" s="49"/>
      <c r="V707" s="2"/>
      <c r="W707" s="2"/>
      <c r="X707" s="2"/>
      <c r="Y707" s="2"/>
      <c r="Z707" s="2"/>
    </row>
    <row r="708" spans="13:26" ht="15.75" customHeight="1" x14ac:dyDescent="0.15">
      <c r="M708" s="2"/>
      <c r="N708" s="2"/>
      <c r="O708" s="2"/>
      <c r="P708" s="2"/>
      <c r="Q708" s="2"/>
      <c r="R708" s="2"/>
      <c r="S708" s="2"/>
      <c r="T708" s="2"/>
      <c r="U708" s="49"/>
      <c r="V708" s="2"/>
      <c r="W708" s="2"/>
      <c r="X708" s="2"/>
      <c r="Y708" s="2"/>
      <c r="Z708" s="2"/>
    </row>
    <row r="709" spans="13:26" ht="15.75" customHeight="1" x14ac:dyDescent="0.15">
      <c r="M709" s="2"/>
      <c r="N709" s="2"/>
      <c r="O709" s="2"/>
      <c r="P709" s="2"/>
      <c r="Q709" s="2"/>
      <c r="R709" s="2"/>
      <c r="S709" s="2"/>
      <c r="T709" s="2"/>
      <c r="U709" s="49"/>
      <c r="V709" s="2"/>
      <c r="W709" s="2"/>
      <c r="X709" s="2"/>
      <c r="Y709" s="2"/>
      <c r="Z709" s="2"/>
    </row>
    <row r="710" spans="13:26" ht="15.75" customHeight="1" x14ac:dyDescent="0.15">
      <c r="M710" s="2"/>
      <c r="N710" s="2"/>
      <c r="O710" s="2"/>
      <c r="P710" s="2"/>
      <c r="Q710" s="2"/>
      <c r="R710" s="2"/>
      <c r="S710" s="2"/>
      <c r="T710" s="2"/>
      <c r="U710" s="49"/>
      <c r="V710" s="2"/>
      <c r="W710" s="2"/>
      <c r="X710" s="2"/>
      <c r="Y710" s="2"/>
      <c r="Z710" s="2"/>
    </row>
    <row r="711" spans="13:26" ht="15.75" customHeight="1" x14ac:dyDescent="0.15">
      <c r="M711" s="2"/>
      <c r="N711" s="2"/>
      <c r="O711" s="2"/>
      <c r="P711" s="2"/>
      <c r="Q711" s="2"/>
      <c r="R711" s="2"/>
      <c r="S711" s="2"/>
      <c r="T711" s="2"/>
      <c r="U711" s="49"/>
      <c r="V711" s="2"/>
      <c r="W711" s="2"/>
      <c r="X711" s="2"/>
      <c r="Y711" s="2"/>
      <c r="Z711" s="2"/>
    </row>
    <row r="712" spans="13:26" ht="15.75" customHeight="1" x14ac:dyDescent="0.15">
      <c r="M712" s="2"/>
      <c r="N712" s="2"/>
      <c r="O712" s="2"/>
      <c r="P712" s="2"/>
      <c r="Q712" s="2"/>
      <c r="R712" s="2"/>
      <c r="S712" s="2"/>
      <c r="T712" s="2"/>
      <c r="U712" s="49"/>
      <c r="V712" s="2"/>
      <c r="W712" s="2"/>
      <c r="X712" s="2"/>
      <c r="Y712" s="2"/>
      <c r="Z712" s="2"/>
    </row>
    <row r="713" spans="13:26" ht="15.75" customHeight="1" x14ac:dyDescent="0.15">
      <c r="M713" s="2"/>
      <c r="N713" s="2"/>
      <c r="O713" s="2"/>
      <c r="P713" s="2"/>
      <c r="Q713" s="2"/>
      <c r="R713" s="2"/>
      <c r="S713" s="2"/>
      <c r="T713" s="2"/>
      <c r="U713" s="49"/>
      <c r="V713" s="2"/>
      <c r="W713" s="2"/>
      <c r="X713" s="2"/>
      <c r="Y713" s="2"/>
      <c r="Z713" s="2"/>
    </row>
    <row r="714" spans="13:26" ht="15.75" customHeight="1" x14ac:dyDescent="0.15">
      <c r="M714" s="2"/>
      <c r="N714" s="2"/>
      <c r="O714" s="2"/>
      <c r="P714" s="2"/>
      <c r="Q714" s="2"/>
      <c r="R714" s="2"/>
      <c r="S714" s="2"/>
      <c r="T714" s="2"/>
      <c r="U714" s="49"/>
      <c r="V714" s="2"/>
      <c r="W714" s="2"/>
      <c r="X714" s="2"/>
      <c r="Y714" s="2"/>
      <c r="Z714" s="2"/>
    </row>
    <row r="715" spans="13:26" ht="15.75" customHeight="1" x14ac:dyDescent="0.15">
      <c r="M715" s="2"/>
      <c r="N715" s="2"/>
      <c r="O715" s="2"/>
      <c r="P715" s="2"/>
      <c r="Q715" s="2"/>
      <c r="R715" s="2"/>
      <c r="S715" s="2"/>
      <c r="T715" s="2"/>
      <c r="U715" s="49"/>
      <c r="V715" s="2"/>
      <c r="W715" s="2"/>
      <c r="X715" s="2"/>
      <c r="Y715" s="2"/>
      <c r="Z715" s="2"/>
    </row>
    <row r="716" spans="13:26" ht="15.75" customHeight="1" x14ac:dyDescent="0.15">
      <c r="M716" s="2"/>
      <c r="N716" s="2"/>
      <c r="O716" s="2"/>
      <c r="P716" s="2"/>
      <c r="Q716" s="2"/>
      <c r="R716" s="2"/>
      <c r="S716" s="2"/>
      <c r="T716" s="2"/>
      <c r="U716" s="49"/>
      <c r="V716" s="2"/>
      <c r="W716" s="2"/>
      <c r="X716" s="2"/>
      <c r="Y716" s="2"/>
      <c r="Z716" s="2"/>
    </row>
    <row r="717" spans="13:26" ht="15.75" customHeight="1" x14ac:dyDescent="0.15">
      <c r="M717" s="2"/>
      <c r="N717" s="2"/>
      <c r="O717" s="2"/>
      <c r="P717" s="2"/>
      <c r="Q717" s="2"/>
      <c r="R717" s="2"/>
      <c r="S717" s="2"/>
      <c r="T717" s="2"/>
      <c r="U717" s="49"/>
      <c r="V717" s="2"/>
      <c r="W717" s="2"/>
      <c r="X717" s="2"/>
      <c r="Y717" s="2"/>
      <c r="Z717" s="2"/>
    </row>
    <row r="718" spans="13:26" ht="15.75" customHeight="1" x14ac:dyDescent="0.15">
      <c r="M718" s="2"/>
      <c r="N718" s="2"/>
      <c r="O718" s="2"/>
      <c r="P718" s="2"/>
      <c r="Q718" s="2"/>
      <c r="R718" s="2"/>
      <c r="S718" s="2"/>
      <c r="T718" s="2"/>
      <c r="U718" s="49"/>
      <c r="V718" s="2"/>
      <c r="W718" s="2"/>
      <c r="X718" s="2"/>
      <c r="Y718" s="2"/>
      <c r="Z718" s="2"/>
    </row>
    <row r="719" spans="13:26" ht="15.75" customHeight="1" x14ac:dyDescent="0.15">
      <c r="M719" s="2"/>
      <c r="N719" s="2"/>
      <c r="O719" s="2"/>
      <c r="P719" s="2"/>
      <c r="Q719" s="2"/>
      <c r="R719" s="2"/>
      <c r="S719" s="2"/>
      <c r="T719" s="2"/>
      <c r="U719" s="49"/>
      <c r="V719" s="2"/>
      <c r="W719" s="2"/>
      <c r="X719" s="2"/>
      <c r="Y719" s="2"/>
      <c r="Z719" s="2"/>
    </row>
    <row r="720" spans="13:26" ht="15.75" customHeight="1" x14ac:dyDescent="0.15">
      <c r="M720" s="2"/>
      <c r="N720" s="2"/>
      <c r="O720" s="2"/>
      <c r="P720" s="2"/>
      <c r="Q720" s="2"/>
      <c r="R720" s="2"/>
      <c r="S720" s="2"/>
      <c r="T720" s="2"/>
      <c r="U720" s="49"/>
      <c r="V720" s="2"/>
      <c r="W720" s="2"/>
      <c r="X720" s="2"/>
      <c r="Y720" s="2"/>
      <c r="Z720" s="2"/>
    </row>
    <row r="721" spans="13:26" ht="15.75" customHeight="1" x14ac:dyDescent="0.15">
      <c r="M721" s="2"/>
      <c r="N721" s="2"/>
      <c r="O721" s="2"/>
      <c r="P721" s="2"/>
      <c r="Q721" s="2"/>
      <c r="R721" s="2"/>
      <c r="S721" s="2"/>
      <c r="T721" s="2"/>
      <c r="U721" s="49"/>
      <c r="V721" s="2"/>
      <c r="W721" s="2"/>
      <c r="X721" s="2"/>
      <c r="Y721" s="2"/>
      <c r="Z721" s="2"/>
    </row>
    <row r="722" spans="13:26" ht="15.75" customHeight="1" x14ac:dyDescent="0.15">
      <c r="M722" s="2"/>
      <c r="N722" s="2"/>
      <c r="O722" s="2"/>
      <c r="P722" s="2"/>
      <c r="Q722" s="2"/>
      <c r="R722" s="2"/>
      <c r="S722" s="2"/>
      <c r="T722" s="2"/>
      <c r="U722" s="49"/>
      <c r="V722" s="2"/>
      <c r="W722" s="2"/>
      <c r="X722" s="2"/>
      <c r="Y722" s="2"/>
      <c r="Z722" s="2"/>
    </row>
    <row r="723" spans="13:26" ht="15.75" customHeight="1" x14ac:dyDescent="0.15">
      <c r="M723" s="2"/>
      <c r="N723" s="2"/>
      <c r="O723" s="2"/>
      <c r="P723" s="2"/>
      <c r="Q723" s="2"/>
      <c r="R723" s="2"/>
      <c r="S723" s="2"/>
      <c r="T723" s="2"/>
      <c r="U723" s="49"/>
      <c r="V723" s="2"/>
      <c r="W723" s="2"/>
      <c r="X723" s="2"/>
      <c r="Y723" s="2"/>
      <c r="Z723" s="2"/>
    </row>
    <row r="724" spans="13:26" ht="15.75" customHeight="1" x14ac:dyDescent="0.15">
      <c r="M724" s="2"/>
      <c r="N724" s="2"/>
      <c r="O724" s="2"/>
      <c r="P724" s="2"/>
      <c r="Q724" s="2"/>
      <c r="R724" s="2"/>
      <c r="S724" s="2"/>
      <c r="T724" s="2"/>
      <c r="U724" s="49"/>
      <c r="V724" s="2"/>
      <c r="W724" s="2"/>
      <c r="X724" s="2"/>
      <c r="Y724" s="2"/>
      <c r="Z724" s="2"/>
    </row>
    <row r="725" spans="13:26" ht="15.75" customHeight="1" x14ac:dyDescent="0.15">
      <c r="M725" s="2"/>
      <c r="N725" s="2"/>
      <c r="O725" s="2"/>
      <c r="P725" s="2"/>
      <c r="Q725" s="2"/>
      <c r="R725" s="2"/>
      <c r="S725" s="2"/>
      <c r="T725" s="2"/>
      <c r="U725" s="49"/>
      <c r="V725" s="2"/>
      <c r="W725" s="2"/>
      <c r="X725" s="2"/>
      <c r="Y725" s="2"/>
      <c r="Z725" s="2"/>
    </row>
    <row r="726" spans="13:26" ht="15.75" customHeight="1" x14ac:dyDescent="0.15">
      <c r="M726" s="2"/>
      <c r="N726" s="2"/>
      <c r="O726" s="2"/>
      <c r="P726" s="2"/>
      <c r="Q726" s="2"/>
      <c r="R726" s="2"/>
      <c r="S726" s="2"/>
      <c r="T726" s="2"/>
      <c r="U726" s="49"/>
      <c r="V726" s="2"/>
      <c r="W726" s="2"/>
      <c r="X726" s="2"/>
      <c r="Y726" s="2"/>
      <c r="Z726" s="2"/>
    </row>
    <row r="727" spans="13:26" ht="15.75" customHeight="1" x14ac:dyDescent="0.15">
      <c r="M727" s="2"/>
      <c r="N727" s="2"/>
      <c r="O727" s="2"/>
      <c r="P727" s="2"/>
      <c r="Q727" s="2"/>
      <c r="R727" s="2"/>
      <c r="S727" s="2"/>
      <c r="T727" s="2"/>
      <c r="U727" s="49"/>
      <c r="V727" s="2"/>
      <c r="W727" s="2"/>
      <c r="X727" s="2"/>
      <c r="Y727" s="2"/>
      <c r="Z727" s="2"/>
    </row>
    <row r="728" spans="13:26" ht="15.75" customHeight="1" x14ac:dyDescent="0.15">
      <c r="M728" s="2"/>
      <c r="N728" s="2"/>
      <c r="O728" s="2"/>
      <c r="P728" s="2"/>
      <c r="Q728" s="2"/>
      <c r="R728" s="2"/>
      <c r="S728" s="2"/>
      <c r="T728" s="2"/>
      <c r="U728" s="49"/>
      <c r="V728" s="2"/>
      <c r="W728" s="2"/>
      <c r="X728" s="2"/>
      <c r="Y728" s="2"/>
      <c r="Z728" s="2"/>
    </row>
    <row r="729" spans="13:26" ht="15.75" customHeight="1" x14ac:dyDescent="0.15">
      <c r="M729" s="2"/>
      <c r="N729" s="2"/>
      <c r="O729" s="2"/>
      <c r="P729" s="2"/>
      <c r="Q729" s="2"/>
      <c r="R729" s="2"/>
      <c r="S729" s="2"/>
      <c r="T729" s="2"/>
      <c r="U729" s="49"/>
      <c r="V729" s="2"/>
      <c r="W729" s="2"/>
      <c r="X729" s="2"/>
      <c r="Y729" s="2"/>
      <c r="Z729" s="2"/>
    </row>
    <row r="730" spans="13:26" ht="15.75" customHeight="1" x14ac:dyDescent="0.15">
      <c r="M730" s="2"/>
      <c r="N730" s="2"/>
      <c r="O730" s="2"/>
      <c r="P730" s="2"/>
      <c r="Q730" s="2"/>
      <c r="R730" s="2"/>
      <c r="S730" s="2"/>
      <c r="T730" s="2"/>
      <c r="U730" s="49"/>
      <c r="V730" s="2"/>
      <c r="W730" s="2"/>
      <c r="X730" s="2"/>
      <c r="Y730" s="2"/>
      <c r="Z730" s="2"/>
    </row>
    <row r="731" spans="13:26" ht="15.75" customHeight="1" x14ac:dyDescent="0.15">
      <c r="M731" s="2"/>
      <c r="N731" s="2"/>
      <c r="O731" s="2"/>
      <c r="P731" s="2"/>
      <c r="Q731" s="2"/>
      <c r="R731" s="2"/>
      <c r="S731" s="2"/>
      <c r="T731" s="2"/>
      <c r="U731" s="49"/>
      <c r="V731" s="2"/>
      <c r="W731" s="2"/>
      <c r="X731" s="2"/>
      <c r="Y731" s="2"/>
      <c r="Z731" s="2"/>
    </row>
    <row r="732" spans="13:26" ht="15.75" customHeight="1" x14ac:dyDescent="0.15">
      <c r="M732" s="2"/>
      <c r="N732" s="2"/>
      <c r="O732" s="2"/>
      <c r="P732" s="2"/>
      <c r="Q732" s="2"/>
      <c r="R732" s="2"/>
      <c r="S732" s="2"/>
      <c r="T732" s="2"/>
      <c r="U732" s="49"/>
      <c r="V732" s="2"/>
      <c r="W732" s="2"/>
      <c r="X732" s="2"/>
      <c r="Y732" s="2"/>
      <c r="Z732" s="2"/>
    </row>
    <row r="733" spans="13:26" ht="15.75" customHeight="1" x14ac:dyDescent="0.15">
      <c r="M733" s="2"/>
      <c r="N733" s="2"/>
      <c r="O733" s="2"/>
      <c r="P733" s="2"/>
      <c r="Q733" s="2"/>
      <c r="R733" s="2"/>
      <c r="S733" s="2"/>
      <c r="T733" s="2"/>
      <c r="U733" s="49"/>
      <c r="V733" s="2"/>
      <c r="W733" s="2"/>
      <c r="X733" s="2"/>
      <c r="Y733" s="2"/>
      <c r="Z733" s="2"/>
    </row>
    <row r="734" spans="13:26" ht="15.75" customHeight="1" x14ac:dyDescent="0.15">
      <c r="M734" s="2"/>
      <c r="N734" s="2"/>
      <c r="O734" s="2"/>
      <c r="P734" s="2"/>
      <c r="Q734" s="2"/>
      <c r="R734" s="2"/>
      <c r="S734" s="2"/>
      <c r="T734" s="2"/>
      <c r="U734" s="49"/>
      <c r="V734" s="2"/>
      <c r="W734" s="2"/>
      <c r="X734" s="2"/>
      <c r="Y734" s="2"/>
      <c r="Z734" s="2"/>
    </row>
    <row r="735" spans="13:26" ht="15.75" customHeight="1" x14ac:dyDescent="0.15">
      <c r="M735" s="2"/>
      <c r="N735" s="2"/>
      <c r="O735" s="2"/>
      <c r="P735" s="2"/>
      <c r="Q735" s="2"/>
      <c r="R735" s="2"/>
      <c r="S735" s="2"/>
      <c r="T735" s="2"/>
      <c r="U735" s="49"/>
      <c r="V735" s="2"/>
      <c r="W735" s="2"/>
      <c r="X735" s="2"/>
      <c r="Y735" s="2"/>
      <c r="Z735" s="2"/>
    </row>
    <row r="736" spans="13:26" ht="15.75" customHeight="1" x14ac:dyDescent="0.15">
      <c r="M736" s="2"/>
      <c r="N736" s="2"/>
      <c r="O736" s="2"/>
      <c r="P736" s="2"/>
      <c r="Q736" s="2"/>
      <c r="R736" s="2"/>
      <c r="S736" s="2"/>
      <c r="T736" s="2"/>
      <c r="U736" s="49"/>
      <c r="V736" s="2"/>
      <c r="W736" s="2"/>
      <c r="X736" s="2"/>
      <c r="Y736" s="2"/>
      <c r="Z736" s="2"/>
    </row>
    <row r="737" spans="13:26" ht="15.75" customHeight="1" x14ac:dyDescent="0.15">
      <c r="M737" s="2"/>
      <c r="N737" s="2"/>
      <c r="O737" s="2"/>
      <c r="P737" s="2"/>
      <c r="Q737" s="2"/>
      <c r="R737" s="2"/>
      <c r="S737" s="2"/>
      <c r="T737" s="2"/>
      <c r="U737" s="49"/>
      <c r="V737" s="2"/>
      <c r="W737" s="2"/>
      <c r="X737" s="2"/>
      <c r="Y737" s="2"/>
      <c r="Z737" s="2"/>
    </row>
    <row r="738" spans="13:26" ht="15.75" customHeight="1" x14ac:dyDescent="0.15">
      <c r="M738" s="2"/>
      <c r="N738" s="2"/>
      <c r="O738" s="2"/>
      <c r="P738" s="2"/>
      <c r="Q738" s="2"/>
      <c r="R738" s="2"/>
      <c r="S738" s="2"/>
      <c r="T738" s="2"/>
      <c r="U738" s="49"/>
      <c r="V738" s="2"/>
      <c r="W738" s="2"/>
      <c r="X738" s="2"/>
      <c r="Y738" s="2"/>
      <c r="Z738" s="2"/>
    </row>
    <row r="739" spans="13:26" ht="15.75" customHeight="1" x14ac:dyDescent="0.15">
      <c r="M739" s="2"/>
      <c r="N739" s="2"/>
      <c r="O739" s="2"/>
      <c r="P739" s="2"/>
      <c r="Q739" s="2"/>
      <c r="R739" s="2"/>
      <c r="S739" s="2"/>
      <c r="T739" s="2"/>
      <c r="U739" s="49"/>
      <c r="V739" s="2"/>
      <c r="W739" s="2"/>
      <c r="X739" s="2"/>
      <c r="Y739" s="2"/>
      <c r="Z739" s="2"/>
    </row>
    <row r="740" spans="13:26" ht="15.75" customHeight="1" x14ac:dyDescent="0.15">
      <c r="M740" s="2"/>
      <c r="N740" s="2"/>
      <c r="O740" s="2"/>
      <c r="P740" s="2"/>
      <c r="Q740" s="2"/>
      <c r="R740" s="2"/>
      <c r="S740" s="2"/>
      <c r="T740" s="2"/>
      <c r="U740" s="49"/>
      <c r="V740" s="2"/>
      <c r="W740" s="2"/>
      <c r="X740" s="2"/>
      <c r="Y740" s="2"/>
      <c r="Z740" s="2"/>
    </row>
    <row r="741" spans="13:26" ht="15.75" customHeight="1" x14ac:dyDescent="0.15">
      <c r="M741" s="2"/>
      <c r="N741" s="2"/>
      <c r="O741" s="2"/>
      <c r="P741" s="2"/>
      <c r="Q741" s="2"/>
      <c r="R741" s="2"/>
      <c r="S741" s="2"/>
      <c r="T741" s="2"/>
      <c r="U741" s="49"/>
      <c r="V741" s="2"/>
      <c r="W741" s="2"/>
      <c r="X741" s="2"/>
      <c r="Y741" s="2"/>
      <c r="Z741" s="2"/>
    </row>
    <row r="742" spans="13:26" ht="15.75" customHeight="1" x14ac:dyDescent="0.15">
      <c r="M742" s="2"/>
      <c r="N742" s="2"/>
      <c r="O742" s="2"/>
      <c r="P742" s="2"/>
      <c r="Q742" s="2"/>
      <c r="R742" s="2"/>
      <c r="S742" s="2"/>
      <c r="T742" s="2"/>
      <c r="U742" s="49"/>
      <c r="V742" s="2"/>
      <c r="W742" s="2"/>
      <c r="X742" s="2"/>
      <c r="Y742" s="2"/>
      <c r="Z742" s="2"/>
    </row>
    <row r="743" spans="13:26" ht="15.75" customHeight="1" x14ac:dyDescent="0.15">
      <c r="M743" s="2"/>
      <c r="N743" s="2"/>
      <c r="O743" s="2"/>
      <c r="P743" s="2"/>
      <c r="Q743" s="2"/>
      <c r="R743" s="2"/>
      <c r="S743" s="2"/>
      <c r="T743" s="2"/>
      <c r="U743" s="49"/>
      <c r="V743" s="2"/>
      <c r="W743" s="2"/>
      <c r="X743" s="2"/>
      <c r="Y743" s="2"/>
      <c r="Z743" s="2"/>
    </row>
    <row r="744" spans="13:26" ht="15.75" customHeight="1" x14ac:dyDescent="0.15">
      <c r="M744" s="2"/>
      <c r="N744" s="2"/>
      <c r="O744" s="2"/>
      <c r="P744" s="2"/>
      <c r="Q744" s="2"/>
      <c r="R744" s="2"/>
      <c r="S744" s="2"/>
      <c r="T744" s="2"/>
      <c r="U744" s="49"/>
      <c r="V744" s="2"/>
      <c r="W744" s="2"/>
      <c r="X744" s="2"/>
      <c r="Y744" s="2"/>
      <c r="Z744" s="2"/>
    </row>
    <row r="745" spans="13:26" ht="15.75" customHeight="1" x14ac:dyDescent="0.15">
      <c r="M745" s="2"/>
      <c r="N745" s="2"/>
      <c r="O745" s="2"/>
      <c r="P745" s="2"/>
      <c r="Q745" s="2"/>
      <c r="R745" s="2"/>
      <c r="S745" s="2"/>
      <c r="T745" s="2"/>
      <c r="U745" s="49"/>
      <c r="V745" s="2"/>
      <c r="W745" s="2"/>
      <c r="X745" s="2"/>
      <c r="Y745" s="2"/>
      <c r="Z745" s="2"/>
    </row>
    <row r="746" spans="13:26" ht="15.75" customHeight="1" x14ac:dyDescent="0.15">
      <c r="M746" s="2"/>
      <c r="N746" s="2"/>
      <c r="O746" s="2"/>
      <c r="P746" s="2"/>
      <c r="Q746" s="2"/>
      <c r="R746" s="2"/>
      <c r="S746" s="2"/>
      <c r="T746" s="2"/>
      <c r="U746" s="49"/>
      <c r="V746" s="2"/>
      <c r="W746" s="2"/>
      <c r="X746" s="2"/>
      <c r="Y746" s="2"/>
      <c r="Z746" s="2"/>
    </row>
    <row r="747" spans="13:26" ht="15.75" customHeight="1" x14ac:dyDescent="0.15">
      <c r="M747" s="2"/>
      <c r="N747" s="2"/>
      <c r="O747" s="2"/>
      <c r="P747" s="2"/>
      <c r="Q747" s="2"/>
      <c r="R747" s="2"/>
      <c r="S747" s="2"/>
      <c r="T747" s="2"/>
      <c r="U747" s="49"/>
      <c r="V747" s="2"/>
      <c r="W747" s="2"/>
      <c r="X747" s="2"/>
      <c r="Y747" s="2"/>
      <c r="Z747" s="2"/>
    </row>
    <row r="748" spans="13:26" ht="15.75" customHeight="1" x14ac:dyDescent="0.15">
      <c r="M748" s="2"/>
      <c r="N748" s="2"/>
      <c r="O748" s="2"/>
      <c r="P748" s="2"/>
      <c r="Q748" s="2"/>
      <c r="R748" s="2"/>
      <c r="S748" s="2"/>
      <c r="T748" s="2"/>
      <c r="U748" s="49"/>
      <c r="V748" s="2"/>
      <c r="W748" s="2"/>
      <c r="X748" s="2"/>
      <c r="Y748" s="2"/>
      <c r="Z748" s="2"/>
    </row>
    <row r="749" spans="13:26" ht="15.75" customHeight="1" x14ac:dyDescent="0.15">
      <c r="M749" s="2"/>
      <c r="N749" s="2"/>
      <c r="O749" s="2"/>
      <c r="P749" s="2"/>
      <c r="Q749" s="2"/>
      <c r="R749" s="2"/>
      <c r="S749" s="2"/>
      <c r="T749" s="2"/>
      <c r="U749" s="49"/>
      <c r="V749" s="2"/>
      <c r="W749" s="2"/>
      <c r="X749" s="2"/>
      <c r="Y749" s="2"/>
      <c r="Z749" s="2"/>
    </row>
    <row r="750" spans="13:26" ht="15.75" customHeight="1" x14ac:dyDescent="0.15">
      <c r="M750" s="2"/>
      <c r="N750" s="2"/>
      <c r="O750" s="2"/>
      <c r="P750" s="2"/>
      <c r="Q750" s="2"/>
      <c r="R750" s="2"/>
      <c r="S750" s="2"/>
      <c r="T750" s="2"/>
      <c r="U750" s="49"/>
      <c r="V750" s="2"/>
      <c r="W750" s="2"/>
      <c r="X750" s="2"/>
      <c r="Y750" s="2"/>
      <c r="Z750" s="2"/>
    </row>
    <row r="751" spans="13:26" ht="15.75" customHeight="1" x14ac:dyDescent="0.15">
      <c r="M751" s="2"/>
      <c r="N751" s="2"/>
      <c r="O751" s="2"/>
      <c r="P751" s="2"/>
      <c r="Q751" s="2"/>
      <c r="R751" s="2"/>
      <c r="S751" s="2"/>
      <c r="T751" s="2"/>
      <c r="U751" s="49"/>
      <c r="V751" s="2"/>
      <c r="W751" s="2"/>
      <c r="X751" s="2"/>
      <c r="Y751" s="2"/>
      <c r="Z751" s="2"/>
    </row>
    <row r="752" spans="13:26" ht="15.75" customHeight="1" x14ac:dyDescent="0.15">
      <c r="M752" s="2"/>
      <c r="N752" s="2"/>
      <c r="O752" s="2"/>
      <c r="P752" s="2"/>
      <c r="Q752" s="2"/>
      <c r="R752" s="2"/>
      <c r="S752" s="2"/>
      <c r="T752" s="2"/>
      <c r="U752" s="49"/>
      <c r="V752" s="2"/>
      <c r="W752" s="2"/>
      <c r="X752" s="2"/>
      <c r="Y752" s="2"/>
      <c r="Z752" s="2"/>
    </row>
    <row r="753" spans="13:26" ht="15.75" customHeight="1" x14ac:dyDescent="0.15">
      <c r="M753" s="2"/>
      <c r="N753" s="2"/>
      <c r="O753" s="2"/>
      <c r="P753" s="2"/>
      <c r="Q753" s="2"/>
      <c r="R753" s="2"/>
      <c r="S753" s="2"/>
      <c r="T753" s="2"/>
      <c r="U753" s="49"/>
      <c r="V753" s="2"/>
      <c r="W753" s="2"/>
      <c r="X753" s="2"/>
      <c r="Y753" s="2"/>
      <c r="Z753" s="2"/>
    </row>
    <row r="754" spans="13:26" ht="15.75" customHeight="1" x14ac:dyDescent="0.15">
      <c r="M754" s="2"/>
      <c r="N754" s="2"/>
      <c r="O754" s="2"/>
      <c r="P754" s="2"/>
      <c r="Q754" s="2"/>
      <c r="R754" s="2"/>
      <c r="S754" s="2"/>
      <c r="T754" s="2"/>
      <c r="U754" s="49"/>
      <c r="V754" s="2"/>
      <c r="W754" s="2"/>
      <c r="X754" s="2"/>
      <c r="Y754" s="2"/>
      <c r="Z754" s="2"/>
    </row>
    <row r="755" spans="13:26" ht="15.75" customHeight="1" x14ac:dyDescent="0.15">
      <c r="M755" s="2"/>
      <c r="N755" s="2"/>
      <c r="O755" s="2"/>
      <c r="P755" s="2"/>
      <c r="Q755" s="2"/>
      <c r="R755" s="2"/>
      <c r="S755" s="2"/>
      <c r="T755" s="2"/>
      <c r="U755" s="49"/>
      <c r="V755" s="2"/>
      <c r="W755" s="2"/>
      <c r="X755" s="2"/>
      <c r="Y755" s="2"/>
      <c r="Z755" s="2"/>
    </row>
    <row r="756" spans="13:26" ht="15.75" customHeight="1" x14ac:dyDescent="0.15">
      <c r="M756" s="2"/>
      <c r="N756" s="2"/>
      <c r="O756" s="2"/>
      <c r="P756" s="2"/>
      <c r="Q756" s="2"/>
      <c r="R756" s="2"/>
      <c r="S756" s="2"/>
      <c r="T756" s="2"/>
      <c r="U756" s="49"/>
      <c r="V756" s="2"/>
      <c r="W756" s="2"/>
      <c r="X756" s="2"/>
      <c r="Y756" s="2"/>
      <c r="Z756" s="2"/>
    </row>
    <row r="757" spans="13:26" ht="15.75" customHeight="1" x14ac:dyDescent="0.15">
      <c r="M757" s="2"/>
      <c r="N757" s="2"/>
      <c r="O757" s="2"/>
      <c r="P757" s="2"/>
      <c r="Q757" s="2"/>
      <c r="R757" s="2"/>
      <c r="S757" s="2"/>
      <c r="T757" s="2"/>
      <c r="U757" s="49"/>
      <c r="V757" s="2"/>
      <c r="W757" s="2"/>
      <c r="X757" s="2"/>
      <c r="Y757" s="2"/>
      <c r="Z757" s="2"/>
    </row>
    <row r="758" spans="13:26" ht="15.75" customHeight="1" x14ac:dyDescent="0.15">
      <c r="M758" s="2"/>
      <c r="N758" s="2"/>
      <c r="O758" s="2"/>
      <c r="P758" s="2"/>
      <c r="Q758" s="2"/>
      <c r="R758" s="2"/>
      <c r="S758" s="2"/>
      <c r="T758" s="2"/>
      <c r="U758" s="49"/>
      <c r="V758" s="2"/>
      <c r="W758" s="2"/>
      <c r="X758" s="2"/>
      <c r="Y758" s="2"/>
      <c r="Z758" s="2"/>
    </row>
    <row r="759" spans="13:26" ht="15.75" customHeight="1" x14ac:dyDescent="0.15">
      <c r="M759" s="2"/>
      <c r="N759" s="2"/>
      <c r="O759" s="2"/>
      <c r="P759" s="2"/>
      <c r="Q759" s="2"/>
      <c r="R759" s="2"/>
      <c r="S759" s="2"/>
      <c r="T759" s="2"/>
      <c r="U759" s="49"/>
      <c r="V759" s="2"/>
      <c r="W759" s="2"/>
      <c r="X759" s="2"/>
      <c r="Y759" s="2"/>
      <c r="Z759" s="2"/>
    </row>
    <row r="760" spans="13:26" ht="15.75" customHeight="1" x14ac:dyDescent="0.15">
      <c r="M760" s="2"/>
      <c r="N760" s="2"/>
      <c r="O760" s="2"/>
      <c r="P760" s="2"/>
      <c r="Q760" s="2"/>
      <c r="R760" s="2"/>
      <c r="S760" s="2"/>
      <c r="T760" s="2"/>
      <c r="U760" s="49"/>
      <c r="V760" s="2"/>
      <c r="W760" s="2"/>
      <c r="X760" s="2"/>
      <c r="Y760" s="2"/>
      <c r="Z760" s="2"/>
    </row>
    <row r="761" spans="13:26" ht="15.75" customHeight="1" x14ac:dyDescent="0.15">
      <c r="M761" s="2"/>
      <c r="N761" s="2"/>
      <c r="O761" s="2"/>
      <c r="P761" s="2"/>
      <c r="Q761" s="2"/>
      <c r="R761" s="2"/>
      <c r="S761" s="2"/>
      <c r="T761" s="2"/>
      <c r="U761" s="49"/>
      <c r="V761" s="2"/>
      <c r="W761" s="2"/>
      <c r="X761" s="2"/>
      <c r="Y761" s="2"/>
      <c r="Z761" s="2"/>
    </row>
    <row r="762" spans="13:26" ht="15.75" customHeight="1" x14ac:dyDescent="0.15">
      <c r="M762" s="2"/>
      <c r="N762" s="2"/>
      <c r="O762" s="2"/>
      <c r="P762" s="2"/>
      <c r="Q762" s="2"/>
      <c r="R762" s="2"/>
      <c r="S762" s="2"/>
      <c r="T762" s="2"/>
      <c r="U762" s="49"/>
      <c r="V762" s="2"/>
      <c r="W762" s="2"/>
      <c r="X762" s="2"/>
      <c r="Y762" s="2"/>
      <c r="Z762" s="2"/>
    </row>
    <row r="763" spans="13:26" ht="15.75" customHeight="1" x14ac:dyDescent="0.15">
      <c r="M763" s="2"/>
      <c r="N763" s="2"/>
      <c r="O763" s="2"/>
      <c r="P763" s="2"/>
      <c r="Q763" s="2"/>
      <c r="R763" s="2"/>
      <c r="S763" s="2"/>
      <c r="T763" s="2"/>
      <c r="U763" s="49"/>
      <c r="V763" s="2"/>
      <c r="W763" s="2"/>
      <c r="X763" s="2"/>
      <c r="Y763" s="2"/>
      <c r="Z763" s="2"/>
    </row>
    <row r="764" spans="13:26" ht="15.75" customHeight="1" x14ac:dyDescent="0.15">
      <c r="M764" s="2"/>
      <c r="N764" s="2"/>
      <c r="O764" s="2"/>
      <c r="P764" s="2"/>
      <c r="Q764" s="2"/>
      <c r="R764" s="2"/>
      <c r="S764" s="2"/>
      <c r="T764" s="2"/>
      <c r="U764" s="49"/>
      <c r="V764" s="2"/>
      <c r="W764" s="2"/>
      <c r="X764" s="2"/>
      <c r="Y764" s="2"/>
      <c r="Z764" s="2"/>
    </row>
    <row r="765" spans="13:26" ht="15.75" customHeight="1" x14ac:dyDescent="0.15">
      <c r="M765" s="2"/>
      <c r="N765" s="2"/>
      <c r="O765" s="2"/>
      <c r="P765" s="2"/>
      <c r="Q765" s="2"/>
      <c r="R765" s="2"/>
      <c r="S765" s="2"/>
      <c r="T765" s="2"/>
      <c r="U765" s="49"/>
      <c r="V765" s="2"/>
      <c r="W765" s="2"/>
      <c r="X765" s="2"/>
      <c r="Y765" s="2"/>
      <c r="Z765" s="2"/>
    </row>
    <row r="766" spans="13:26" ht="15.75" customHeight="1" x14ac:dyDescent="0.15">
      <c r="M766" s="2"/>
      <c r="N766" s="2"/>
      <c r="O766" s="2"/>
      <c r="P766" s="2"/>
      <c r="Q766" s="2"/>
      <c r="R766" s="2"/>
      <c r="S766" s="2"/>
      <c r="T766" s="2"/>
      <c r="U766" s="49"/>
      <c r="V766" s="2"/>
      <c r="W766" s="2"/>
      <c r="X766" s="2"/>
      <c r="Y766" s="2"/>
      <c r="Z766" s="2"/>
    </row>
    <row r="767" spans="13:26" ht="15.75" customHeight="1" x14ac:dyDescent="0.15">
      <c r="M767" s="2"/>
      <c r="N767" s="2"/>
      <c r="O767" s="2"/>
      <c r="P767" s="2"/>
      <c r="Q767" s="2"/>
      <c r="R767" s="2"/>
      <c r="S767" s="2"/>
      <c r="T767" s="2"/>
      <c r="U767" s="49"/>
      <c r="V767" s="2"/>
      <c r="W767" s="2"/>
      <c r="X767" s="2"/>
      <c r="Y767" s="2"/>
      <c r="Z767" s="2"/>
    </row>
    <row r="768" spans="13:26" ht="15.75" customHeight="1" x14ac:dyDescent="0.15">
      <c r="M768" s="2"/>
      <c r="N768" s="2"/>
      <c r="O768" s="2"/>
      <c r="P768" s="2"/>
      <c r="Q768" s="2"/>
      <c r="R768" s="2"/>
      <c r="S768" s="2"/>
      <c r="T768" s="2"/>
      <c r="U768" s="49"/>
      <c r="V768" s="2"/>
      <c r="W768" s="2"/>
      <c r="X768" s="2"/>
      <c r="Y768" s="2"/>
      <c r="Z768" s="2"/>
    </row>
    <row r="769" spans="13:26" ht="15.75" customHeight="1" x14ac:dyDescent="0.15">
      <c r="M769" s="2"/>
      <c r="N769" s="2"/>
      <c r="O769" s="2"/>
      <c r="P769" s="2"/>
      <c r="Q769" s="2"/>
      <c r="R769" s="2"/>
      <c r="S769" s="2"/>
      <c r="T769" s="2"/>
      <c r="U769" s="49"/>
      <c r="V769" s="2"/>
      <c r="W769" s="2"/>
      <c r="X769" s="2"/>
      <c r="Y769" s="2"/>
      <c r="Z769" s="2"/>
    </row>
    <row r="770" spans="13:26" ht="15.75" customHeight="1" x14ac:dyDescent="0.15">
      <c r="M770" s="2"/>
      <c r="N770" s="2"/>
      <c r="O770" s="2"/>
      <c r="P770" s="2"/>
      <c r="Q770" s="2"/>
      <c r="R770" s="2"/>
      <c r="S770" s="2"/>
      <c r="T770" s="2"/>
      <c r="U770" s="49"/>
      <c r="V770" s="2"/>
      <c r="W770" s="2"/>
      <c r="X770" s="2"/>
      <c r="Y770" s="2"/>
      <c r="Z770" s="2"/>
    </row>
    <row r="771" spans="13:26" ht="15.75" customHeight="1" x14ac:dyDescent="0.15">
      <c r="M771" s="2"/>
      <c r="N771" s="2"/>
      <c r="O771" s="2"/>
      <c r="P771" s="2"/>
      <c r="Q771" s="2"/>
      <c r="R771" s="2"/>
      <c r="S771" s="2"/>
      <c r="T771" s="2"/>
      <c r="U771" s="49"/>
      <c r="V771" s="2"/>
      <c r="W771" s="2"/>
      <c r="X771" s="2"/>
      <c r="Y771" s="2"/>
      <c r="Z771" s="2"/>
    </row>
    <row r="772" spans="13:26" ht="15.75" customHeight="1" x14ac:dyDescent="0.15">
      <c r="M772" s="2"/>
      <c r="N772" s="2"/>
      <c r="O772" s="2"/>
      <c r="P772" s="2"/>
      <c r="Q772" s="2"/>
      <c r="R772" s="2"/>
      <c r="S772" s="2"/>
      <c r="T772" s="2"/>
      <c r="U772" s="49"/>
      <c r="V772" s="2"/>
      <c r="W772" s="2"/>
      <c r="X772" s="2"/>
      <c r="Y772" s="2"/>
      <c r="Z772" s="2"/>
    </row>
    <row r="773" spans="13:26" ht="15.75" customHeight="1" x14ac:dyDescent="0.15">
      <c r="M773" s="2"/>
      <c r="N773" s="2"/>
      <c r="O773" s="2"/>
      <c r="P773" s="2"/>
      <c r="Q773" s="2"/>
      <c r="R773" s="2"/>
      <c r="S773" s="2"/>
      <c r="T773" s="2"/>
      <c r="U773" s="49"/>
      <c r="V773" s="2"/>
      <c r="W773" s="2"/>
      <c r="X773" s="2"/>
      <c r="Y773" s="2"/>
      <c r="Z773" s="2"/>
    </row>
    <row r="774" spans="13:26" ht="15.75" customHeight="1" x14ac:dyDescent="0.15">
      <c r="M774" s="2"/>
      <c r="N774" s="2"/>
      <c r="O774" s="2"/>
      <c r="P774" s="2"/>
      <c r="Q774" s="2"/>
      <c r="R774" s="2"/>
      <c r="S774" s="2"/>
      <c r="T774" s="2"/>
      <c r="U774" s="49"/>
      <c r="V774" s="2"/>
      <c r="W774" s="2"/>
      <c r="X774" s="2"/>
      <c r="Y774" s="2"/>
      <c r="Z774" s="2"/>
    </row>
    <row r="775" spans="13:26" ht="15.75" customHeight="1" x14ac:dyDescent="0.15">
      <c r="M775" s="2"/>
      <c r="N775" s="2"/>
      <c r="O775" s="2"/>
      <c r="P775" s="2"/>
      <c r="Q775" s="2"/>
      <c r="R775" s="2"/>
      <c r="S775" s="2"/>
      <c r="T775" s="2"/>
      <c r="U775" s="49"/>
      <c r="V775" s="2"/>
      <c r="W775" s="2"/>
      <c r="X775" s="2"/>
      <c r="Y775" s="2"/>
      <c r="Z775" s="2"/>
    </row>
    <row r="776" spans="13:26" ht="15.75" customHeight="1" x14ac:dyDescent="0.15">
      <c r="M776" s="2"/>
      <c r="N776" s="2"/>
      <c r="O776" s="2"/>
      <c r="P776" s="2"/>
      <c r="Q776" s="2"/>
      <c r="R776" s="2"/>
      <c r="S776" s="2"/>
      <c r="T776" s="2"/>
      <c r="U776" s="49"/>
      <c r="V776" s="2"/>
      <c r="W776" s="2"/>
      <c r="X776" s="2"/>
      <c r="Y776" s="2"/>
      <c r="Z776" s="2"/>
    </row>
    <row r="777" spans="13:26" ht="15.75" customHeight="1" x14ac:dyDescent="0.15">
      <c r="M777" s="2"/>
      <c r="N777" s="2"/>
      <c r="O777" s="2"/>
      <c r="P777" s="2"/>
      <c r="Q777" s="2"/>
      <c r="R777" s="2"/>
      <c r="S777" s="2"/>
      <c r="T777" s="2"/>
      <c r="U777" s="49"/>
      <c r="V777" s="2"/>
      <c r="W777" s="2"/>
      <c r="X777" s="2"/>
      <c r="Y777" s="2"/>
      <c r="Z777" s="2"/>
    </row>
    <row r="778" spans="13:26" ht="15.75" customHeight="1" x14ac:dyDescent="0.15">
      <c r="M778" s="2"/>
      <c r="N778" s="2"/>
      <c r="O778" s="2"/>
      <c r="P778" s="2"/>
      <c r="Q778" s="2"/>
      <c r="R778" s="2"/>
      <c r="S778" s="2"/>
      <c r="T778" s="2"/>
      <c r="U778" s="49"/>
      <c r="V778" s="2"/>
      <c r="W778" s="2"/>
      <c r="X778" s="2"/>
      <c r="Y778" s="2"/>
      <c r="Z778" s="2"/>
    </row>
    <row r="779" spans="13:26" ht="15.75" customHeight="1" x14ac:dyDescent="0.15">
      <c r="M779" s="2"/>
      <c r="N779" s="2"/>
      <c r="O779" s="2"/>
      <c r="P779" s="2"/>
      <c r="Q779" s="2"/>
      <c r="R779" s="2"/>
      <c r="S779" s="2"/>
      <c r="T779" s="2"/>
      <c r="U779" s="49"/>
      <c r="V779" s="2"/>
      <c r="W779" s="2"/>
      <c r="X779" s="2"/>
      <c r="Y779" s="2"/>
      <c r="Z779" s="2"/>
    </row>
    <row r="780" spans="13:26" ht="15.75" customHeight="1" x14ac:dyDescent="0.15">
      <c r="M780" s="2"/>
      <c r="N780" s="2"/>
      <c r="O780" s="2"/>
      <c r="P780" s="2"/>
      <c r="Q780" s="2"/>
      <c r="R780" s="2"/>
      <c r="S780" s="2"/>
      <c r="T780" s="2"/>
      <c r="U780" s="49"/>
      <c r="V780" s="2"/>
      <c r="W780" s="2"/>
      <c r="X780" s="2"/>
      <c r="Y780" s="2"/>
      <c r="Z780" s="2"/>
    </row>
    <row r="781" spans="13:26" ht="15.75" customHeight="1" x14ac:dyDescent="0.15">
      <c r="M781" s="2"/>
      <c r="N781" s="2"/>
      <c r="O781" s="2"/>
      <c r="P781" s="2"/>
      <c r="Q781" s="2"/>
      <c r="R781" s="2"/>
      <c r="S781" s="2"/>
      <c r="T781" s="2"/>
      <c r="U781" s="49"/>
      <c r="V781" s="2"/>
      <c r="W781" s="2"/>
      <c r="X781" s="2"/>
      <c r="Y781" s="2"/>
      <c r="Z781" s="2"/>
    </row>
    <row r="782" spans="13:26" ht="15.75" customHeight="1" x14ac:dyDescent="0.15">
      <c r="M782" s="2"/>
      <c r="N782" s="2"/>
      <c r="O782" s="2"/>
      <c r="P782" s="2"/>
      <c r="Q782" s="2"/>
      <c r="R782" s="2"/>
      <c r="S782" s="2"/>
      <c r="T782" s="2"/>
      <c r="U782" s="49"/>
      <c r="V782" s="2"/>
      <c r="W782" s="2"/>
      <c r="X782" s="2"/>
      <c r="Y782" s="2"/>
      <c r="Z782" s="2"/>
    </row>
    <row r="783" spans="13:26" ht="15.75" customHeight="1" x14ac:dyDescent="0.15">
      <c r="M783" s="2"/>
      <c r="N783" s="2"/>
      <c r="O783" s="2"/>
      <c r="P783" s="2"/>
      <c r="Q783" s="2"/>
      <c r="R783" s="2"/>
      <c r="S783" s="2"/>
      <c r="T783" s="2"/>
      <c r="U783" s="49"/>
      <c r="V783" s="2"/>
      <c r="W783" s="2"/>
      <c r="X783" s="2"/>
      <c r="Y783" s="2"/>
      <c r="Z783" s="2"/>
    </row>
    <row r="784" spans="13:26" ht="15.75" customHeight="1" x14ac:dyDescent="0.15">
      <c r="M784" s="2"/>
      <c r="N784" s="2"/>
      <c r="O784" s="2"/>
      <c r="P784" s="2"/>
      <c r="Q784" s="2"/>
      <c r="R784" s="2"/>
      <c r="S784" s="2"/>
      <c r="T784" s="2"/>
      <c r="U784" s="49"/>
      <c r="V784" s="2"/>
      <c r="W784" s="2"/>
      <c r="X784" s="2"/>
      <c r="Y784" s="2"/>
      <c r="Z784" s="2"/>
    </row>
    <row r="785" spans="13:26" ht="15.75" customHeight="1" x14ac:dyDescent="0.15">
      <c r="M785" s="2"/>
      <c r="N785" s="2"/>
      <c r="O785" s="2"/>
      <c r="P785" s="2"/>
      <c r="Q785" s="2"/>
      <c r="R785" s="2"/>
      <c r="S785" s="2"/>
      <c r="T785" s="2"/>
      <c r="U785" s="49"/>
      <c r="V785" s="2"/>
      <c r="W785" s="2"/>
      <c r="X785" s="2"/>
      <c r="Y785" s="2"/>
      <c r="Z785" s="2"/>
    </row>
    <row r="786" spans="13:26" ht="15.75" customHeight="1" x14ac:dyDescent="0.15">
      <c r="M786" s="2"/>
      <c r="N786" s="2"/>
      <c r="O786" s="2"/>
      <c r="P786" s="2"/>
      <c r="Q786" s="2"/>
      <c r="R786" s="2"/>
      <c r="S786" s="2"/>
      <c r="T786" s="2"/>
      <c r="U786" s="49"/>
      <c r="V786" s="2"/>
      <c r="W786" s="2"/>
      <c r="X786" s="2"/>
      <c r="Y786" s="2"/>
      <c r="Z786" s="2"/>
    </row>
    <row r="787" spans="13:26" ht="15.75" customHeight="1" x14ac:dyDescent="0.15">
      <c r="M787" s="2"/>
      <c r="N787" s="2"/>
      <c r="O787" s="2"/>
      <c r="P787" s="2"/>
      <c r="Q787" s="2"/>
      <c r="R787" s="2"/>
      <c r="S787" s="2"/>
      <c r="T787" s="2"/>
      <c r="U787" s="49"/>
      <c r="V787" s="2"/>
      <c r="W787" s="2"/>
      <c r="X787" s="2"/>
      <c r="Y787" s="2"/>
      <c r="Z787" s="2"/>
    </row>
    <row r="788" spans="13:26" ht="15.75" customHeight="1" x14ac:dyDescent="0.15">
      <c r="M788" s="2"/>
      <c r="N788" s="2"/>
      <c r="O788" s="2"/>
      <c r="P788" s="2"/>
      <c r="Q788" s="2"/>
      <c r="R788" s="2"/>
      <c r="S788" s="2"/>
      <c r="T788" s="2"/>
      <c r="U788" s="49"/>
      <c r="V788" s="2"/>
      <c r="W788" s="2"/>
      <c r="X788" s="2"/>
      <c r="Y788" s="2"/>
      <c r="Z788" s="2"/>
    </row>
    <row r="789" spans="13:26" ht="15.75" customHeight="1" x14ac:dyDescent="0.15">
      <c r="M789" s="2"/>
      <c r="N789" s="2"/>
      <c r="O789" s="2"/>
      <c r="P789" s="2"/>
      <c r="Q789" s="2"/>
      <c r="R789" s="2"/>
      <c r="S789" s="2"/>
      <c r="T789" s="2"/>
      <c r="U789" s="49"/>
      <c r="V789" s="2"/>
      <c r="W789" s="2"/>
      <c r="X789" s="2"/>
      <c r="Y789" s="2"/>
      <c r="Z789" s="2"/>
    </row>
    <row r="790" spans="13:26" ht="15.75" customHeight="1" x14ac:dyDescent="0.15">
      <c r="M790" s="2"/>
      <c r="N790" s="2"/>
      <c r="O790" s="2"/>
      <c r="P790" s="2"/>
      <c r="Q790" s="2"/>
      <c r="R790" s="2"/>
      <c r="S790" s="2"/>
      <c r="T790" s="2"/>
      <c r="U790" s="49"/>
      <c r="V790" s="2"/>
      <c r="W790" s="2"/>
      <c r="X790" s="2"/>
      <c r="Y790" s="2"/>
      <c r="Z790" s="2"/>
    </row>
    <row r="791" spans="13:26" ht="15.75" customHeight="1" x14ac:dyDescent="0.15">
      <c r="M791" s="2"/>
      <c r="N791" s="2"/>
      <c r="O791" s="2"/>
      <c r="P791" s="2"/>
      <c r="Q791" s="2"/>
      <c r="R791" s="2"/>
      <c r="S791" s="2"/>
      <c r="T791" s="2"/>
      <c r="U791" s="49"/>
      <c r="V791" s="2"/>
      <c r="W791" s="2"/>
      <c r="X791" s="2"/>
      <c r="Y791" s="2"/>
      <c r="Z791" s="2"/>
    </row>
    <row r="792" spans="13:26" ht="15.75" customHeight="1" x14ac:dyDescent="0.15">
      <c r="M792" s="2"/>
      <c r="N792" s="2"/>
      <c r="O792" s="2"/>
      <c r="P792" s="2"/>
      <c r="Q792" s="2"/>
      <c r="R792" s="2"/>
      <c r="S792" s="2"/>
      <c r="T792" s="2"/>
      <c r="U792" s="49"/>
      <c r="V792" s="2"/>
      <c r="W792" s="2"/>
      <c r="X792" s="2"/>
      <c r="Y792" s="2"/>
      <c r="Z792" s="2"/>
    </row>
    <row r="793" spans="13:26" ht="15.75" customHeight="1" x14ac:dyDescent="0.15">
      <c r="M793" s="2"/>
      <c r="N793" s="2"/>
      <c r="O793" s="2"/>
      <c r="P793" s="2"/>
      <c r="Q793" s="2"/>
      <c r="R793" s="2"/>
      <c r="S793" s="2"/>
      <c r="T793" s="2"/>
      <c r="U793" s="49"/>
      <c r="V793" s="2"/>
      <c r="W793" s="2"/>
      <c r="X793" s="2"/>
      <c r="Y793" s="2"/>
      <c r="Z793" s="2"/>
    </row>
    <row r="794" spans="13:26" ht="15.75" customHeight="1" x14ac:dyDescent="0.15">
      <c r="M794" s="2"/>
      <c r="N794" s="2"/>
      <c r="O794" s="2"/>
      <c r="P794" s="2"/>
      <c r="Q794" s="2"/>
      <c r="R794" s="2"/>
      <c r="S794" s="2"/>
      <c r="T794" s="2"/>
      <c r="U794" s="49"/>
      <c r="V794" s="2"/>
      <c r="W794" s="2"/>
      <c r="X794" s="2"/>
      <c r="Y794" s="2"/>
      <c r="Z794" s="2"/>
    </row>
    <row r="795" spans="13:26" ht="15.75" customHeight="1" x14ac:dyDescent="0.15">
      <c r="M795" s="2"/>
      <c r="N795" s="2"/>
      <c r="O795" s="2"/>
      <c r="P795" s="2"/>
      <c r="Q795" s="2"/>
      <c r="R795" s="2"/>
      <c r="S795" s="2"/>
      <c r="T795" s="2"/>
      <c r="U795" s="49"/>
      <c r="V795" s="2"/>
      <c r="W795" s="2"/>
      <c r="X795" s="2"/>
      <c r="Y795" s="2"/>
      <c r="Z795" s="2"/>
    </row>
    <row r="796" spans="13:26" ht="15.75" customHeight="1" x14ac:dyDescent="0.15">
      <c r="M796" s="2"/>
      <c r="N796" s="2"/>
      <c r="O796" s="2"/>
      <c r="P796" s="2"/>
      <c r="Q796" s="2"/>
      <c r="R796" s="2"/>
      <c r="S796" s="2"/>
      <c r="T796" s="2"/>
      <c r="U796" s="49"/>
      <c r="V796" s="2"/>
      <c r="W796" s="2"/>
      <c r="X796" s="2"/>
      <c r="Y796" s="2"/>
      <c r="Z796" s="2"/>
    </row>
    <row r="797" spans="13:26" ht="15.75" customHeight="1" x14ac:dyDescent="0.15">
      <c r="M797" s="2"/>
      <c r="N797" s="2"/>
      <c r="O797" s="2"/>
      <c r="P797" s="2"/>
      <c r="Q797" s="2"/>
      <c r="R797" s="2"/>
      <c r="S797" s="2"/>
      <c r="T797" s="2"/>
      <c r="U797" s="49"/>
      <c r="V797" s="2"/>
      <c r="W797" s="2"/>
      <c r="X797" s="2"/>
      <c r="Y797" s="2"/>
      <c r="Z797" s="2"/>
    </row>
    <row r="798" spans="13:26" ht="15.75" customHeight="1" x14ac:dyDescent="0.15">
      <c r="M798" s="2"/>
      <c r="N798" s="2"/>
      <c r="O798" s="2"/>
      <c r="P798" s="2"/>
      <c r="Q798" s="2"/>
      <c r="R798" s="2"/>
      <c r="S798" s="2"/>
      <c r="T798" s="2"/>
      <c r="U798" s="49"/>
      <c r="V798" s="2"/>
      <c r="W798" s="2"/>
      <c r="X798" s="2"/>
      <c r="Y798" s="2"/>
      <c r="Z798" s="2"/>
    </row>
    <row r="799" spans="13:26" ht="15.75" customHeight="1" x14ac:dyDescent="0.15">
      <c r="M799" s="2"/>
      <c r="N799" s="2"/>
      <c r="O799" s="2"/>
      <c r="P799" s="2"/>
      <c r="Q799" s="2"/>
      <c r="R799" s="2"/>
      <c r="S799" s="2"/>
      <c r="T799" s="2"/>
      <c r="U799" s="49"/>
      <c r="V799" s="2"/>
      <c r="W799" s="2"/>
      <c r="X799" s="2"/>
      <c r="Y799" s="2"/>
      <c r="Z799" s="2"/>
    </row>
    <row r="800" spans="13:26" ht="15.75" customHeight="1" x14ac:dyDescent="0.15">
      <c r="M800" s="2"/>
      <c r="N800" s="2"/>
      <c r="O800" s="2"/>
      <c r="P800" s="2"/>
      <c r="Q800" s="2"/>
      <c r="R800" s="2"/>
      <c r="S800" s="2"/>
      <c r="T800" s="2"/>
      <c r="U800" s="49"/>
      <c r="V800" s="2"/>
      <c r="W800" s="2"/>
      <c r="X800" s="2"/>
      <c r="Y800" s="2"/>
      <c r="Z800" s="2"/>
    </row>
    <row r="801" spans="13:26" ht="15.75" customHeight="1" x14ac:dyDescent="0.15">
      <c r="M801" s="2"/>
      <c r="N801" s="2"/>
      <c r="O801" s="2"/>
      <c r="P801" s="2"/>
      <c r="Q801" s="2"/>
      <c r="R801" s="2"/>
      <c r="S801" s="2"/>
      <c r="T801" s="2"/>
      <c r="U801" s="49"/>
      <c r="V801" s="2"/>
      <c r="W801" s="2"/>
      <c r="X801" s="2"/>
      <c r="Y801" s="2"/>
      <c r="Z801" s="2"/>
    </row>
    <row r="802" spans="13:26" ht="15.75" customHeight="1" x14ac:dyDescent="0.15">
      <c r="M802" s="2"/>
      <c r="N802" s="2"/>
      <c r="O802" s="2"/>
      <c r="P802" s="2"/>
      <c r="Q802" s="2"/>
      <c r="R802" s="2"/>
      <c r="S802" s="2"/>
      <c r="T802" s="2"/>
      <c r="U802" s="49"/>
      <c r="V802" s="2"/>
      <c r="W802" s="2"/>
      <c r="X802" s="2"/>
      <c r="Y802" s="2"/>
      <c r="Z802" s="2"/>
    </row>
    <row r="803" spans="13:26" ht="15.75" customHeight="1" x14ac:dyDescent="0.15">
      <c r="M803" s="2"/>
      <c r="N803" s="2"/>
      <c r="O803" s="2"/>
      <c r="P803" s="2"/>
      <c r="Q803" s="2"/>
      <c r="R803" s="2"/>
      <c r="S803" s="2"/>
      <c r="T803" s="2"/>
      <c r="U803" s="49"/>
      <c r="V803" s="2"/>
      <c r="W803" s="2"/>
      <c r="X803" s="2"/>
      <c r="Y803" s="2"/>
      <c r="Z803" s="2"/>
    </row>
    <row r="804" spans="13:26" ht="15.75" customHeight="1" x14ac:dyDescent="0.15">
      <c r="M804" s="2"/>
      <c r="N804" s="2"/>
      <c r="O804" s="2"/>
      <c r="P804" s="2"/>
      <c r="Q804" s="2"/>
      <c r="R804" s="2"/>
      <c r="S804" s="2"/>
      <c r="T804" s="2"/>
      <c r="U804" s="49"/>
      <c r="V804" s="2"/>
      <c r="W804" s="2"/>
      <c r="X804" s="2"/>
      <c r="Y804" s="2"/>
      <c r="Z804" s="2"/>
    </row>
    <row r="805" spans="13:26" ht="15.75" customHeight="1" x14ac:dyDescent="0.15">
      <c r="M805" s="2"/>
      <c r="N805" s="2"/>
      <c r="O805" s="2"/>
      <c r="P805" s="2"/>
      <c r="Q805" s="2"/>
      <c r="R805" s="2"/>
      <c r="S805" s="2"/>
      <c r="T805" s="2"/>
      <c r="U805" s="49"/>
      <c r="V805" s="2"/>
      <c r="W805" s="2"/>
      <c r="X805" s="2"/>
      <c r="Y805" s="2"/>
      <c r="Z805" s="2"/>
    </row>
    <row r="806" spans="13:26" ht="15.75" customHeight="1" x14ac:dyDescent="0.15">
      <c r="M806" s="2"/>
      <c r="N806" s="2"/>
      <c r="O806" s="2"/>
      <c r="P806" s="2"/>
      <c r="Q806" s="2"/>
      <c r="R806" s="2"/>
      <c r="S806" s="2"/>
      <c r="T806" s="2"/>
      <c r="U806" s="49"/>
      <c r="V806" s="2"/>
      <c r="W806" s="2"/>
      <c r="X806" s="2"/>
      <c r="Y806" s="2"/>
      <c r="Z806" s="2"/>
    </row>
    <row r="807" spans="13:26" ht="15.75" customHeight="1" x14ac:dyDescent="0.15">
      <c r="M807" s="2"/>
      <c r="N807" s="2"/>
      <c r="O807" s="2"/>
      <c r="P807" s="2"/>
      <c r="Q807" s="2"/>
      <c r="R807" s="2"/>
      <c r="S807" s="2"/>
      <c r="T807" s="2"/>
      <c r="U807" s="49"/>
      <c r="V807" s="2"/>
      <c r="W807" s="2"/>
      <c r="X807" s="2"/>
      <c r="Y807" s="2"/>
      <c r="Z807" s="2"/>
    </row>
    <row r="808" spans="13:26" ht="15.75" customHeight="1" x14ac:dyDescent="0.15">
      <c r="M808" s="2"/>
      <c r="N808" s="2"/>
      <c r="O808" s="2"/>
      <c r="P808" s="2"/>
      <c r="Q808" s="2"/>
      <c r="R808" s="2"/>
      <c r="S808" s="2"/>
      <c r="T808" s="2"/>
      <c r="U808" s="49"/>
      <c r="V808" s="2"/>
      <c r="W808" s="2"/>
      <c r="X808" s="2"/>
      <c r="Y808" s="2"/>
      <c r="Z808" s="2"/>
    </row>
    <row r="809" spans="13:26" ht="15.75" customHeight="1" x14ac:dyDescent="0.15">
      <c r="M809" s="2"/>
      <c r="N809" s="2"/>
      <c r="O809" s="2"/>
      <c r="P809" s="2"/>
      <c r="Q809" s="2"/>
      <c r="R809" s="2"/>
      <c r="S809" s="2"/>
      <c r="T809" s="2"/>
      <c r="U809" s="49"/>
      <c r="V809" s="2"/>
      <c r="W809" s="2"/>
      <c r="X809" s="2"/>
      <c r="Y809" s="2"/>
      <c r="Z809" s="2"/>
    </row>
    <row r="810" spans="13:26" ht="15.75" customHeight="1" x14ac:dyDescent="0.15">
      <c r="M810" s="2"/>
      <c r="N810" s="2"/>
      <c r="O810" s="2"/>
      <c r="P810" s="2"/>
      <c r="Q810" s="2"/>
      <c r="R810" s="2"/>
      <c r="S810" s="2"/>
      <c r="T810" s="2"/>
      <c r="U810" s="49"/>
      <c r="V810" s="2"/>
      <c r="W810" s="2"/>
      <c r="X810" s="2"/>
      <c r="Y810" s="2"/>
      <c r="Z810" s="2"/>
    </row>
    <row r="811" spans="13:26" ht="15.75" customHeight="1" x14ac:dyDescent="0.15">
      <c r="M811" s="2"/>
      <c r="N811" s="2"/>
      <c r="O811" s="2"/>
      <c r="P811" s="2"/>
      <c r="Q811" s="2"/>
      <c r="R811" s="2"/>
      <c r="S811" s="2"/>
      <c r="T811" s="2"/>
      <c r="U811" s="49"/>
      <c r="V811" s="2"/>
      <c r="W811" s="2"/>
      <c r="X811" s="2"/>
      <c r="Y811" s="2"/>
      <c r="Z811" s="2"/>
    </row>
    <row r="812" spans="13:26" ht="15.75" customHeight="1" x14ac:dyDescent="0.15">
      <c r="M812" s="2"/>
      <c r="N812" s="2"/>
      <c r="O812" s="2"/>
      <c r="P812" s="2"/>
      <c r="Q812" s="2"/>
      <c r="R812" s="2"/>
      <c r="S812" s="2"/>
      <c r="T812" s="2"/>
      <c r="U812" s="49"/>
      <c r="V812" s="2"/>
      <c r="W812" s="2"/>
      <c r="X812" s="2"/>
      <c r="Y812" s="2"/>
      <c r="Z812" s="2"/>
    </row>
    <row r="813" spans="13:26" ht="15.75" customHeight="1" x14ac:dyDescent="0.15">
      <c r="M813" s="2"/>
      <c r="N813" s="2"/>
      <c r="O813" s="2"/>
      <c r="P813" s="2"/>
      <c r="Q813" s="2"/>
      <c r="R813" s="2"/>
      <c r="S813" s="2"/>
      <c r="T813" s="2"/>
      <c r="U813" s="49"/>
      <c r="V813" s="2"/>
      <c r="W813" s="2"/>
      <c r="X813" s="2"/>
      <c r="Y813" s="2"/>
      <c r="Z813" s="2"/>
    </row>
    <row r="814" spans="13:26" ht="15.75" customHeight="1" x14ac:dyDescent="0.15">
      <c r="M814" s="2"/>
      <c r="N814" s="2"/>
      <c r="O814" s="2"/>
      <c r="P814" s="2"/>
      <c r="Q814" s="2"/>
      <c r="R814" s="2"/>
      <c r="S814" s="2"/>
      <c r="T814" s="2"/>
      <c r="U814" s="49"/>
      <c r="V814" s="2"/>
      <c r="W814" s="2"/>
      <c r="X814" s="2"/>
      <c r="Y814" s="2"/>
      <c r="Z814" s="2"/>
    </row>
    <row r="815" spans="13:26" ht="15.75" customHeight="1" x14ac:dyDescent="0.15">
      <c r="M815" s="2"/>
      <c r="N815" s="2"/>
      <c r="O815" s="2"/>
      <c r="P815" s="2"/>
      <c r="Q815" s="2"/>
      <c r="R815" s="2"/>
      <c r="S815" s="2"/>
      <c r="T815" s="2"/>
      <c r="U815" s="49"/>
      <c r="V815" s="2"/>
      <c r="W815" s="2"/>
      <c r="X815" s="2"/>
      <c r="Y815" s="2"/>
      <c r="Z815" s="2"/>
    </row>
    <row r="816" spans="13:26" ht="15.75" customHeight="1" x14ac:dyDescent="0.15">
      <c r="M816" s="2"/>
      <c r="N816" s="2"/>
      <c r="O816" s="2"/>
      <c r="P816" s="2"/>
      <c r="Q816" s="2"/>
      <c r="R816" s="2"/>
      <c r="S816" s="2"/>
      <c r="T816" s="2"/>
      <c r="U816" s="49"/>
      <c r="V816" s="2"/>
      <c r="W816" s="2"/>
      <c r="X816" s="2"/>
      <c r="Y816" s="2"/>
      <c r="Z816" s="2"/>
    </row>
    <row r="817" spans="13:26" ht="15.75" customHeight="1" x14ac:dyDescent="0.15">
      <c r="M817" s="2"/>
      <c r="N817" s="2"/>
      <c r="O817" s="2"/>
      <c r="P817" s="2"/>
      <c r="Q817" s="2"/>
      <c r="R817" s="2"/>
      <c r="S817" s="2"/>
      <c r="T817" s="2"/>
      <c r="U817" s="49"/>
      <c r="V817" s="2"/>
      <c r="W817" s="2"/>
      <c r="X817" s="2"/>
      <c r="Y817" s="2"/>
      <c r="Z817" s="2"/>
    </row>
    <row r="818" spans="13:26" ht="15.75" customHeight="1" x14ac:dyDescent="0.15">
      <c r="M818" s="2"/>
      <c r="N818" s="2"/>
      <c r="O818" s="2"/>
      <c r="P818" s="2"/>
      <c r="Q818" s="2"/>
      <c r="R818" s="2"/>
      <c r="S818" s="2"/>
      <c r="T818" s="2"/>
      <c r="U818" s="49"/>
      <c r="V818" s="2"/>
      <c r="W818" s="2"/>
      <c r="X818" s="2"/>
      <c r="Y818" s="2"/>
      <c r="Z818" s="2"/>
    </row>
    <row r="819" spans="13:26" ht="15.75" customHeight="1" x14ac:dyDescent="0.15">
      <c r="M819" s="2"/>
      <c r="N819" s="2"/>
      <c r="O819" s="2"/>
      <c r="P819" s="2"/>
      <c r="Q819" s="2"/>
      <c r="R819" s="2"/>
      <c r="S819" s="2"/>
      <c r="T819" s="2"/>
      <c r="U819" s="49"/>
      <c r="V819" s="2"/>
      <c r="W819" s="2"/>
      <c r="X819" s="2"/>
      <c r="Y819" s="2"/>
      <c r="Z819" s="2"/>
    </row>
    <row r="820" spans="13:26" ht="15.75" customHeight="1" x14ac:dyDescent="0.15">
      <c r="M820" s="2"/>
      <c r="N820" s="2"/>
      <c r="O820" s="2"/>
      <c r="P820" s="2"/>
      <c r="Q820" s="2"/>
      <c r="R820" s="2"/>
      <c r="S820" s="2"/>
      <c r="T820" s="2"/>
      <c r="U820" s="49"/>
      <c r="V820" s="2"/>
      <c r="W820" s="2"/>
      <c r="X820" s="2"/>
      <c r="Y820" s="2"/>
      <c r="Z820" s="2"/>
    </row>
    <row r="821" spans="13:26" ht="15.75" customHeight="1" x14ac:dyDescent="0.15">
      <c r="M821" s="2"/>
      <c r="N821" s="2"/>
      <c r="O821" s="2"/>
      <c r="P821" s="2"/>
      <c r="Q821" s="2"/>
      <c r="R821" s="2"/>
      <c r="S821" s="2"/>
      <c r="T821" s="2"/>
      <c r="U821" s="49"/>
      <c r="V821" s="2"/>
      <c r="W821" s="2"/>
      <c r="X821" s="2"/>
      <c r="Y821" s="2"/>
      <c r="Z821" s="2"/>
    </row>
    <row r="822" spans="13:26" ht="15.75" customHeight="1" x14ac:dyDescent="0.15">
      <c r="M822" s="2"/>
      <c r="N822" s="2"/>
      <c r="O822" s="2"/>
      <c r="P822" s="2"/>
      <c r="Q822" s="2"/>
      <c r="R822" s="2"/>
      <c r="S822" s="2"/>
      <c r="T822" s="2"/>
      <c r="U822" s="49"/>
      <c r="V822" s="2"/>
      <c r="W822" s="2"/>
      <c r="X822" s="2"/>
      <c r="Y822" s="2"/>
      <c r="Z822" s="2"/>
    </row>
    <row r="823" spans="13:26" ht="15.75" customHeight="1" x14ac:dyDescent="0.15">
      <c r="M823" s="2"/>
      <c r="N823" s="2"/>
      <c r="O823" s="2"/>
      <c r="P823" s="2"/>
      <c r="Q823" s="2"/>
      <c r="R823" s="2"/>
      <c r="S823" s="2"/>
      <c r="T823" s="2"/>
      <c r="U823" s="49"/>
      <c r="V823" s="2"/>
      <c r="W823" s="2"/>
      <c r="X823" s="2"/>
      <c r="Y823" s="2"/>
      <c r="Z823" s="2"/>
    </row>
    <row r="824" spans="13:26" ht="15.75" customHeight="1" x14ac:dyDescent="0.15">
      <c r="M824" s="2"/>
      <c r="N824" s="2"/>
      <c r="O824" s="2"/>
      <c r="P824" s="2"/>
      <c r="Q824" s="2"/>
      <c r="R824" s="2"/>
      <c r="S824" s="2"/>
      <c r="T824" s="2"/>
      <c r="U824" s="49"/>
      <c r="V824" s="2"/>
      <c r="W824" s="2"/>
      <c r="X824" s="2"/>
      <c r="Y824" s="2"/>
      <c r="Z824" s="2"/>
    </row>
    <row r="825" spans="13:26" ht="15.75" customHeight="1" x14ac:dyDescent="0.15">
      <c r="M825" s="2"/>
      <c r="N825" s="2"/>
      <c r="O825" s="2"/>
      <c r="P825" s="2"/>
      <c r="Q825" s="2"/>
      <c r="R825" s="2"/>
      <c r="S825" s="2"/>
      <c r="T825" s="2"/>
      <c r="U825" s="49"/>
      <c r="V825" s="2"/>
      <c r="W825" s="2"/>
      <c r="X825" s="2"/>
      <c r="Y825" s="2"/>
      <c r="Z825" s="2"/>
    </row>
    <row r="826" spans="13:26" ht="15.75" customHeight="1" x14ac:dyDescent="0.15">
      <c r="M826" s="2"/>
      <c r="N826" s="2"/>
      <c r="O826" s="2"/>
      <c r="P826" s="2"/>
      <c r="Q826" s="2"/>
      <c r="R826" s="2"/>
      <c r="S826" s="2"/>
      <c r="T826" s="2"/>
      <c r="U826" s="49"/>
      <c r="V826" s="2"/>
      <c r="W826" s="2"/>
      <c r="X826" s="2"/>
      <c r="Y826" s="2"/>
      <c r="Z826" s="2"/>
    </row>
    <row r="827" spans="13:26" ht="15.75" customHeight="1" x14ac:dyDescent="0.15">
      <c r="M827" s="2"/>
      <c r="N827" s="2"/>
      <c r="O827" s="2"/>
      <c r="P827" s="2"/>
      <c r="Q827" s="2"/>
      <c r="R827" s="2"/>
      <c r="S827" s="2"/>
      <c r="T827" s="2"/>
      <c r="U827" s="49"/>
      <c r="V827" s="2"/>
      <c r="W827" s="2"/>
      <c r="X827" s="2"/>
      <c r="Y827" s="2"/>
      <c r="Z827" s="2"/>
    </row>
    <row r="828" spans="13:26" ht="15.75" customHeight="1" x14ac:dyDescent="0.15">
      <c r="M828" s="2"/>
      <c r="N828" s="2"/>
      <c r="O828" s="2"/>
      <c r="P828" s="2"/>
      <c r="Q828" s="2"/>
      <c r="R828" s="2"/>
      <c r="S828" s="2"/>
      <c r="T828" s="2"/>
      <c r="U828" s="49"/>
      <c r="V828" s="2"/>
      <c r="W828" s="2"/>
      <c r="X828" s="2"/>
      <c r="Y828" s="2"/>
      <c r="Z828" s="2"/>
    </row>
    <row r="829" spans="13:26" ht="15.75" customHeight="1" x14ac:dyDescent="0.15">
      <c r="M829" s="2"/>
      <c r="N829" s="2"/>
      <c r="O829" s="2"/>
      <c r="P829" s="2"/>
      <c r="Q829" s="2"/>
      <c r="R829" s="2"/>
      <c r="S829" s="2"/>
      <c r="T829" s="2"/>
      <c r="U829" s="49"/>
      <c r="V829" s="2"/>
      <c r="W829" s="2"/>
      <c r="X829" s="2"/>
      <c r="Y829" s="2"/>
      <c r="Z829" s="2"/>
    </row>
    <row r="830" spans="13:26" ht="15.75" customHeight="1" x14ac:dyDescent="0.15">
      <c r="M830" s="2"/>
      <c r="N830" s="2"/>
      <c r="O830" s="2"/>
      <c r="P830" s="2"/>
      <c r="Q830" s="2"/>
      <c r="R830" s="2"/>
      <c r="S830" s="2"/>
      <c r="T830" s="2"/>
      <c r="U830" s="49"/>
      <c r="V830" s="2"/>
      <c r="W830" s="2"/>
      <c r="X830" s="2"/>
      <c r="Y830" s="2"/>
      <c r="Z830" s="2"/>
    </row>
    <row r="831" spans="13:26" ht="15.75" customHeight="1" x14ac:dyDescent="0.15">
      <c r="M831" s="2"/>
      <c r="N831" s="2"/>
      <c r="O831" s="2"/>
      <c r="P831" s="2"/>
      <c r="Q831" s="2"/>
      <c r="R831" s="2"/>
      <c r="S831" s="2"/>
      <c r="T831" s="2"/>
      <c r="U831" s="49"/>
      <c r="V831" s="2"/>
      <c r="W831" s="2"/>
      <c r="X831" s="2"/>
      <c r="Y831" s="2"/>
      <c r="Z831" s="2"/>
    </row>
    <row r="832" spans="13:26" ht="15.75" customHeight="1" x14ac:dyDescent="0.15">
      <c r="M832" s="2"/>
      <c r="N832" s="2"/>
      <c r="O832" s="2"/>
      <c r="P832" s="2"/>
      <c r="Q832" s="2"/>
      <c r="R832" s="2"/>
      <c r="S832" s="2"/>
      <c r="T832" s="2"/>
      <c r="U832" s="49"/>
      <c r="V832" s="2"/>
      <c r="W832" s="2"/>
      <c r="X832" s="2"/>
      <c r="Y832" s="2"/>
      <c r="Z832" s="2"/>
    </row>
    <row r="833" spans="13:26" ht="15.75" customHeight="1" x14ac:dyDescent="0.15">
      <c r="M833" s="2"/>
      <c r="N833" s="2"/>
      <c r="O833" s="2"/>
      <c r="P833" s="2"/>
      <c r="Q833" s="2"/>
      <c r="R833" s="2"/>
      <c r="S833" s="2"/>
      <c r="T833" s="2"/>
      <c r="U833" s="49"/>
      <c r="V833" s="2"/>
      <c r="W833" s="2"/>
      <c r="X833" s="2"/>
      <c r="Y833" s="2"/>
      <c r="Z833" s="2"/>
    </row>
    <row r="834" spans="13:26" ht="15.75" customHeight="1" x14ac:dyDescent="0.15">
      <c r="M834" s="2"/>
      <c r="N834" s="2"/>
      <c r="O834" s="2"/>
      <c r="P834" s="2"/>
      <c r="Q834" s="2"/>
      <c r="R834" s="2"/>
      <c r="S834" s="2"/>
      <c r="T834" s="2"/>
      <c r="U834" s="49"/>
      <c r="V834" s="2"/>
      <c r="W834" s="2"/>
      <c r="X834" s="2"/>
      <c r="Y834" s="2"/>
      <c r="Z834" s="2"/>
    </row>
    <row r="835" spans="13:26" ht="15.75" customHeight="1" x14ac:dyDescent="0.15">
      <c r="M835" s="2"/>
      <c r="N835" s="2"/>
      <c r="O835" s="2"/>
      <c r="P835" s="2"/>
      <c r="Q835" s="2"/>
      <c r="R835" s="2"/>
      <c r="S835" s="2"/>
      <c r="T835" s="2"/>
      <c r="U835" s="49"/>
      <c r="V835" s="2"/>
      <c r="W835" s="2"/>
      <c r="X835" s="2"/>
      <c r="Y835" s="2"/>
      <c r="Z835" s="2"/>
    </row>
    <row r="836" spans="13:26" ht="15.75" customHeight="1" x14ac:dyDescent="0.15">
      <c r="M836" s="2"/>
      <c r="N836" s="2"/>
      <c r="O836" s="2"/>
      <c r="P836" s="2"/>
      <c r="Q836" s="2"/>
      <c r="R836" s="2"/>
      <c r="S836" s="2"/>
      <c r="T836" s="2"/>
      <c r="U836" s="49"/>
      <c r="V836" s="2"/>
      <c r="W836" s="2"/>
      <c r="X836" s="2"/>
      <c r="Y836" s="2"/>
      <c r="Z836" s="2"/>
    </row>
    <row r="837" spans="13:26" ht="15.75" customHeight="1" x14ac:dyDescent="0.15">
      <c r="M837" s="2"/>
      <c r="N837" s="2"/>
      <c r="O837" s="2"/>
      <c r="P837" s="2"/>
      <c r="Q837" s="2"/>
      <c r="R837" s="2"/>
      <c r="S837" s="2"/>
      <c r="T837" s="2"/>
      <c r="U837" s="49"/>
      <c r="V837" s="2"/>
      <c r="W837" s="2"/>
      <c r="X837" s="2"/>
      <c r="Y837" s="2"/>
      <c r="Z837" s="2"/>
    </row>
    <row r="838" spans="13:26" ht="15.75" customHeight="1" x14ac:dyDescent="0.15">
      <c r="M838" s="2"/>
      <c r="N838" s="2"/>
      <c r="O838" s="2"/>
      <c r="P838" s="2"/>
      <c r="Q838" s="2"/>
      <c r="R838" s="2"/>
      <c r="S838" s="2"/>
      <c r="T838" s="2"/>
      <c r="U838" s="49"/>
      <c r="V838" s="2"/>
      <c r="W838" s="2"/>
      <c r="X838" s="2"/>
      <c r="Y838" s="2"/>
      <c r="Z838" s="2"/>
    </row>
    <row r="839" spans="13:26" ht="15.75" customHeight="1" x14ac:dyDescent="0.15">
      <c r="M839" s="2"/>
      <c r="N839" s="2"/>
      <c r="O839" s="2"/>
      <c r="P839" s="2"/>
      <c r="Q839" s="2"/>
      <c r="R839" s="2"/>
      <c r="S839" s="2"/>
      <c r="T839" s="2"/>
      <c r="U839" s="49"/>
      <c r="V839" s="2"/>
      <c r="W839" s="2"/>
      <c r="X839" s="2"/>
      <c r="Y839" s="2"/>
      <c r="Z839" s="2"/>
    </row>
    <row r="840" spans="13:26" ht="15.75" customHeight="1" x14ac:dyDescent="0.15">
      <c r="M840" s="2"/>
      <c r="N840" s="2"/>
      <c r="O840" s="2"/>
      <c r="P840" s="2"/>
      <c r="Q840" s="2"/>
      <c r="R840" s="2"/>
      <c r="S840" s="2"/>
      <c r="T840" s="2"/>
      <c r="U840" s="49"/>
      <c r="V840" s="2"/>
      <c r="W840" s="2"/>
      <c r="X840" s="2"/>
      <c r="Y840" s="2"/>
      <c r="Z840" s="2"/>
    </row>
    <row r="841" spans="13:26" ht="15.75" customHeight="1" x14ac:dyDescent="0.15">
      <c r="M841" s="2"/>
      <c r="N841" s="2"/>
      <c r="O841" s="2"/>
      <c r="P841" s="2"/>
      <c r="Q841" s="2"/>
      <c r="R841" s="2"/>
      <c r="S841" s="2"/>
      <c r="T841" s="2"/>
      <c r="U841" s="49"/>
      <c r="V841" s="2"/>
      <c r="W841" s="2"/>
      <c r="X841" s="2"/>
      <c r="Y841" s="2"/>
      <c r="Z841" s="2"/>
    </row>
    <row r="842" spans="13:26" ht="15.75" customHeight="1" x14ac:dyDescent="0.15">
      <c r="M842" s="2"/>
      <c r="N842" s="2"/>
      <c r="O842" s="2"/>
      <c r="P842" s="2"/>
      <c r="Q842" s="2"/>
      <c r="R842" s="2"/>
      <c r="S842" s="2"/>
      <c r="T842" s="2"/>
      <c r="U842" s="49"/>
      <c r="V842" s="2"/>
      <c r="W842" s="2"/>
      <c r="X842" s="2"/>
      <c r="Y842" s="2"/>
      <c r="Z842" s="2"/>
    </row>
    <row r="843" spans="13:26" ht="15.75" customHeight="1" x14ac:dyDescent="0.15">
      <c r="M843" s="2"/>
      <c r="N843" s="2"/>
      <c r="O843" s="2"/>
      <c r="P843" s="2"/>
      <c r="Q843" s="2"/>
      <c r="R843" s="2"/>
      <c r="S843" s="2"/>
      <c r="T843" s="2"/>
      <c r="U843" s="49"/>
      <c r="V843" s="2"/>
      <c r="W843" s="2"/>
      <c r="X843" s="2"/>
      <c r="Y843" s="2"/>
      <c r="Z843" s="2"/>
    </row>
    <row r="844" spans="13:26" ht="15.75" customHeight="1" x14ac:dyDescent="0.15">
      <c r="M844" s="2"/>
      <c r="N844" s="2"/>
      <c r="O844" s="2"/>
      <c r="P844" s="2"/>
      <c r="Q844" s="2"/>
      <c r="R844" s="2"/>
      <c r="S844" s="2"/>
      <c r="T844" s="2"/>
      <c r="U844" s="49"/>
      <c r="V844" s="2"/>
      <c r="W844" s="2"/>
      <c r="X844" s="2"/>
      <c r="Y844" s="2"/>
      <c r="Z844" s="2"/>
    </row>
    <row r="845" spans="13:26" ht="15.75" customHeight="1" x14ac:dyDescent="0.15">
      <c r="M845" s="2"/>
      <c r="N845" s="2"/>
      <c r="O845" s="2"/>
      <c r="P845" s="2"/>
      <c r="Q845" s="2"/>
      <c r="R845" s="2"/>
      <c r="S845" s="2"/>
      <c r="T845" s="2"/>
      <c r="U845" s="49"/>
      <c r="V845" s="2"/>
      <c r="W845" s="2"/>
      <c r="X845" s="2"/>
      <c r="Y845" s="2"/>
      <c r="Z845" s="2"/>
    </row>
    <row r="846" spans="13:26" ht="15.75" customHeight="1" x14ac:dyDescent="0.15">
      <c r="M846" s="2"/>
      <c r="N846" s="2"/>
      <c r="O846" s="2"/>
      <c r="P846" s="2"/>
      <c r="Q846" s="2"/>
      <c r="R846" s="2"/>
      <c r="S846" s="2"/>
      <c r="T846" s="2"/>
      <c r="U846" s="49"/>
      <c r="V846" s="2"/>
      <c r="W846" s="2"/>
      <c r="X846" s="2"/>
      <c r="Y846" s="2"/>
      <c r="Z846" s="2"/>
    </row>
    <row r="847" spans="13:26" ht="15.75" customHeight="1" x14ac:dyDescent="0.15">
      <c r="M847" s="2"/>
      <c r="N847" s="2"/>
      <c r="O847" s="2"/>
      <c r="P847" s="2"/>
      <c r="Q847" s="2"/>
      <c r="R847" s="2"/>
      <c r="S847" s="2"/>
      <c r="T847" s="2"/>
      <c r="U847" s="49"/>
      <c r="V847" s="2"/>
      <c r="W847" s="2"/>
      <c r="X847" s="2"/>
      <c r="Y847" s="2"/>
      <c r="Z847" s="2"/>
    </row>
    <row r="848" spans="13:26" ht="15.75" customHeight="1" x14ac:dyDescent="0.15">
      <c r="M848" s="2"/>
      <c r="N848" s="2"/>
      <c r="O848" s="2"/>
      <c r="P848" s="2"/>
      <c r="Q848" s="2"/>
      <c r="R848" s="2"/>
      <c r="S848" s="2"/>
      <c r="T848" s="2"/>
      <c r="U848" s="49"/>
      <c r="V848" s="2"/>
      <c r="W848" s="2"/>
      <c r="X848" s="2"/>
      <c r="Y848" s="2"/>
      <c r="Z848" s="2"/>
    </row>
    <row r="849" spans="13:26" ht="15.75" customHeight="1" x14ac:dyDescent="0.15">
      <c r="M849" s="2"/>
      <c r="N849" s="2"/>
      <c r="O849" s="2"/>
      <c r="P849" s="2"/>
      <c r="Q849" s="2"/>
      <c r="R849" s="2"/>
      <c r="S849" s="2"/>
      <c r="T849" s="2"/>
      <c r="U849" s="49"/>
      <c r="V849" s="2"/>
      <c r="W849" s="2"/>
      <c r="X849" s="2"/>
      <c r="Y849" s="2"/>
      <c r="Z849" s="2"/>
    </row>
    <row r="850" spans="13:26" ht="15.75" customHeight="1" x14ac:dyDescent="0.15">
      <c r="M850" s="2"/>
      <c r="N850" s="2"/>
      <c r="O850" s="2"/>
      <c r="P850" s="2"/>
      <c r="Q850" s="2"/>
      <c r="R850" s="2"/>
      <c r="S850" s="2"/>
      <c r="T850" s="2"/>
      <c r="U850" s="49"/>
      <c r="V850" s="2"/>
      <c r="W850" s="2"/>
      <c r="X850" s="2"/>
      <c r="Y850" s="2"/>
      <c r="Z850" s="2"/>
    </row>
    <row r="851" spans="13:26" ht="15.75" customHeight="1" x14ac:dyDescent="0.15">
      <c r="M851" s="2"/>
      <c r="N851" s="2"/>
      <c r="O851" s="2"/>
      <c r="P851" s="2"/>
      <c r="Q851" s="2"/>
      <c r="R851" s="2"/>
      <c r="S851" s="2"/>
      <c r="T851" s="2"/>
      <c r="U851" s="49"/>
      <c r="V851" s="2"/>
      <c r="W851" s="2"/>
      <c r="X851" s="2"/>
      <c r="Y851" s="2"/>
      <c r="Z851" s="2"/>
    </row>
    <row r="852" spans="13:26" ht="15.75" customHeight="1" x14ac:dyDescent="0.15">
      <c r="M852" s="2"/>
      <c r="N852" s="2"/>
      <c r="O852" s="2"/>
      <c r="P852" s="2"/>
      <c r="Q852" s="2"/>
      <c r="R852" s="2"/>
      <c r="S852" s="2"/>
      <c r="T852" s="2"/>
      <c r="U852" s="49"/>
      <c r="V852" s="2"/>
      <c r="W852" s="2"/>
      <c r="X852" s="2"/>
      <c r="Y852" s="2"/>
      <c r="Z852" s="2"/>
    </row>
    <row r="853" spans="13:26" ht="15.75" customHeight="1" x14ac:dyDescent="0.15">
      <c r="M853" s="2"/>
      <c r="N853" s="2"/>
      <c r="O853" s="2"/>
      <c r="P853" s="2"/>
      <c r="Q853" s="2"/>
      <c r="R853" s="2"/>
      <c r="S853" s="2"/>
      <c r="T853" s="2"/>
      <c r="U853" s="49"/>
      <c r="V853" s="2"/>
      <c r="W853" s="2"/>
      <c r="X853" s="2"/>
      <c r="Y853" s="2"/>
      <c r="Z853" s="2"/>
    </row>
    <row r="854" spans="13:26" ht="15.75" customHeight="1" x14ac:dyDescent="0.15">
      <c r="M854" s="2"/>
      <c r="N854" s="2"/>
      <c r="O854" s="2"/>
      <c r="P854" s="2"/>
      <c r="Q854" s="2"/>
      <c r="R854" s="2"/>
      <c r="S854" s="2"/>
      <c r="T854" s="2"/>
      <c r="U854" s="49"/>
      <c r="V854" s="2"/>
      <c r="W854" s="2"/>
      <c r="X854" s="2"/>
      <c r="Y854" s="2"/>
      <c r="Z854" s="2"/>
    </row>
    <row r="855" spans="13:26" ht="15.75" customHeight="1" x14ac:dyDescent="0.15">
      <c r="M855" s="2"/>
      <c r="N855" s="2"/>
      <c r="O855" s="2"/>
      <c r="P855" s="2"/>
      <c r="Q855" s="2"/>
      <c r="R855" s="2"/>
      <c r="S855" s="2"/>
      <c r="T855" s="2"/>
      <c r="U855" s="49"/>
      <c r="V855" s="2"/>
      <c r="W855" s="2"/>
      <c r="X855" s="2"/>
      <c r="Y855" s="2"/>
      <c r="Z855" s="2"/>
    </row>
    <row r="856" spans="13:26" ht="15.75" customHeight="1" x14ac:dyDescent="0.15">
      <c r="M856" s="2"/>
      <c r="N856" s="2"/>
      <c r="O856" s="2"/>
      <c r="P856" s="2"/>
      <c r="Q856" s="2"/>
      <c r="R856" s="2"/>
      <c r="S856" s="2"/>
      <c r="T856" s="2"/>
      <c r="U856" s="49"/>
      <c r="V856" s="2"/>
      <c r="W856" s="2"/>
      <c r="X856" s="2"/>
      <c r="Y856" s="2"/>
      <c r="Z856" s="2"/>
    </row>
    <row r="857" spans="13:26" ht="15.75" customHeight="1" x14ac:dyDescent="0.15">
      <c r="M857" s="2"/>
      <c r="N857" s="2"/>
      <c r="O857" s="2"/>
      <c r="P857" s="2"/>
      <c r="Q857" s="2"/>
      <c r="R857" s="2"/>
      <c r="S857" s="2"/>
      <c r="T857" s="2"/>
      <c r="U857" s="49"/>
      <c r="V857" s="2"/>
      <c r="W857" s="2"/>
      <c r="X857" s="2"/>
      <c r="Y857" s="2"/>
      <c r="Z857" s="2"/>
    </row>
    <row r="858" spans="13:26" ht="15.75" customHeight="1" x14ac:dyDescent="0.15">
      <c r="M858" s="2"/>
      <c r="N858" s="2"/>
      <c r="O858" s="2"/>
      <c r="P858" s="2"/>
      <c r="Q858" s="2"/>
      <c r="R858" s="2"/>
      <c r="S858" s="2"/>
      <c r="T858" s="2"/>
      <c r="U858" s="49"/>
      <c r="V858" s="2"/>
      <c r="W858" s="2"/>
      <c r="X858" s="2"/>
      <c r="Y858" s="2"/>
      <c r="Z858" s="2"/>
    </row>
    <row r="859" spans="13:26" ht="15.75" customHeight="1" x14ac:dyDescent="0.15">
      <c r="M859" s="2"/>
      <c r="N859" s="2"/>
      <c r="O859" s="2"/>
      <c r="P859" s="2"/>
      <c r="Q859" s="2"/>
      <c r="R859" s="2"/>
      <c r="S859" s="2"/>
      <c r="T859" s="2"/>
      <c r="U859" s="49"/>
      <c r="V859" s="2"/>
      <c r="W859" s="2"/>
      <c r="X859" s="2"/>
      <c r="Y859" s="2"/>
      <c r="Z859" s="2"/>
    </row>
    <row r="860" spans="13:26" ht="15.75" customHeight="1" x14ac:dyDescent="0.15">
      <c r="M860" s="2"/>
      <c r="N860" s="2"/>
      <c r="O860" s="2"/>
      <c r="P860" s="2"/>
      <c r="Q860" s="2"/>
      <c r="R860" s="2"/>
      <c r="S860" s="2"/>
      <c r="T860" s="2"/>
      <c r="U860" s="49"/>
      <c r="V860" s="2"/>
      <c r="W860" s="2"/>
      <c r="X860" s="2"/>
      <c r="Y860" s="2"/>
      <c r="Z860" s="2"/>
    </row>
    <row r="861" spans="13:26" ht="15.75" customHeight="1" x14ac:dyDescent="0.15">
      <c r="M861" s="2"/>
      <c r="N861" s="2"/>
      <c r="O861" s="2"/>
      <c r="P861" s="2"/>
      <c r="Q861" s="2"/>
      <c r="R861" s="2"/>
      <c r="S861" s="2"/>
      <c r="T861" s="2"/>
      <c r="U861" s="49"/>
      <c r="V861" s="2"/>
      <c r="W861" s="2"/>
      <c r="X861" s="2"/>
      <c r="Y861" s="2"/>
      <c r="Z861" s="2"/>
    </row>
    <row r="862" spans="13:26" ht="15.75" customHeight="1" x14ac:dyDescent="0.15">
      <c r="M862" s="2"/>
      <c r="N862" s="2"/>
      <c r="O862" s="2"/>
      <c r="P862" s="2"/>
      <c r="Q862" s="2"/>
      <c r="R862" s="2"/>
      <c r="S862" s="2"/>
      <c r="T862" s="2"/>
      <c r="U862" s="49"/>
      <c r="V862" s="2"/>
      <c r="W862" s="2"/>
      <c r="X862" s="2"/>
      <c r="Y862" s="2"/>
      <c r="Z862" s="2"/>
    </row>
    <row r="863" spans="13:26" ht="15.75" customHeight="1" x14ac:dyDescent="0.15">
      <c r="M863" s="2"/>
      <c r="N863" s="2"/>
      <c r="O863" s="2"/>
      <c r="P863" s="2"/>
      <c r="Q863" s="2"/>
      <c r="R863" s="2"/>
      <c r="S863" s="2"/>
      <c r="T863" s="2"/>
      <c r="U863" s="49"/>
      <c r="V863" s="2"/>
      <c r="W863" s="2"/>
      <c r="X863" s="2"/>
      <c r="Y863" s="2"/>
      <c r="Z863" s="2"/>
    </row>
    <row r="864" spans="13:26" ht="15.75" customHeight="1" x14ac:dyDescent="0.15">
      <c r="M864" s="2"/>
      <c r="N864" s="2"/>
      <c r="O864" s="2"/>
      <c r="P864" s="2"/>
      <c r="Q864" s="2"/>
      <c r="R864" s="2"/>
      <c r="S864" s="2"/>
      <c r="T864" s="2"/>
      <c r="U864" s="49"/>
      <c r="V864" s="2"/>
      <c r="W864" s="2"/>
      <c r="X864" s="2"/>
      <c r="Y864" s="2"/>
      <c r="Z864" s="2"/>
    </row>
    <row r="865" spans="13:26" ht="15.75" customHeight="1" x14ac:dyDescent="0.15">
      <c r="M865" s="2"/>
      <c r="N865" s="2"/>
      <c r="O865" s="2"/>
      <c r="P865" s="2"/>
      <c r="Q865" s="2"/>
      <c r="R865" s="2"/>
      <c r="S865" s="2"/>
      <c r="T865" s="2"/>
      <c r="U865" s="49"/>
      <c r="V865" s="2"/>
      <c r="W865" s="2"/>
      <c r="X865" s="2"/>
      <c r="Y865" s="2"/>
      <c r="Z865" s="2"/>
    </row>
    <row r="866" spans="13:26" ht="15.75" customHeight="1" x14ac:dyDescent="0.15">
      <c r="M866" s="2"/>
      <c r="N866" s="2"/>
      <c r="O866" s="2"/>
      <c r="P866" s="2"/>
      <c r="Q866" s="2"/>
      <c r="R866" s="2"/>
      <c r="S866" s="2"/>
      <c r="T866" s="2"/>
      <c r="U866" s="49"/>
      <c r="V866" s="2"/>
      <c r="W866" s="2"/>
      <c r="X866" s="2"/>
      <c r="Y866" s="2"/>
      <c r="Z866" s="2"/>
    </row>
    <row r="867" spans="13:26" ht="15.75" customHeight="1" x14ac:dyDescent="0.15">
      <c r="M867" s="2"/>
      <c r="N867" s="2"/>
      <c r="O867" s="2"/>
      <c r="P867" s="2"/>
      <c r="Q867" s="2"/>
      <c r="R867" s="2"/>
      <c r="S867" s="2"/>
      <c r="T867" s="2"/>
      <c r="U867" s="49"/>
      <c r="V867" s="2"/>
      <c r="W867" s="2"/>
      <c r="X867" s="2"/>
      <c r="Y867" s="2"/>
      <c r="Z867" s="2"/>
    </row>
    <row r="868" spans="13:26" ht="15.75" customHeight="1" x14ac:dyDescent="0.15">
      <c r="M868" s="2"/>
      <c r="N868" s="2"/>
      <c r="O868" s="2"/>
      <c r="P868" s="2"/>
      <c r="Q868" s="2"/>
      <c r="R868" s="2"/>
      <c r="S868" s="2"/>
      <c r="T868" s="2"/>
      <c r="U868" s="49"/>
      <c r="V868" s="2"/>
      <c r="W868" s="2"/>
      <c r="X868" s="2"/>
      <c r="Y868" s="2"/>
      <c r="Z868" s="2"/>
    </row>
    <row r="869" spans="13:26" ht="15.75" customHeight="1" x14ac:dyDescent="0.15">
      <c r="M869" s="2"/>
      <c r="N869" s="2"/>
      <c r="O869" s="2"/>
      <c r="P869" s="2"/>
      <c r="Q869" s="2"/>
      <c r="R869" s="2"/>
      <c r="S869" s="2"/>
      <c r="T869" s="2"/>
      <c r="U869" s="49"/>
      <c r="V869" s="2"/>
      <c r="W869" s="2"/>
      <c r="X869" s="2"/>
      <c r="Y869" s="2"/>
      <c r="Z869" s="2"/>
    </row>
    <row r="870" spans="13:26" ht="15.75" customHeight="1" x14ac:dyDescent="0.15">
      <c r="M870" s="2"/>
      <c r="N870" s="2"/>
      <c r="O870" s="2"/>
      <c r="P870" s="2"/>
      <c r="Q870" s="2"/>
      <c r="R870" s="2"/>
      <c r="S870" s="2"/>
      <c r="T870" s="2"/>
      <c r="U870" s="49"/>
      <c r="V870" s="2"/>
      <c r="W870" s="2"/>
      <c r="X870" s="2"/>
      <c r="Y870" s="2"/>
      <c r="Z870" s="2"/>
    </row>
    <row r="871" spans="13:26" ht="15.75" customHeight="1" x14ac:dyDescent="0.15">
      <c r="M871" s="2"/>
      <c r="N871" s="2"/>
      <c r="O871" s="2"/>
      <c r="P871" s="2"/>
      <c r="Q871" s="2"/>
      <c r="R871" s="2"/>
      <c r="S871" s="2"/>
      <c r="T871" s="2"/>
      <c r="U871" s="49"/>
      <c r="V871" s="2"/>
      <c r="W871" s="2"/>
      <c r="X871" s="2"/>
      <c r="Y871" s="2"/>
      <c r="Z871" s="2"/>
    </row>
    <row r="872" spans="13:26" ht="15.75" customHeight="1" x14ac:dyDescent="0.15">
      <c r="M872" s="2"/>
      <c r="N872" s="2"/>
      <c r="O872" s="2"/>
      <c r="P872" s="2"/>
      <c r="Q872" s="2"/>
      <c r="R872" s="2"/>
      <c r="S872" s="2"/>
      <c r="T872" s="2"/>
      <c r="U872" s="49"/>
      <c r="V872" s="2"/>
      <c r="W872" s="2"/>
      <c r="X872" s="2"/>
      <c r="Y872" s="2"/>
      <c r="Z872" s="2"/>
    </row>
    <row r="873" spans="13:26" ht="15.75" customHeight="1" x14ac:dyDescent="0.15">
      <c r="M873" s="2"/>
      <c r="N873" s="2"/>
      <c r="O873" s="2"/>
      <c r="P873" s="2"/>
      <c r="Q873" s="2"/>
      <c r="R873" s="2"/>
      <c r="S873" s="2"/>
      <c r="T873" s="2"/>
      <c r="U873" s="49"/>
      <c r="V873" s="2"/>
      <c r="W873" s="2"/>
      <c r="X873" s="2"/>
      <c r="Y873" s="2"/>
      <c r="Z873" s="2"/>
    </row>
    <row r="874" spans="13:26" ht="15.75" customHeight="1" x14ac:dyDescent="0.15">
      <c r="M874" s="2"/>
      <c r="N874" s="2"/>
      <c r="O874" s="2"/>
      <c r="P874" s="2"/>
      <c r="Q874" s="2"/>
      <c r="R874" s="2"/>
      <c r="S874" s="2"/>
      <c r="T874" s="2"/>
      <c r="U874" s="49"/>
      <c r="V874" s="2"/>
      <c r="W874" s="2"/>
      <c r="X874" s="2"/>
      <c r="Y874" s="2"/>
      <c r="Z874" s="2"/>
    </row>
    <row r="875" spans="13:26" ht="15.75" customHeight="1" x14ac:dyDescent="0.15">
      <c r="M875" s="2"/>
      <c r="N875" s="2"/>
      <c r="O875" s="2"/>
      <c r="P875" s="2"/>
      <c r="Q875" s="2"/>
      <c r="R875" s="2"/>
      <c r="S875" s="2"/>
      <c r="T875" s="2"/>
      <c r="U875" s="49"/>
      <c r="V875" s="2"/>
      <c r="W875" s="2"/>
      <c r="X875" s="2"/>
      <c r="Y875" s="2"/>
      <c r="Z875" s="2"/>
    </row>
    <row r="876" spans="13:26" ht="15.75" customHeight="1" x14ac:dyDescent="0.15">
      <c r="M876" s="2"/>
      <c r="N876" s="2"/>
      <c r="O876" s="2"/>
      <c r="P876" s="2"/>
      <c r="Q876" s="2"/>
      <c r="R876" s="2"/>
      <c r="S876" s="2"/>
      <c r="T876" s="2"/>
      <c r="U876" s="49"/>
      <c r="V876" s="2"/>
      <c r="W876" s="2"/>
      <c r="X876" s="2"/>
      <c r="Y876" s="2"/>
      <c r="Z876" s="2"/>
    </row>
    <row r="877" spans="13:26" ht="15.75" customHeight="1" x14ac:dyDescent="0.15">
      <c r="M877" s="2"/>
      <c r="N877" s="2"/>
      <c r="O877" s="2"/>
      <c r="P877" s="2"/>
      <c r="Q877" s="2"/>
      <c r="R877" s="2"/>
      <c r="S877" s="2"/>
      <c r="T877" s="2"/>
      <c r="U877" s="49"/>
      <c r="V877" s="2"/>
      <c r="W877" s="2"/>
      <c r="X877" s="2"/>
      <c r="Y877" s="2"/>
      <c r="Z877" s="2"/>
    </row>
    <row r="878" spans="13:26" ht="15.75" customHeight="1" x14ac:dyDescent="0.15">
      <c r="M878" s="2"/>
      <c r="N878" s="2"/>
      <c r="O878" s="2"/>
      <c r="P878" s="2"/>
      <c r="Q878" s="2"/>
      <c r="R878" s="2"/>
      <c r="S878" s="2"/>
      <c r="T878" s="2"/>
      <c r="U878" s="49"/>
      <c r="V878" s="2"/>
      <c r="W878" s="2"/>
      <c r="X878" s="2"/>
      <c r="Y878" s="2"/>
      <c r="Z878" s="2"/>
    </row>
    <row r="879" spans="13:26" ht="15.75" customHeight="1" x14ac:dyDescent="0.15">
      <c r="M879" s="2"/>
      <c r="N879" s="2"/>
      <c r="O879" s="2"/>
      <c r="P879" s="2"/>
      <c r="Q879" s="2"/>
      <c r="R879" s="2"/>
      <c r="S879" s="2"/>
      <c r="T879" s="2"/>
      <c r="U879" s="49"/>
      <c r="V879" s="2"/>
      <c r="W879" s="2"/>
      <c r="X879" s="2"/>
      <c r="Y879" s="2"/>
      <c r="Z879" s="2"/>
    </row>
    <row r="880" spans="13:26" ht="15.75" customHeight="1" x14ac:dyDescent="0.15">
      <c r="M880" s="2"/>
      <c r="N880" s="2"/>
      <c r="O880" s="2"/>
      <c r="P880" s="2"/>
      <c r="Q880" s="2"/>
      <c r="R880" s="2"/>
      <c r="S880" s="2"/>
      <c r="T880" s="2"/>
      <c r="U880" s="49"/>
      <c r="V880" s="2"/>
      <c r="W880" s="2"/>
      <c r="X880" s="2"/>
      <c r="Y880" s="2"/>
      <c r="Z880" s="2"/>
    </row>
    <row r="881" spans="13:26" ht="15.75" customHeight="1" x14ac:dyDescent="0.15">
      <c r="M881" s="2"/>
      <c r="N881" s="2"/>
      <c r="O881" s="2"/>
      <c r="P881" s="2"/>
      <c r="Q881" s="2"/>
      <c r="R881" s="2"/>
      <c r="S881" s="2"/>
      <c r="T881" s="2"/>
      <c r="U881" s="49"/>
      <c r="V881" s="2"/>
      <c r="W881" s="2"/>
      <c r="X881" s="2"/>
      <c r="Y881" s="2"/>
      <c r="Z881" s="2"/>
    </row>
    <row r="882" spans="13:26" ht="15.75" customHeight="1" x14ac:dyDescent="0.15">
      <c r="M882" s="2"/>
      <c r="N882" s="2"/>
      <c r="O882" s="2"/>
      <c r="P882" s="2"/>
      <c r="Q882" s="2"/>
      <c r="R882" s="2"/>
      <c r="S882" s="2"/>
      <c r="T882" s="2"/>
      <c r="U882" s="49"/>
      <c r="V882" s="2"/>
      <c r="W882" s="2"/>
      <c r="X882" s="2"/>
      <c r="Y882" s="2"/>
      <c r="Z882" s="2"/>
    </row>
    <row r="883" spans="13:26" ht="15.75" customHeight="1" x14ac:dyDescent="0.15">
      <c r="M883" s="2"/>
      <c r="N883" s="2"/>
      <c r="O883" s="2"/>
      <c r="P883" s="2"/>
      <c r="Q883" s="2"/>
      <c r="R883" s="2"/>
      <c r="S883" s="2"/>
      <c r="T883" s="2"/>
      <c r="U883" s="49"/>
      <c r="V883" s="2"/>
      <c r="W883" s="2"/>
      <c r="X883" s="2"/>
      <c r="Y883" s="2"/>
      <c r="Z883" s="2"/>
    </row>
    <row r="884" spans="13:26" ht="15.75" customHeight="1" x14ac:dyDescent="0.15">
      <c r="M884" s="2"/>
      <c r="N884" s="2"/>
      <c r="O884" s="2"/>
      <c r="P884" s="2"/>
      <c r="Q884" s="2"/>
      <c r="R884" s="2"/>
      <c r="S884" s="2"/>
      <c r="T884" s="2"/>
      <c r="U884" s="49"/>
      <c r="V884" s="2"/>
      <c r="W884" s="2"/>
      <c r="X884" s="2"/>
      <c r="Y884" s="2"/>
      <c r="Z884" s="2"/>
    </row>
    <row r="885" spans="13:26" ht="15.75" customHeight="1" x14ac:dyDescent="0.15">
      <c r="M885" s="2"/>
      <c r="N885" s="2"/>
      <c r="O885" s="2"/>
      <c r="P885" s="2"/>
      <c r="Q885" s="2"/>
      <c r="R885" s="2"/>
      <c r="S885" s="2"/>
      <c r="T885" s="2"/>
      <c r="U885" s="49"/>
      <c r="V885" s="2"/>
      <c r="W885" s="2"/>
      <c r="X885" s="2"/>
      <c r="Y885" s="2"/>
      <c r="Z885" s="2"/>
    </row>
    <row r="886" spans="13:26" ht="15.75" customHeight="1" x14ac:dyDescent="0.15">
      <c r="M886" s="2"/>
      <c r="N886" s="2"/>
      <c r="O886" s="2"/>
      <c r="P886" s="2"/>
      <c r="Q886" s="2"/>
      <c r="R886" s="2"/>
      <c r="S886" s="2"/>
      <c r="T886" s="2"/>
      <c r="U886" s="49"/>
      <c r="V886" s="2"/>
      <c r="W886" s="2"/>
      <c r="X886" s="2"/>
      <c r="Y886" s="2"/>
      <c r="Z886" s="2"/>
    </row>
    <row r="887" spans="13:26" ht="15.75" customHeight="1" x14ac:dyDescent="0.15">
      <c r="M887" s="2"/>
      <c r="N887" s="2"/>
      <c r="O887" s="2"/>
      <c r="P887" s="2"/>
      <c r="Q887" s="2"/>
      <c r="R887" s="2"/>
      <c r="S887" s="2"/>
      <c r="T887" s="2"/>
      <c r="U887" s="49"/>
      <c r="V887" s="2"/>
      <c r="W887" s="2"/>
      <c r="X887" s="2"/>
      <c r="Y887" s="2"/>
      <c r="Z887" s="2"/>
    </row>
    <row r="888" spans="13:26" ht="15.75" customHeight="1" x14ac:dyDescent="0.15">
      <c r="M888" s="2"/>
      <c r="N888" s="2"/>
      <c r="O888" s="2"/>
      <c r="P888" s="2"/>
      <c r="Q888" s="2"/>
      <c r="R888" s="2"/>
      <c r="S888" s="2"/>
      <c r="T888" s="2"/>
      <c r="U888" s="49"/>
      <c r="V888" s="2"/>
      <c r="W888" s="2"/>
      <c r="X888" s="2"/>
      <c r="Y888" s="2"/>
      <c r="Z888" s="2"/>
    </row>
    <row r="889" spans="13:26" ht="15.75" customHeight="1" x14ac:dyDescent="0.15">
      <c r="M889" s="2"/>
      <c r="N889" s="2"/>
      <c r="O889" s="2"/>
      <c r="P889" s="2"/>
      <c r="Q889" s="2"/>
      <c r="R889" s="2"/>
      <c r="S889" s="2"/>
      <c r="T889" s="2"/>
      <c r="U889" s="49"/>
      <c r="V889" s="2"/>
      <c r="W889" s="2"/>
      <c r="X889" s="2"/>
      <c r="Y889" s="2"/>
      <c r="Z889" s="2"/>
    </row>
    <row r="890" spans="13:26" ht="15.75" customHeight="1" x14ac:dyDescent="0.15">
      <c r="M890" s="2"/>
      <c r="N890" s="2"/>
      <c r="O890" s="2"/>
      <c r="P890" s="2"/>
      <c r="Q890" s="2"/>
      <c r="R890" s="2"/>
      <c r="S890" s="2"/>
      <c r="T890" s="2"/>
      <c r="U890" s="49"/>
      <c r="V890" s="2"/>
      <c r="W890" s="2"/>
      <c r="X890" s="2"/>
      <c r="Y890" s="2"/>
      <c r="Z890" s="2"/>
    </row>
    <row r="891" spans="13:26" ht="15.75" customHeight="1" x14ac:dyDescent="0.15">
      <c r="M891" s="2"/>
      <c r="N891" s="2"/>
      <c r="O891" s="2"/>
      <c r="P891" s="2"/>
      <c r="Q891" s="2"/>
      <c r="R891" s="2"/>
      <c r="S891" s="2"/>
      <c r="T891" s="2"/>
      <c r="U891" s="49"/>
      <c r="V891" s="2"/>
      <c r="W891" s="2"/>
      <c r="X891" s="2"/>
      <c r="Y891" s="2"/>
      <c r="Z891" s="2"/>
    </row>
    <row r="892" spans="13:26" ht="15.75" customHeight="1" x14ac:dyDescent="0.15">
      <c r="M892" s="2"/>
      <c r="N892" s="2"/>
      <c r="O892" s="2"/>
      <c r="P892" s="2"/>
      <c r="Q892" s="2"/>
      <c r="R892" s="2"/>
      <c r="S892" s="2"/>
      <c r="T892" s="2"/>
      <c r="U892" s="49"/>
      <c r="V892" s="2"/>
      <c r="W892" s="2"/>
      <c r="X892" s="2"/>
      <c r="Y892" s="2"/>
      <c r="Z892" s="2"/>
    </row>
    <row r="893" spans="13:26" ht="15.75" customHeight="1" x14ac:dyDescent="0.15">
      <c r="M893" s="2"/>
      <c r="N893" s="2"/>
      <c r="O893" s="2"/>
      <c r="P893" s="2"/>
      <c r="Q893" s="2"/>
      <c r="R893" s="2"/>
      <c r="S893" s="2"/>
      <c r="T893" s="2"/>
      <c r="U893" s="49"/>
      <c r="V893" s="2"/>
      <c r="W893" s="2"/>
      <c r="X893" s="2"/>
      <c r="Y893" s="2"/>
      <c r="Z893" s="2"/>
    </row>
    <row r="894" spans="13:26" ht="15.75" customHeight="1" x14ac:dyDescent="0.15">
      <c r="M894" s="2"/>
      <c r="N894" s="2"/>
      <c r="O894" s="2"/>
      <c r="P894" s="2"/>
      <c r="Q894" s="2"/>
      <c r="R894" s="2"/>
      <c r="S894" s="2"/>
      <c r="T894" s="2"/>
      <c r="U894" s="49"/>
      <c r="V894" s="2"/>
      <c r="W894" s="2"/>
      <c r="X894" s="2"/>
      <c r="Y894" s="2"/>
      <c r="Z894" s="2"/>
    </row>
    <row r="895" spans="13:26" ht="15.75" customHeight="1" x14ac:dyDescent="0.15">
      <c r="M895" s="2"/>
      <c r="N895" s="2"/>
      <c r="O895" s="2"/>
      <c r="P895" s="2"/>
      <c r="Q895" s="2"/>
      <c r="R895" s="2"/>
      <c r="S895" s="2"/>
      <c r="T895" s="2"/>
      <c r="U895" s="49"/>
      <c r="V895" s="2"/>
      <c r="W895" s="2"/>
      <c r="X895" s="2"/>
      <c r="Y895" s="2"/>
      <c r="Z895" s="2"/>
    </row>
    <row r="896" spans="13:26" ht="15.75" customHeight="1" x14ac:dyDescent="0.15">
      <c r="M896" s="2"/>
      <c r="N896" s="2"/>
      <c r="O896" s="2"/>
      <c r="P896" s="2"/>
      <c r="Q896" s="2"/>
      <c r="R896" s="2"/>
      <c r="S896" s="2"/>
      <c r="T896" s="2"/>
      <c r="U896" s="49"/>
      <c r="V896" s="2"/>
      <c r="W896" s="2"/>
      <c r="X896" s="2"/>
      <c r="Y896" s="2"/>
      <c r="Z896" s="2"/>
    </row>
    <row r="897" spans="13:26" ht="15.75" customHeight="1" x14ac:dyDescent="0.15">
      <c r="M897" s="2"/>
      <c r="N897" s="2"/>
      <c r="O897" s="2"/>
      <c r="P897" s="2"/>
      <c r="Q897" s="2"/>
      <c r="R897" s="2"/>
      <c r="S897" s="2"/>
      <c r="T897" s="2"/>
      <c r="U897" s="49"/>
      <c r="V897" s="2"/>
      <c r="W897" s="2"/>
      <c r="X897" s="2"/>
      <c r="Y897" s="2"/>
      <c r="Z897" s="2"/>
    </row>
    <row r="898" spans="13:26" ht="15.75" customHeight="1" x14ac:dyDescent="0.15">
      <c r="M898" s="2"/>
      <c r="N898" s="2"/>
      <c r="O898" s="2"/>
      <c r="P898" s="2"/>
      <c r="Q898" s="2"/>
      <c r="R898" s="2"/>
      <c r="S898" s="2"/>
      <c r="T898" s="2"/>
      <c r="U898" s="49"/>
      <c r="V898" s="2"/>
      <c r="W898" s="2"/>
      <c r="X898" s="2"/>
      <c r="Y898" s="2"/>
      <c r="Z898" s="2"/>
    </row>
    <row r="899" spans="13:26" ht="15.75" customHeight="1" x14ac:dyDescent="0.15">
      <c r="M899" s="2"/>
      <c r="N899" s="2"/>
      <c r="O899" s="2"/>
      <c r="P899" s="2"/>
      <c r="Q899" s="2"/>
      <c r="R899" s="2"/>
      <c r="S899" s="2"/>
      <c r="T899" s="2"/>
      <c r="U899" s="49"/>
      <c r="V899" s="2"/>
      <c r="W899" s="2"/>
      <c r="X899" s="2"/>
      <c r="Y899" s="2"/>
      <c r="Z899" s="2"/>
    </row>
    <row r="900" spans="13:26" ht="15.75" customHeight="1" x14ac:dyDescent="0.15">
      <c r="M900" s="2"/>
      <c r="N900" s="2"/>
      <c r="O900" s="2"/>
      <c r="P900" s="2"/>
      <c r="Q900" s="2"/>
      <c r="R900" s="2"/>
      <c r="S900" s="2"/>
      <c r="T900" s="2"/>
      <c r="U900" s="49"/>
      <c r="V900" s="2"/>
      <c r="W900" s="2"/>
      <c r="X900" s="2"/>
      <c r="Y900" s="2"/>
      <c r="Z900" s="2"/>
    </row>
    <row r="901" spans="13:26" ht="15.75" customHeight="1" x14ac:dyDescent="0.15">
      <c r="M901" s="2"/>
      <c r="N901" s="2"/>
      <c r="O901" s="2"/>
      <c r="P901" s="2"/>
      <c r="Q901" s="2"/>
      <c r="R901" s="2"/>
      <c r="S901" s="2"/>
      <c r="T901" s="2"/>
      <c r="U901" s="49"/>
      <c r="V901" s="2"/>
      <c r="W901" s="2"/>
      <c r="X901" s="2"/>
      <c r="Y901" s="2"/>
      <c r="Z901" s="2"/>
    </row>
    <row r="902" spans="13:26" ht="15.75" customHeight="1" x14ac:dyDescent="0.15">
      <c r="M902" s="2"/>
      <c r="N902" s="2"/>
      <c r="O902" s="2"/>
      <c r="P902" s="2"/>
      <c r="Q902" s="2"/>
      <c r="R902" s="2"/>
      <c r="S902" s="2"/>
      <c r="T902" s="2"/>
      <c r="U902" s="49"/>
      <c r="V902" s="2"/>
      <c r="W902" s="2"/>
      <c r="X902" s="2"/>
      <c r="Y902" s="2"/>
      <c r="Z902" s="2"/>
    </row>
    <row r="903" spans="13:26" ht="15.75" customHeight="1" x14ac:dyDescent="0.15">
      <c r="M903" s="2"/>
      <c r="N903" s="2"/>
      <c r="O903" s="2"/>
      <c r="P903" s="2"/>
      <c r="Q903" s="2"/>
      <c r="R903" s="2"/>
      <c r="S903" s="2"/>
      <c r="T903" s="2"/>
      <c r="U903" s="49"/>
      <c r="V903" s="2"/>
      <c r="W903" s="2"/>
      <c r="X903" s="2"/>
      <c r="Y903" s="2"/>
      <c r="Z903" s="2"/>
    </row>
    <row r="904" spans="13:26" ht="15.75" customHeight="1" x14ac:dyDescent="0.15">
      <c r="M904" s="2"/>
      <c r="N904" s="2"/>
      <c r="O904" s="2"/>
      <c r="P904" s="2"/>
      <c r="Q904" s="2"/>
      <c r="R904" s="2"/>
      <c r="S904" s="2"/>
      <c r="T904" s="2"/>
      <c r="U904" s="49"/>
      <c r="V904" s="2"/>
      <c r="W904" s="2"/>
      <c r="X904" s="2"/>
      <c r="Y904" s="2"/>
      <c r="Z904" s="2"/>
    </row>
    <row r="905" spans="13:26" ht="15.75" customHeight="1" x14ac:dyDescent="0.15">
      <c r="M905" s="2"/>
      <c r="N905" s="2"/>
      <c r="O905" s="2"/>
      <c r="P905" s="2"/>
      <c r="Q905" s="2"/>
      <c r="R905" s="2"/>
      <c r="S905" s="2"/>
      <c r="T905" s="2"/>
      <c r="U905" s="49"/>
      <c r="V905" s="2"/>
      <c r="W905" s="2"/>
      <c r="X905" s="2"/>
      <c r="Y905" s="2"/>
      <c r="Z905" s="2"/>
    </row>
    <row r="906" spans="13:26" ht="15.75" customHeight="1" x14ac:dyDescent="0.15">
      <c r="M906" s="2"/>
      <c r="N906" s="2"/>
      <c r="O906" s="2"/>
      <c r="P906" s="2"/>
      <c r="Q906" s="2"/>
      <c r="R906" s="2"/>
      <c r="S906" s="2"/>
      <c r="T906" s="2"/>
      <c r="U906" s="49"/>
      <c r="V906" s="2"/>
      <c r="W906" s="2"/>
      <c r="X906" s="2"/>
      <c r="Y906" s="2"/>
      <c r="Z906" s="2"/>
    </row>
    <row r="907" spans="13:26" ht="15.75" customHeight="1" x14ac:dyDescent="0.15">
      <c r="M907" s="2"/>
      <c r="N907" s="2"/>
      <c r="O907" s="2"/>
      <c r="P907" s="2"/>
      <c r="Q907" s="2"/>
      <c r="R907" s="2"/>
      <c r="S907" s="2"/>
      <c r="T907" s="2"/>
      <c r="U907" s="49"/>
      <c r="V907" s="2"/>
      <c r="W907" s="2"/>
      <c r="X907" s="2"/>
      <c r="Y907" s="2"/>
      <c r="Z907" s="2"/>
    </row>
    <row r="908" spans="13:26" ht="15.75" customHeight="1" x14ac:dyDescent="0.15">
      <c r="M908" s="2"/>
      <c r="N908" s="2"/>
      <c r="O908" s="2"/>
      <c r="P908" s="2"/>
      <c r="Q908" s="2"/>
      <c r="R908" s="2"/>
      <c r="S908" s="2"/>
      <c r="T908" s="2"/>
      <c r="U908" s="49"/>
      <c r="V908" s="2"/>
      <c r="W908" s="2"/>
      <c r="X908" s="2"/>
      <c r="Y908" s="2"/>
      <c r="Z908" s="2"/>
    </row>
    <row r="909" spans="13:26" ht="15.75" customHeight="1" x14ac:dyDescent="0.15">
      <c r="M909" s="2"/>
      <c r="N909" s="2"/>
      <c r="O909" s="2"/>
      <c r="P909" s="2"/>
      <c r="Q909" s="2"/>
      <c r="R909" s="2"/>
      <c r="S909" s="2"/>
      <c r="T909" s="2"/>
      <c r="U909" s="49"/>
      <c r="V909" s="2"/>
      <c r="W909" s="2"/>
      <c r="X909" s="2"/>
      <c r="Y909" s="2"/>
      <c r="Z909" s="2"/>
    </row>
    <row r="910" spans="13:26" ht="15.75" customHeight="1" x14ac:dyDescent="0.15">
      <c r="M910" s="2"/>
      <c r="N910" s="2"/>
      <c r="O910" s="2"/>
      <c r="P910" s="2"/>
      <c r="Q910" s="2"/>
      <c r="R910" s="2"/>
      <c r="S910" s="2"/>
      <c r="T910" s="2"/>
      <c r="U910" s="49"/>
      <c r="V910" s="2"/>
      <c r="W910" s="2"/>
      <c r="X910" s="2"/>
      <c r="Y910" s="2"/>
      <c r="Z910" s="2"/>
    </row>
    <row r="911" spans="13:26" ht="15.75" customHeight="1" x14ac:dyDescent="0.15">
      <c r="M911" s="2"/>
      <c r="N911" s="2"/>
      <c r="O911" s="2"/>
      <c r="P911" s="2"/>
      <c r="Q911" s="2"/>
      <c r="R911" s="2"/>
      <c r="S911" s="2"/>
      <c r="T911" s="2"/>
      <c r="U911" s="49"/>
      <c r="V911" s="2"/>
      <c r="W911" s="2"/>
      <c r="X911" s="2"/>
      <c r="Y911" s="2"/>
      <c r="Z911" s="2"/>
    </row>
    <row r="912" spans="13:26" ht="15.75" customHeight="1" x14ac:dyDescent="0.15">
      <c r="M912" s="2"/>
      <c r="N912" s="2"/>
      <c r="O912" s="2"/>
      <c r="P912" s="2"/>
      <c r="Q912" s="2"/>
      <c r="R912" s="2"/>
      <c r="S912" s="2"/>
      <c r="T912" s="2"/>
      <c r="U912" s="49"/>
      <c r="V912" s="2"/>
      <c r="W912" s="2"/>
      <c r="X912" s="2"/>
      <c r="Y912" s="2"/>
      <c r="Z912" s="2"/>
    </row>
    <row r="913" spans="13:26" ht="15.75" customHeight="1" x14ac:dyDescent="0.15">
      <c r="M913" s="2"/>
      <c r="N913" s="2"/>
      <c r="O913" s="2"/>
      <c r="P913" s="2"/>
      <c r="Q913" s="2"/>
      <c r="R913" s="2"/>
      <c r="S913" s="2"/>
      <c r="T913" s="2"/>
      <c r="U913" s="49"/>
      <c r="V913" s="2"/>
      <c r="W913" s="2"/>
      <c r="X913" s="2"/>
      <c r="Y913" s="2"/>
      <c r="Z913" s="2"/>
    </row>
    <row r="914" spans="13:26" ht="15.75" customHeight="1" x14ac:dyDescent="0.15">
      <c r="M914" s="2"/>
      <c r="N914" s="2"/>
      <c r="O914" s="2"/>
      <c r="P914" s="2"/>
      <c r="Q914" s="2"/>
      <c r="R914" s="2"/>
      <c r="S914" s="2"/>
      <c r="T914" s="2"/>
      <c r="U914" s="49"/>
      <c r="V914" s="2"/>
      <c r="W914" s="2"/>
      <c r="X914" s="2"/>
      <c r="Y914" s="2"/>
      <c r="Z914" s="2"/>
    </row>
    <row r="915" spans="13:26" ht="15.75" customHeight="1" x14ac:dyDescent="0.15">
      <c r="M915" s="2"/>
      <c r="N915" s="2"/>
      <c r="O915" s="2"/>
      <c r="P915" s="2"/>
      <c r="Q915" s="2"/>
      <c r="R915" s="2"/>
      <c r="S915" s="2"/>
      <c r="T915" s="2"/>
      <c r="U915" s="49"/>
      <c r="V915" s="2"/>
      <c r="W915" s="2"/>
      <c r="X915" s="2"/>
      <c r="Y915" s="2"/>
      <c r="Z915" s="2"/>
    </row>
    <row r="916" spans="13:26" ht="15.75" customHeight="1" x14ac:dyDescent="0.15">
      <c r="M916" s="2"/>
      <c r="N916" s="2"/>
      <c r="O916" s="2"/>
      <c r="P916" s="2"/>
      <c r="Q916" s="2"/>
      <c r="R916" s="2"/>
      <c r="S916" s="2"/>
      <c r="T916" s="2"/>
      <c r="U916" s="49"/>
      <c r="V916" s="2"/>
      <c r="W916" s="2"/>
      <c r="X916" s="2"/>
      <c r="Y916" s="2"/>
      <c r="Z916" s="2"/>
    </row>
    <row r="917" spans="13:26" ht="15.75" customHeight="1" x14ac:dyDescent="0.15">
      <c r="M917" s="2"/>
      <c r="N917" s="2"/>
      <c r="O917" s="2"/>
      <c r="P917" s="2"/>
      <c r="Q917" s="2"/>
      <c r="R917" s="2"/>
      <c r="S917" s="2"/>
      <c r="T917" s="2"/>
      <c r="U917" s="49"/>
      <c r="V917" s="2"/>
      <c r="W917" s="2"/>
      <c r="X917" s="2"/>
      <c r="Y917" s="2"/>
      <c r="Z917" s="2"/>
    </row>
    <row r="918" spans="13:26" ht="15.75" customHeight="1" x14ac:dyDescent="0.15">
      <c r="M918" s="2"/>
      <c r="N918" s="2"/>
      <c r="O918" s="2"/>
      <c r="P918" s="2"/>
      <c r="Q918" s="2"/>
      <c r="R918" s="2"/>
      <c r="S918" s="2"/>
      <c r="T918" s="2"/>
      <c r="U918" s="49"/>
      <c r="V918" s="2"/>
      <c r="W918" s="2"/>
      <c r="X918" s="2"/>
      <c r="Y918" s="2"/>
      <c r="Z918" s="2"/>
    </row>
    <row r="919" spans="13:26" ht="15.75" customHeight="1" x14ac:dyDescent="0.15">
      <c r="M919" s="2"/>
      <c r="N919" s="2"/>
      <c r="O919" s="2"/>
      <c r="P919" s="2"/>
      <c r="Q919" s="2"/>
      <c r="R919" s="2"/>
      <c r="S919" s="2"/>
      <c r="T919" s="2"/>
      <c r="U919" s="49"/>
      <c r="V919" s="2"/>
      <c r="W919" s="2"/>
      <c r="X919" s="2"/>
      <c r="Y919" s="2"/>
      <c r="Z919" s="2"/>
    </row>
    <row r="920" spans="13:26" ht="15.75" customHeight="1" x14ac:dyDescent="0.15">
      <c r="M920" s="2"/>
      <c r="N920" s="2"/>
      <c r="O920" s="2"/>
      <c r="P920" s="2"/>
      <c r="Q920" s="2"/>
      <c r="R920" s="2"/>
      <c r="S920" s="2"/>
      <c r="T920" s="2"/>
      <c r="U920" s="49"/>
      <c r="V920" s="2"/>
      <c r="W920" s="2"/>
      <c r="X920" s="2"/>
      <c r="Y920" s="2"/>
      <c r="Z920" s="2"/>
    </row>
    <row r="921" spans="13:26" ht="15.75" customHeight="1" x14ac:dyDescent="0.15">
      <c r="M921" s="2"/>
      <c r="N921" s="2"/>
      <c r="O921" s="2"/>
      <c r="P921" s="2"/>
      <c r="Q921" s="2"/>
      <c r="R921" s="2"/>
      <c r="S921" s="2"/>
      <c r="T921" s="2"/>
      <c r="U921" s="49"/>
      <c r="V921" s="2"/>
      <c r="W921" s="2"/>
      <c r="X921" s="2"/>
      <c r="Y921" s="2"/>
      <c r="Z921" s="2"/>
    </row>
    <row r="922" spans="13:26" ht="15.75" customHeight="1" x14ac:dyDescent="0.15">
      <c r="M922" s="2"/>
      <c r="N922" s="2"/>
      <c r="O922" s="2"/>
      <c r="P922" s="2"/>
      <c r="Q922" s="2"/>
      <c r="R922" s="2"/>
      <c r="S922" s="2"/>
      <c r="T922" s="2"/>
      <c r="U922" s="49"/>
      <c r="V922" s="2"/>
      <c r="W922" s="2"/>
      <c r="X922" s="2"/>
      <c r="Y922" s="2"/>
      <c r="Z922" s="2"/>
    </row>
    <row r="923" spans="13:26" ht="15.75" customHeight="1" x14ac:dyDescent="0.15">
      <c r="M923" s="2"/>
      <c r="N923" s="2"/>
      <c r="O923" s="2"/>
      <c r="P923" s="2"/>
      <c r="Q923" s="2"/>
      <c r="R923" s="2"/>
      <c r="S923" s="2"/>
      <c r="T923" s="2"/>
      <c r="U923" s="49"/>
      <c r="V923" s="2"/>
      <c r="W923" s="2"/>
      <c r="X923" s="2"/>
      <c r="Y923" s="2"/>
      <c r="Z923" s="2"/>
    </row>
    <row r="924" spans="13:26" ht="15.75" customHeight="1" x14ac:dyDescent="0.15">
      <c r="M924" s="2"/>
      <c r="N924" s="2"/>
      <c r="O924" s="2"/>
      <c r="P924" s="2"/>
      <c r="Q924" s="2"/>
      <c r="R924" s="2"/>
      <c r="S924" s="2"/>
      <c r="T924" s="2"/>
      <c r="U924" s="49"/>
      <c r="V924" s="2"/>
      <c r="W924" s="2"/>
      <c r="X924" s="2"/>
      <c r="Y924" s="2"/>
      <c r="Z924" s="2"/>
    </row>
    <row r="925" spans="13:26" ht="15.75" customHeight="1" x14ac:dyDescent="0.15">
      <c r="M925" s="2"/>
      <c r="N925" s="2"/>
      <c r="O925" s="2"/>
      <c r="P925" s="2"/>
      <c r="Q925" s="2"/>
      <c r="R925" s="2"/>
      <c r="S925" s="2"/>
      <c r="T925" s="2"/>
      <c r="U925" s="49"/>
      <c r="V925" s="2"/>
      <c r="W925" s="2"/>
      <c r="X925" s="2"/>
      <c r="Y925" s="2"/>
      <c r="Z925" s="2"/>
    </row>
    <row r="926" spans="13:26" ht="15.75" customHeight="1" x14ac:dyDescent="0.15">
      <c r="M926" s="2"/>
      <c r="N926" s="2"/>
      <c r="O926" s="2"/>
      <c r="P926" s="2"/>
      <c r="Q926" s="2"/>
      <c r="R926" s="2"/>
      <c r="S926" s="2"/>
      <c r="T926" s="2"/>
      <c r="U926" s="49"/>
      <c r="V926" s="2"/>
      <c r="W926" s="2"/>
      <c r="X926" s="2"/>
      <c r="Y926" s="2"/>
      <c r="Z926" s="2"/>
    </row>
    <row r="927" spans="13:26" ht="15.75" customHeight="1" x14ac:dyDescent="0.15">
      <c r="M927" s="2"/>
      <c r="N927" s="2"/>
      <c r="O927" s="2"/>
      <c r="P927" s="2"/>
      <c r="Q927" s="2"/>
      <c r="R927" s="2"/>
      <c r="S927" s="2"/>
      <c r="T927" s="2"/>
      <c r="U927" s="49"/>
      <c r="V927" s="2"/>
      <c r="W927" s="2"/>
      <c r="X927" s="2"/>
      <c r="Y927" s="2"/>
      <c r="Z927" s="2"/>
    </row>
    <row r="928" spans="13:26" ht="15.75" customHeight="1" x14ac:dyDescent="0.15">
      <c r="M928" s="2"/>
      <c r="N928" s="2"/>
      <c r="O928" s="2"/>
      <c r="P928" s="2"/>
      <c r="Q928" s="2"/>
      <c r="R928" s="2"/>
      <c r="S928" s="2"/>
      <c r="T928" s="2"/>
      <c r="U928" s="49"/>
      <c r="V928" s="2"/>
      <c r="W928" s="2"/>
      <c r="X928" s="2"/>
      <c r="Y928" s="2"/>
      <c r="Z928" s="2"/>
    </row>
    <row r="929" spans="13:26" ht="15.75" customHeight="1" x14ac:dyDescent="0.15">
      <c r="M929" s="2"/>
      <c r="N929" s="2"/>
      <c r="O929" s="2"/>
      <c r="P929" s="2"/>
      <c r="Q929" s="2"/>
      <c r="R929" s="2"/>
      <c r="S929" s="2"/>
      <c r="T929" s="2"/>
      <c r="U929" s="49"/>
      <c r="V929" s="2"/>
      <c r="W929" s="2"/>
      <c r="X929" s="2"/>
      <c r="Y929" s="2"/>
      <c r="Z929" s="2"/>
    </row>
    <row r="930" spans="13:26" ht="15.75" customHeight="1" x14ac:dyDescent="0.15">
      <c r="M930" s="2"/>
      <c r="N930" s="2"/>
      <c r="O930" s="2"/>
      <c r="P930" s="2"/>
      <c r="Q930" s="2"/>
      <c r="R930" s="2"/>
      <c r="S930" s="2"/>
      <c r="T930" s="2"/>
      <c r="U930" s="49"/>
      <c r="V930" s="2"/>
      <c r="W930" s="2"/>
      <c r="X930" s="2"/>
      <c r="Y930" s="2"/>
      <c r="Z930" s="2"/>
    </row>
    <row r="931" spans="13:26" ht="15.75" customHeight="1" x14ac:dyDescent="0.15">
      <c r="M931" s="2"/>
      <c r="N931" s="2"/>
      <c r="O931" s="2"/>
      <c r="P931" s="2"/>
      <c r="Q931" s="2"/>
      <c r="R931" s="2"/>
      <c r="S931" s="2"/>
      <c r="T931" s="2"/>
      <c r="U931" s="49"/>
      <c r="V931" s="2"/>
      <c r="W931" s="2"/>
      <c r="X931" s="2"/>
      <c r="Y931" s="2"/>
      <c r="Z931" s="2"/>
    </row>
    <row r="932" spans="13:26" ht="15.75" customHeight="1" x14ac:dyDescent="0.15">
      <c r="M932" s="2"/>
      <c r="N932" s="2"/>
      <c r="O932" s="2"/>
      <c r="P932" s="2"/>
      <c r="Q932" s="2"/>
      <c r="R932" s="2"/>
      <c r="S932" s="2"/>
      <c r="T932" s="2"/>
      <c r="U932" s="49"/>
      <c r="V932" s="2"/>
      <c r="W932" s="2"/>
      <c r="X932" s="2"/>
      <c r="Y932" s="2"/>
      <c r="Z932" s="2"/>
    </row>
    <row r="933" spans="13:26" ht="15.75" customHeight="1" x14ac:dyDescent="0.15">
      <c r="M933" s="2"/>
      <c r="N933" s="2"/>
      <c r="O933" s="2"/>
      <c r="P933" s="2"/>
      <c r="Q933" s="2"/>
      <c r="R933" s="2"/>
      <c r="S933" s="2"/>
      <c r="T933" s="2"/>
      <c r="U933" s="49"/>
      <c r="V933" s="2"/>
      <c r="W933" s="2"/>
      <c r="X933" s="2"/>
      <c r="Y933" s="2"/>
      <c r="Z933" s="2"/>
    </row>
    <row r="934" spans="13:26" ht="15.75" customHeight="1" x14ac:dyDescent="0.15">
      <c r="M934" s="2"/>
      <c r="N934" s="2"/>
      <c r="O934" s="2"/>
      <c r="P934" s="2"/>
      <c r="Q934" s="2"/>
      <c r="R934" s="2"/>
      <c r="S934" s="2"/>
      <c r="T934" s="2"/>
      <c r="U934" s="49"/>
      <c r="V934" s="2"/>
      <c r="W934" s="2"/>
      <c r="X934" s="2"/>
      <c r="Y934" s="2"/>
      <c r="Z934" s="2"/>
    </row>
    <row r="935" spans="13:26" ht="15.75" customHeight="1" x14ac:dyDescent="0.15">
      <c r="M935" s="2"/>
      <c r="N935" s="2"/>
      <c r="O935" s="2"/>
      <c r="P935" s="2"/>
      <c r="Q935" s="2"/>
      <c r="R935" s="2"/>
      <c r="S935" s="2"/>
      <c r="T935" s="2"/>
      <c r="U935" s="49"/>
      <c r="V935" s="2"/>
      <c r="W935" s="2"/>
      <c r="X935" s="2"/>
      <c r="Y935" s="2"/>
      <c r="Z935" s="2"/>
    </row>
    <row r="936" spans="13:26" ht="15.75" customHeight="1" x14ac:dyDescent="0.15">
      <c r="M936" s="2"/>
      <c r="N936" s="2"/>
      <c r="O936" s="2"/>
      <c r="P936" s="2"/>
      <c r="Q936" s="2"/>
      <c r="R936" s="2"/>
      <c r="S936" s="2"/>
      <c r="T936" s="2"/>
      <c r="U936" s="49"/>
      <c r="V936" s="2"/>
      <c r="W936" s="2"/>
      <c r="X936" s="2"/>
      <c r="Y936" s="2"/>
      <c r="Z936" s="2"/>
    </row>
    <row r="937" spans="13:26" ht="15.75" customHeight="1" x14ac:dyDescent="0.15">
      <c r="M937" s="2"/>
      <c r="N937" s="2"/>
      <c r="O937" s="2"/>
      <c r="P937" s="2"/>
      <c r="Q937" s="2"/>
      <c r="R937" s="2"/>
      <c r="S937" s="2"/>
      <c r="T937" s="2"/>
      <c r="U937" s="49"/>
      <c r="V937" s="2"/>
      <c r="W937" s="2"/>
      <c r="X937" s="2"/>
      <c r="Y937" s="2"/>
      <c r="Z937" s="2"/>
    </row>
    <row r="938" spans="13:26" ht="15.75" customHeight="1" x14ac:dyDescent="0.15">
      <c r="M938" s="2"/>
      <c r="N938" s="2"/>
      <c r="O938" s="2"/>
      <c r="P938" s="2"/>
      <c r="Q938" s="2"/>
      <c r="R938" s="2"/>
      <c r="S938" s="2"/>
      <c r="T938" s="2"/>
      <c r="U938" s="49"/>
      <c r="V938" s="2"/>
      <c r="W938" s="2"/>
      <c r="X938" s="2"/>
      <c r="Y938" s="2"/>
      <c r="Z938" s="2"/>
    </row>
    <row r="939" spans="13:26" ht="15.75" customHeight="1" x14ac:dyDescent="0.15">
      <c r="M939" s="2"/>
      <c r="N939" s="2"/>
      <c r="O939" s="2"/>
      <c r="P939" s="2"/>
      <c r="Q939" s="2"/>
      <c r="R939" s="2"/>
      <c r="S939" s="2"/>
      <c r="T939" s="2"/>
      <c r="U939" s="49"/>
      <c r="V939" s="2"/>
      <c r="W939" s="2"/>
      <c r="X939" s="2"/>
      <c r="Y939" s="2"/>
      <c r="Z939" s="2"/>
    </row>
    <row r="940" spans="13:26" ht="15.75" customHeight="1" x14ac:dyDescent="0.15">
      <c r="M940" s="2"/>
      <c r="N940" s="2"/>
      <c r="O940" s="2"/>
      <c r="P940" s="2"/>
      <c r="Q940" s="2"/>
      <c r="R940" s="2"/>
      <c r="S940" s="2"/>
      <c r="T940" s="2"/>
      <c r="U940" s="49"/>
      <c r="V940" s="2"/>
      <c r="W940" s="2"/>
      <c r="X940" s="2"/>
      <c r="Y940" s="2"/>
      <c r="Z940" s="2"/>
    </row>
    <row r="941" spans="13:26" ht="15.75" customHeight="1" x14ac:dyDescent="0.15">
      <c r="M941" s="2"/>
      <c r="N941" s="2"/>
      <c r="O941" s="2"/>
      <c r="P941" s="2"/>
      <c r="Q941" s="2"/>
      <c r="R941" s="2"/>
      <c r="S941" s="2"/>
      <c r="T941" s="2"/>
      <c r="U941" s="49"/>
      <c r="V941" s="2"/>
      <c r="W941" s="2"/>
      <c r="X941" s="2"/>
      <c r="Y941" s="2"/>
      <c r="Z941" s="2"/>
    </row>
    <row r="942" spans="13:26" ht="15.75" customHeight="1" x14ac:dyDescent="0.15">
      <c r="M942" s="2"/>
      <c r="N942" s="2"/>
      <c r="O942" s="2"/>
      <c r="P942" s="2"/>
      <c r="Q942" s="2"/>
      <c r="R942" s="2"/>
      <c r="S942" s="2"/>
      <c r="T942" s="2"/>
      <c r="U942" s="49"/>
      <c r="V942" s="2"/>
      <c r="W942" s="2"/>
      <c r="X942" s="2"/>
      <c r="Y942" s="2"/>
      <c r="Z942" s="2"/>
    </row>
    <row r="943" spans="13:26" ht="15.75" customHeight="1" x14ac:dyDescent="0.15">
      <c r="M943" s="2"/>
      <c r="N943" s="2"/>
      <c r="O943" s="2"/>
      <c r="P943" s="2"/>
      <c r="Q943" s="2"/>
      <c r="R943" s="2"/>
      <c r="S943" s="2"/>
      <c r="T943" s="2"/>
      <c r="U943" s="49"/>
      <c r="V943" s="2"/>
      <c r="W943" s="2"/>
      <c r="X943" s="2"/>
      <c r="Y943" s="2"/>
      <c r="Z943" s="2"/>
    </row>
    <row r="944" spans="13:26" ht="15.75" customHeight="1" x14ac:dyDescent="0.15">
      <c r="M944" s="2"/>
      <c r="N944" s="2"/>
      <c r="O944" s="2"/>
      <c r="P944" s="2"/>
      <c r="Q944" s="2"/>
      <c r="R944" s="2"/>
      <c r="S944" s="2"/>
      <c r="T944" s="2"/>
      <c r="U944" s="49"/>
      <c r="V944" s="2"/>
      <c r="W944" s="2"/>
      <c r="X944" s="2"/>
      <c r="Y944" s="2"/>
      <c r="Z944" s="2"/>
    </row>
    <row r="945" spans="13:26" ht="15.75" customHeight="1" x14ac:dyDescent="0.15">
      <c r="M945" s="2"/>
      <c r="N945" s="2"/>
      <c r="O945" s="2"/>
      <c r="P945" s="2"/>
      <c r="Q945" s="2"/>
      <c r="R945" s="2"/>
      <c r="S945" s="2"/>
      <c r="T945" s="2"/>
      <c r="U945" s="49"/>
      <c r="V945" s="2"/>
      <c r="W945" s="2"/>
      <c r="X945" s="2"/>
      <c r="Y945" s="2"/>
      <c r="Z945" s="2"/>
    </row>
    <row r="946" spans="13:26" ht="15.75" customHeight="1" x14ac:dyDescent="0.15">
      <c r="M946" s="2"/>
      <c r="N946" s="2"/>
      <c r="O946" s="2"/>
      <c r="P946" s="2"/>
      <c r="Q946" s="2"/>
      <c r="R946" s="2"/>
      <c r="S946" s="2"/>
      <c r="T946" s="2"/>
      <c r="U946" s="49"/>
      <c r="V946" s="2"/>
      <c r="W946" s="2"/>
      <c r="X946" s="2"/>
      <c r="Y946" s="2"/>
      <c r="Z946" s="2"/>
    </row>
    <row r="947" spans="13:26" ht="15.75" customHeight="1" x14ac:dyDescent="0.15">
      <c r="M947" s="2"/>
      <c r="N947" s="2"/>
      <c r="O947" s="2"/>
      <c r="P947" s="2"/>
      <c r="Q947" s="2"/>
      <c r="R947" s="2"/>
      <c r="S947" s="2"/>
      <c r="T947" s="2"/>
      <c r="U947" s="49"/>
      <c r="V947" s="2"/>
      <c r="W947" s="2"/>
      <c r="X947" s="2"/>
      <c r="Y947" s="2"/>
      <c r="Z947" s="2"/>
    </row>
    <row r="948" spans="13:26" ht="15.75" customHeight="1" x14ac:dyDescent="0.15">
      <c r="M948" s="2"/>
      <c r="N948" s="2"/>
      <c r="O948" s="2"/>
      <c r="P948" s="2"/>
      <c r="Q948" s="2"/>
      <c r="R948" s="2"/>
      <c r="S948" s="2"/>
      <c r="T948" s="2"/>
      <c r="U948" s="49"/>
      <c r="V948" s="2"/>
      <c r="W948" s="2"/>
      <c r="X948" s="2"/>
      <c r="Y948" s="2"/>
      <c r="Z948" s="2"/>
    </row>
    <row r="949" spans="13:26" ht="15.75" customHeight="1" x14ac:dyDescent="0.15">
      <c r="M949" s="2"/>
      <c r="N949" s="2"/>
      <c r="O949" s="2"/>
      <c r="P949" s="2"/>
      <c r="Q949" s="2"/>
      <c r="R949" s="2"/>
      <c r="S949" s="2"/>
      <c r="T949" s="2"/>
      <c r="U949" s="49"/>
      <c r="V949" s="2"/>
      <c r="W949" s="2"/>
      <c r="X949" s="2"/>
      <c r="Y949" s="2"/>
      <c r="Z949" s="2"/>
    </row>
    <row r="950" spans="13:26" ht="15.75" customHeight="1" x14ac:dyDescent="0.15">
      <c r="M950" s="2"/>
      <c r="N950" s="2"/>
      <c r="O950" s="2"/>
      <c r="P950" s="2"/>
      <c r="Q950" s="2"/>
      <c r="R950" s="2"/>
      <c r="S950" s="2"/>
      <c r="T950" s="2"/>
      <c r="U950" s="49"/>
      <c r="V950" s="2"/>
      <c r="W950" s="2"/>
      <c r="X950" s="2"/>
      <c r="Y950" s="2"/>
      <c r="Z950" s="2"/>
    </row>
    <row r="951" spans="13:26" ht="15.75" customHeight="1" x14ac:dyDescent="0.15">
      <c r="M951" s="2"/>
      <c r="N951" s="2"/>
      <c r="O951" s="2"/>
      <c r="P951" s="2"/>
      <c r="Q951" s="2"/>
      <c r="R951" s="2"/>
      <c r="S951" s="2"/>
      <c r="T951" s="2"/>
      <c r="U951" s="49"/>
      <c r="V951" s="2"/>
      <c r="W951" s="2"/>
      <c r="X951" s="2"/>
      <c r="Y951" s="2"/>
      <c r="Z951" s="2"/>
    </row>
    <row r="952" spans="13:26" ht="15.75" customHeight="1" x14ac:dyDescent="0.15">
      <c r="M952" s="2"/>
      <c r="N952" s="2"/>
      <c r="O952" s="2"/>
      <c r="P952" s="2"/>
      <c r="Q952" s="2"/>
      <c r="R952" s="2"/>
      <c r="S952" s="2"/>
      <c r="T952" s="2"/>
      <c r="U952" s="49"/>
      <c r="V952" s="2"/>
      <c r="W952" s="2"/>
      <c r="X952" s="2"/>
      <c r="Y952" s="2"/>
      <c r="Z952" s="2"/>
    </row>
    <row r="953" spans="13:26" ht="15.75" customHeight="1" x14ac:dyDescent="0.15">
      <c r="M953" s="2"/>
      <c r="N953" s="2"/>
      <c r="O953" s="2"/>
      <c r="P953" s="2"/>
      <c r="Q953" s="2"/>
      <c r="R953" s="2"/>
      <c r="S953" s="2"/>
      <c r="T953" s="2"/>
      <c r="U953" s="49"/>
      <c r="V953" s="2"/>
      <c r="W953" s="2"/>
      <c r="X953" s="2"/>
      <c r="Y953" s="2"/>
      <c r="Z953" s="2"/>
    </row>
    <row r="954" spans="13:26" ht="15.75" customHeight="1" x14ac:dyDescent="0.15">
      <c r="M954" s="2"/>
      <c r="N954" s="2"/>
      <c r="O954" s="2"/>
      <c r="P954" s="2"/>
      <c r="Q954" s="2"/>
      <c r="R954" s="2"/>
      <c r="S954" s="2"/>
      <c r="T954" s="2"/>
      <c r="U954" s="49"/>
      <c r="V954" s="2"/>
      <c r="W954" s="2"/>
      <c r="X954" s="2"/>
      <c r="Y954" s="2"/>
      <c r="Z954" s="2"/>
    </row>
    <row r="955" spans="13:26" ht="15.75" customHeight="1" x14ac:dyDescent="0.15">
      <c r="M955" s="2"/>
      <c r="N955" s="2"/>
      <c r="O955" s="2"/>
      <c r="P955" s="2"/>
      <c r="Q955" s="2"/>
      <c r="R955" s="2"/>
      <c r="S955" s="2"/>
      <c r="T955" s="2"/>
      <c r="U955" s="49"/>
      <c r="V955" s="2"/>
      <c r="W955" s="2"/>
      <c r="X955" s="2"/>
      <c r="Y955" s="2"/>
      <c r="Z955" s="2"/>
    </row>
    <row r="956" spans="13:26" ht="15.75" customHeight="1" x14ac:dyDescent="0.15">
      <c r="M956" s="2"/>
      <c r="N956" s="2"/>
      <c r="O956" s="2"/>
      <c r="P956" s="2"/>
      <c r="Q956" s="2"/>
      <c r="R956" s="2"/>
      <c r="S956" s="2"/>
      <c r="T956" s="2"/>
      <c r="U956" s="49"/>
      <c r="V956" s="2"/>
      <c r="W956" s="2"/>
      <c r="X956" s="2"/>
      <c r="Y956" s="2"/>
      <c r="Z956" s="2"/>
    </row>
    <row r="957" spans="13:26" ht="15.75" customHeight="1" x14ac:dyDescent="0.15">
      <c r="M957" s="2"/>
      <c r="N957" s="2"/>
      <c r="O957" s="2"/>
      <c r="P957" s="2"/>
      <c r="Q957" s="2"/>
      <c r="R957" s="2"/>
      <c r="S957" s="2"/>
      <c r="T957" s="2"/>
      <c r="U957" s="49"/>
      <c r="V957" s="2"/>
      <c r="W957" s="2"/>
      <c r="X957" s="2"/>
      <c r="Y957" s="2"/>
      <c r="Z957" s="2"/>
    </row>
    <row r="958" spans="13:26" ht="15.75" customHeight="1" x14ac:dyDescent="0.15">
      <c r="M958" s="2"/>
      <c r="N958" s="2"/>
      <c r="O958" s="2"/>
      <c r="P958" s="2"/>
      <c r="Q958" s="2"/>
      <c r="R958" s="2"/>
      <c r="S958" s="2"/>
      <c r="T958" s="2"/>
      <c r="U958" s="49"/>
      <c r="V958" s="2"/>
      <c r="W958" s="2"/>
      <c r="X958" s="2"/>
      <c r="Y958" s="2"/>
      <c r="Z958" s="2"/>
    </row>
    <row r="959" spans="13:26" ht="15.75" customHeight="1" x14ac:dyDescent="0.15">
      <c r="M959" s="2"/>
      <c r="N959" s="2"/>
      <c r="O959" s="2"/>
      <c r="P959" s="2"/>
      <c r="Q959" s="2"/>
      <c r="R959" s="2"/>
      <c r="S959" s="2"/>
      <c r="T959" s="2"/>
      <c r="U959" s="49"/>
      <c r="V959" s="2"/>
      <c r="W959" s="2"/>
      <c r="X959" s="2"/>
      <c r="Y959" s="2"/>
      <c r="Z959" s="2"/>
    </row>
    <row r="960" spans="13:26" ht="15.75" customHeight="1" x14ac:dyDescent="0.15">
      <c r="M960" s="2"/>
      <c r="N960" s="2"/>
      <c r="O960" s="2"/>
      <c r="P960" s="2"/>
      <c r="Q960" s="2"/>
      <c r="R960" s="2"/>
      <c r="S960" s="2"/>
      <c r="T960" s="2"/>
      <c r="U960" s="49"/>
      <c r="V960" s="2"/>
      <c r="W960" s="2"/>
      <c r="X960" s="2"/>
      <c r="Y960" s="2"/>
      <c r="Z960" s="2"/>
    </row>
    <row r="961" spans="13:26" ht="15.75" customHeight="1" x14ac:dyDescent="0.15">
      <c r="M961" s="2"/>
      <c r="N961" s="2"/>
      <c r="O961" s="2"/>
      <c r="P961" s="2"/>
      <c r="Q961" s="2"/>
      <c r="R961" s="2"/>
      <c r="S961" s="2"/>
      <c r="T961" s="2"/>
      <c r="U961" s="49"/>
      <c r="V961" s="2"/>
      <c r="W961" s="2"/>
      <c r="X961" s="2"/>
      <c r="Y961" s="2"/>
      <c r="Z961" s="2"/>
    </row>
    <row r="962" spans="13:26" ht="15.75" customHeight="1" x14ac:dyDescent="0.15">
      <c r="M962" s="2"/>
      <c r="N962" s="2"/>
      <c r="O962" s="2"/>
      <c r="P962" s="2"/>
      <c r="Q962" s="2"/>
      <c r="R962" s="2"/>
      <c r="S962" s="2"/>
      <c r="T962" s="2"/>
      <c r="U962" s="49"/>
      <c r="V962" s="2"/>
      <c r="W962" s="2"/>
      <c r="X962" s="2"/>
      <c r="Y962" s="2"/>
      <c r="Z962" s="2"/>
    </row>
    <row r="963" spans="13:26" ht="15.75" customHeight="1" x14ac:dyDescent="0.15">
      <c r="M963" s="2"/>
      <c r="N963" s="2"/>
      <c r="O963" s="2"/>
      <c r="P963" s="2"/>
      <c r="Q963" s="2"/>
      <c r="R963" s="2"/>
      <c r="S963" s="2"/>
      <c r="T963" s="2"/>
      <c r="U963" s="49"/>
      <c r="V963" s="2"/>
      <c r="W963" s="2"/>
      <c r="X963" s="2"/>
      <c r="Y963" s="2"/>
      <c r="Z963" s="2"/>
    </row>
    <row r="964" spans="13:26" ht="15.75" customHeight="1" x14ac:dyDescent="0.15">
      <c r="M964" s="2"/>
      <c r="N964" s="2"/>
      <c r="O964" s="2"/>
      <c r="P964" s="2"/>
      <c r="Q964" s="2"/>
      <c r="R964" s="2"/>
      <c r="S964" s="2"/>
      <c r="T964" s="2"/>
      <c r="U964" s="49"/>
      <c r="V964" s="2"/>
      <c r="W964" s="2"/>
      <c r="X964" s="2"/>
      <c r="Y964" s="2"/>
      <c r="Z964" s="2"/>
    </row>
    <row r="965" spans="13:26" ht="15.75" customHeight="1" x14ac:dyDescent="0.15">
      <c r="M965" s="2"/>
      <c r="N965" s="2"/>
      <c r="O965" s="2"/>
      <c r="P965" s="2"/>
      <c r="Q965" s="2"/>
      <c r="R965" s="2"/>
      <c r="S965" s="2"/>
      <c r="T965" s="2"/>
      <c r="U965" s="49"/>
      <c r="V965" s="2"/>
      <c r="W965" s="2"/>
      <c r="X965" s="2"/>
      <c r="Y965" s="2"/>
      <c r="Z965" s="2"/>
    </row>
    <row r="966" spans="13:26" ht="15.75" customHeight="1" x14ac:dyDescent="0.15">
      <c r="M966" s="2"/>
      <c r="N966" s="2"/>
      <c r="O966" s="2"/>
      <c r="P966" s="2"/>
      <c r="Q966" s="2"/>
      <c r="R966" s="2"/>
      <c r="S966" s="2"/>
      <c r="T966" s="2"/>
      <c r="U966" s="49"/>
      <c r="V966" s="2"/>
      <c r="W966" s="2"/>
      <c r="X966" s="2"/>
      <c r="Y966" s="2"/>
      <c r="Z966" s="2"/>
    </row>
    <row r="967" spans="13:26" ht="15.75" customHeight="1" x14ac:dyDescent="0.15">
      <c r="M967" s="2"/>
      <c r="N967" s="2"/>
      <c r="O967" s="2"/>
      <c r="P967" s="2"/>
      <c r="Q967" s="2"/>
      <c r="R967" s="2"/>
      <c r="S967" s="2"/>
      <c r="T967" s="2"/>
      <c r="U967" s="49"/>
      <c r="V967" s="2"/>
      <c r="W967" s="2"/>
      <c r="X967" s="2"/>
      <c r="Y967" s="2"/>
      <c r="Z967" s="2"/>
    </row>
    <row r="968" spans="13:26" ht="15.75" customHeight="1" x14ac:dyDescent="0.15">
      <c r="M968" s="2"/>
      <c r="N968" s="2"/>
      <c r="O968" s="2"/>
      <c r="P968" s="2"/>
      <c r="Q968" s="2"/>
      <c r="R968" s="2"/>
      <c r="S968" s="2"/>
      <c r="T968" s="2"/>
      <c r="U968" s="49"/>
      <c r="V968" s="2"/>
      <c r="W968" s="2"/>
      <c r="X968" s="2"/>
      <c r="Y968" s="2"/>
      <c r="Z968" s="2"/>
    </row>
    <row r="969" spans="13:26" ht="15.75" customHeight="1" x14ac:dyDescent="0.15">
      <c r="M969" s="2"/>
      <c r="N969" s="2"/>
      <c r="O969" s="2"/>
      <c r="P969" s="2"/>
      <c r="Q969" s="2"/>
      <c r="R969" s="2"/>
      <c r="S969" s="2"/>
      <c r="T969" s="2"/>
      <c r="U969" s="49"/>
      <c r="V969" s="2"/>
      <c r="W969" s="2"/>
      <c r="X969" s="2"/>
      <c r="Y969" s="2"/>
      <c r="Z969" s="2"/>
    </row>
    <row r="970" spans="13:26" ht="15.75" customHeight="1" x14ac:dyDescent="0.15">
      <c r="M970" s="2"/>
      <c r="N970" s="2"/>
      <c r="O970" s="2"/>
      <c r="P970" s="2"/>
      <c r="Q970" s="2"/>
      <c r="R970" s="2"/>
      <c r="S970" s="2"/>
      <c r="T970" s="2"/>
      <c r="U970" s="49"/>
      <c r="V970" s="2"/>
      <c r="W970" s="2"/>
      <c r="X970" s="2"/>
      <c r="Y970" s="2"/>
      <c r="Z970" s="2"/>
    </row>
    <row r="971" spans="13:26" ht="15.75" customHeight="1" x14ac:dyDescent="0.15">
      <c r="M971" s="2"/>
      <c r="N971" s="2"/>
      <c r="O971" s="2"/>
      <c r="P971" s="2"/>
      <c r="Q971" s="2"/>
      <c r="R971" s="2"/>
      <c r="S971" s="2"/>
      <c r="T971" s="2"/>
      <c r="U971" s="49"/>
      <c r="V971" s="2"/>
      <c r="W971" s="2"/>
      <c r="X971" s="2"/>
      <c r="Y971" s="2"/>
      <c r="Z971" s="2"/>
    </row>
    <row r="972" spans="13:26" ht="15.75" customHeight="1" x14ac:dyDescent="0.15">
      <c r="M972" s="2"/>
      <c r="N972" s="2"/>
      <c r="O972" s="2"/>
      <c r="P972" s="2"/>
      <c r="Q972" s="2"/>
      <c r="R972" s="2"/>
      <c r="S972" s="2"/>
      <c r="T972" s="2"/>
      <c r="U972" s="49"/>
      <c r="V972" s="2"/>
      <c r="W972" s="2"/>
      <c r="X972" s="2"/>
      <c r="Y972" s="2"/>
      <c r="Z972" s="2"/>
    </row>
    <row r="973" spans="13:26" ht="15.75" customHeight="1" x14ac:dyDescent="0.15">
      <c r="M973" s="2"/>
      <c r="N973" s="2"/>
      <c r="O973" s="2"/>
      <c r="P973" s="2"/>
      <c r="Q973" s="2"/>
      <c r="R973" s="2"/>
      <c r="S973" s="2"/>
      <c r="T973" s="2"/>
      <c r="U973" s="49"/>
      <c r="V973" s="2"/>
      <c r="W973" s="2"/>
      <c r="X973" s="2"/>
      <c r="Y973" s="2"/>
      <c r="Z973" s="2"/>
    </row>
    <row r="974" spans="13:26" ht="15.75" customHeight="1" x14ac:dyDescent="0.15">
      <c r="M974" s="2"/>
      <c r="N974" s="2"/>
      <c r="O974" s="2"/>
      <c r="P974" s="2"/>
      <c r="Q974" s="2"/>
      <c r="R974" s="2"/>
      <c r="S974" s="2"/>
      <c r="T974" s="2"/>
      <c r="U974" s="49"/>
      <c r="V974" s="2"/>
      <c r="W974" s="2"/>
      <c r="X974" s="2"/>
      <c r="Y974" s="2"/>
      <c r="Z974" s="2"/>
    </row>
    <row r="975" spans="13:26" ht="15.75" customHeight="1" x14ac:dyDescent="0.15">
      <c r="M975" s="2"/>
      <c r="N975" s="2"/>
      <c r="O975" s="2"/>
      <c r="P975" s="2"/>
      <c r="Q975" s="2"/>
      <c r="R975" s="2"/>
      <c r="S975" s="2"/>
      <c r="T975" s="2"/>
      <c r="U975" s="49"/>
      <c r="V975" s="2"/>
      <c r="W975" s="2"/>
      <c r="X975" s="2"/>
      <c r="Y975" s="2"/>
      <c r="Z975" s="2"/>
    </row>
    <row r="976" spans="13:26" ht="15.75" customHeight="1" x14ac:dyDescent="0.15">
      <c r="M976" s="2"/>
      <c r="N976" s="2"/>
      <c r="O976" s="2"/>
      <c r="P976" s="2"/>
      <c r="Q976" s="2"/>
      <c r="R976" s="2"/>
      <c r="S976" s="2"/>
      <c r="T976" s="2"/>
      <c r="U976" s="49"/>
      <c r="V976" s="2"/>
      <c r="W976" s="2"/>
      <c r="X976" s="2"/>
      <c r="Y976" s="2"/>
      <c r="Z976" s="2"/>
    </row>
    <row r="977" spans="13:26" ht="15.75" customHeight="1" x14ac:dyDescent="0.15">
      <c r="M977" s="2"/>
      <c r="N977" s="2"/>
      <c r="O977" s="2"/>
      <c r="P977" s="2"/>
      <c r="Q977" s="2"/>
      <c r="R977" s="2"/>
      <c r="S977" s="2"/>
      <c r="T977" s="2"/>
      <c r="U977" s="49"/>
      <c r="V977" s="2"/>
      <c r="W977" s="2"/>
      <c r="X977" s="2"/>
      <c r="Y977" s="2"/>
      <c r="Z977" s="2"/>
    </row>
    <row r="978" spans="13:26" ht="15.75" customHeight="1" x14ac:dyDescent="0.15">
      <c r="M978" s="2"/>
      <c r="N978" s="2"/>
      <c r="O978" s="2"/>
      <c r="P978" s="2"/>
      <c r="Q978" s="2"/>
      <c r="R978" s="2"/>
      <c r="S978" s="2"/>
      <c r="T978" s="2"/>
      <c r="U978" s="49"/>
      <c r="V978" s="2"/>
      <c r="W978" s="2"/>
      <c r="X978" s="2"/>
      <c r="Y978" s="2"/>
      <c r="Z978" s="2"/>
    </row>
    <row r="979" spans="13:26" ht="15.75" customHeight="1" x14ac:dyDescent="0.15">
      <c r="M979" s="2"/>
      <c r="N979" s="2"/>
      <c r="O979" s="2"/>
      <c r="P979" s="2"/>
      <c r="Q979" s="2"/>
      <c r="R979" s="2"/>
      <c r="S979" s="2"/>
      <c r="T979" s="2"/>
      <c r="U979" s="49"/>
      <c r="V979" s="2"/>
      <c r="W979" s="2"/>
      <c r="X979" s="2"/>
      <c r="Y979" s="2"/>
      <c r="Z979" s="2"/>
    </row>
    <row r="980" spans="13:26" ht="15.75" customHeight="1" x14ac:dyDescent="0.15">
      <c r="M980" s="2"/>
      <c r="N980" s="2"/>
      <c r="O980" s="2"/>
      <c r="P980" s="2"/>
      <c r="Q980" s="2"/>
      <c r="R980" s="2"/>
      <c r="S980" s="2"/>
      <c r="T980" s="2"/>
      <c r="U980" s="49"/>
      <c r="V980" s="2"/>
      <c r="W980" s="2"/>
      <c r="X980" s="2"/>
      <c r="Y980" s="2"/>
      <c r="Z980" s="2"/>
    </row>
    <row r="981" spans="13:26" ht="15.75" customHeight="1" x14ac:dyDescent="0.15">
      <c r="M981" s="2"/>
      <c r="N981" s="2"/>
      <c r="O981" s="2"/>
      <c r="P981" s="2"/>
      <c r="Q981" s="2"/>
      <c r="R981" s="2"/>
      <c r="S981" s="2"/>
      <c r="T981" s="2"/>
      <c r="U981" s="49"/>
      <c r="V981" s="2"/>
      <c r="W981" s="2"/>
      <c r="X981" s="2"/>
      <c r="Y981" s="2"/>
      <c r="Z981" s="2"/>
    </row>
    <row r="982" spans="13:26" ht="15.75" customHeight="1" x14ac:dyDescent="0.15">
      <c r="M982" s="2"/>
      <c r="N982" s="2"/>
      <c r="O982" s="2"/>
      <c r="P982" s="2"/>
      <c r="Q982" s="2"/>
      <c r="R982" s="2"/>
      <c r="S982" s="2"/>
      <c r="T982" s="2"/>
      <c r="U982" s="49"/>
      <c r="V982" s="2"/>
      <c r="W982" s="2"/>
      <c r="X982" s="2"/>
      <c r="Y982" s="2"/>
      <c r="Z982" s="2"/>
    </row>
    <row r="983" spans="13:26" ht="15.75" customHeight="1" x14ac:dyDescent="0.15">
      <c r="M983" s="2"/>
      <c r="N983" s="2"/>
      <c r="O983" s="2"/>
      <c r="P983" s="2"/>
      <c r="Q983" s="2"/>
      <c r="R983" s="2"/>
      <c r="S983" s="2"/>
      <c r="T983" s="2"/>
      <c r="U983" s="49"/>
      <c r="V983" s="2"/>
      <c r="W983" s="2"/>
      <c r="X983" s="2"/>
      <c r="Y983" s="2"/>
      <c r="Z983" s="2"/>
    </row>
    <row r="984" spans="13:26" ht="15.75" customHeight="1" x14ac:dyDescent="0.15">
      <c r="M984" s="2"/>
      <c r="N984" s="2"/>
      <c r="O984" s="2"/>
      <c r="P984" s="2"/>
      <c r="Q984" s="2"/>
      <c r="R984" s="2"/>
      <c r="S984" s="2"/>
      <c r="T984" s="2"/>
      <c r="U984" s="49"/>
      <c r="V984" s="2"/>
      <c r="W984" s="2"/>
      <c r="X984" s="2"/>
      <c r="Y984" s="2"/>
      <c r="Z984" s="2"/>
    </row>
    <row r="985" spans="13:26" ht="15.75" customHeight="1" x14ac:dyDescent="0.15">
      <c r="M985" s="2"/>
      <c r="N985" s="2"/>
      <c r="O985" s="2"/>
      <c r="P985" s="2"/>
      <c r="Q985" s="2"/>
      <c r="R985" s="2"/>
      <c r="S985" s="2"/>
      <c r="T985" s="2"/>
      <c r="U985" s="49"/>
      <c r="V985" s="2"/>
      <c r="W985" s="2"/>
      <c r="X985" s="2"/>
      <c r="Y985" s="2"/>
      <c r="Z985" s="2"/>
    </row>
    <row r="986" spans="13:26" ht="15.75" customHeight="1" x14ac:dyDescent="0.15">
      <c r="M986" s="2"/>
      <c r="N986" s="2"/>
      <c r="O986" s="2"/>
      <c r="P986" s="2"/>
      <c r="Q986" s="2"/>
      <c r="R986" s="2"/>
      <c r="S986" s="2"/>
      <c r="T986" s="2"/>
      <c r="U986" s="49"/>
      <c r="V986" s="2"/>
      <c r="W986" s="2"/>
      <c r="X986" s="2"/>
      <c r="Y986" s="2"/>
      <c r="Z986" s="2"/>
    </row>
    <row r="987" spans="13:26" ht="15.75" customHeight="1" x14ac:dyDescent="0.15">
      <c r="M987" s="2"/>
      <c r="N987" s="2"/>
      <c r="O987" s="2"/>
      <c r="P987" s="2"/>
      <c r="Q987" s="2"/>
      <c r="R987" s="2"/>
      <c r="S987" s="2"/>
      <c r="T987" s="2"/>
      <c r="U987" s="49"/>
      <c r="V987" s="2"/>
      <c r="W987" s="2"/>
      <c r="X987" s="2"/>
      <c r="Y987" s="2"/>
      <c r="Z987" s="2"/>
    </row>
    <row r="988" spans="13:26" ht="15.75" customHeight="1" x14ac:dyDescent="0.15">
      <c r="M988" s="2"/>
      <c r="N988" s="2"/>
      <c r="O988" s="2"/>
      <c r="P988" s="2"/>
      <c r="Q988" s="2"/>
      <c r="R988" s="2"/>
      <c r="S988" s="2"/>
      <c r="T988" s="2"/>
      <c r="U988" s="49"/>
      <c r="V988" s="2"/>
      <c r="W988" s="2"/>
      <c r="X988" s="2"/>
      <c r="Y988" s="2"/>
      <c r="Z988" s="2"/>
    </row>
    <row r="989" spans="13:26" ht="15.75" customHeight="1" x14ac:dyDescent="0.15">
      <c r="M989" s="2"/>
      <c r="N989" s="2"/>
      <c r="O989" s="2"/>
      <c r="P989" s="2"/>
      <c r="Q989" s="2"/>
      <c r="R989" s="2"/>
      <c r="S989" s="2"/>
      <c r="T989" s="2"/>
      <c r="U989" s="49"/>
      <c r="V989" s="2"/>
      <c r="W989" s="2"/>
      <c r="X989" s="2"/>
      <c r="Y989" s="2"/>
      <c r="Z989" s="2"/>
    </row>
    <row r="990" spans="13:26" ht="15.75" customHeight="1" x14ac:dyDescent="0.15">
      <c r="M990" s="2"/>
      <c r="N990" s="2"/>
      <c r="O990" s="2"/>
      <c r="P990" s="2"/>
      <c r="Q990" s="2"/>
      <c r="R990" s="2"/>
      <c r="S990" s="2"/>
      <c r="T990" s="2"/>
      <c r="U990" s="49"/>
      <c r="V990" s="2"/>
      <c r="W990" s="2"/>
      <c r="X990" s="2"/>
      <c r="Y990" s="2"/>
      <c r="Z990" s="2"/>
    </row>
    <row r="991" spans="13:26" ht="15.75" customHeight="1" x14ac:dyDescent="0.15">
      <c r="M991" s="2"/>
      <c r="N991" s="2"/>
      <c r="O991" s="2"/>
      <c r="P991" s="2"/>
      <c r="Q991" s="2"/>
      <c r="R991" s="2"/>
      <c r="S991" s="2"/>
      <c r="T991" s="2"/>
      <c r="U991" s="49"/>
      <c r="V991" s="2"/>
      <c r="W991" s="2"/>
      <c r="X991" s="2"/>
      <c r="Y991" s="2"/>
      <c r="Z991" s="2"/>
    </row>
    <row r="992" spans="13:26" ht="15.75" customHeight="1" x14ac:dyDescent="0.15">
      <c r="M992" s="2"/>
      <c r="N992" s="2"/>
      <c r="O992" s="2"/>
      <c r="P992" s="2"/>
      <c r="Q992" s="2"/>
      <c r="R992" s="2"/>
      <c r="S992" s="2"/>
      <c r="T992" s="2"/>
      <c r="U992" s="49"/>
      <c r="V992" s="2"/>
      <c r="W992" s="2"/>
      <c r="X992" s="2"/>
      <c r="Y992" s="2"/>
      <c r="Z992" s="2"/>
    </row>
    <row r="993" spans="13:26" ht="15.75" customHeight="1" x14ac:dyDescent="0.15">
      <c r="M993" s="2"/>
      <c r="N993" s="2"/>
      <c r="O993" s="2"/>
      <c r="P993" s="2"/>
      <c r="Q993" s="2"/>
      <c r="R993" s="2"/>
      <c r="S993" s="2"/>
      <c r="T993" s="2"/>
      <c r="U993" s="49"/>
      <c r="V993" s="2"/>
      <c r="W993" s="2"/>
      <c r="X993" s="2"/>
      <c r="Y993" s="2"/>
      <c r="Z993" s="2"/>
    </row>
    <row r="994" spans="13:26" ht="15.75" customHeight="1" x14ac:dyDescent="0.15">
      <c r="M994" s="2"/>
      <c r="N994" s="2"/>
      <c r="O994" s="2"/>
      <c r="P994" s="2"/>
      <c r="Q994" s="2"/>
      <c r="R994" s="2"/>
      <c r="S994" s="2"/>
      <c r="T994" s="2"/>
      <c r="U994" s="49"/>
      <c r="V994" s="2"/>
      <c r="W994" s="2"/>
      <c r="X994" s="2"/>
      <c r="Y994" s="2"/>
      <c r="Z994" s="2"/>
    </row>
    <row r="995" spans="13:26" ht="15.75" customHeight="1" x14ac:dyDescent="0.15">
      <c r="M995" s="2"/>
      <c r="N995" s="2"/>
      <c r="O995" s="2"/>
      <c r="P995" s="2"/>
      <c r="Q995" s="2"/>
      <c r="R995" s="2"/>
      <c r="S995" s="2"/>
      <c r="T995" s="2"/>
      <c r="U995" s="49"/>
      <c r="V995" s="2"/>
      <c r="W995" s="2"/>
      <c r="X995" s="2"/>
      <c r="Y995" s="2"/>
      <c r="Z995" s="2"/>
    </row>
    <row r="996" spans="13:26" ht="15.75" customHeight="1" x14ac:dyDescent="0.15">
      <c r="M996" s="2"/>
      <c r="N996" s="2"/>
      <c r="O996" s="2"/>
      <c r="P996" s="2"/>
      <c r="Q996" s="2"/>
      <c r="R996" s="2"/>
      <c r="S996" s="2"/>
      <c r="T996" s="2"/>
      <c r="U996" s="49"/>
      <c r="V996" s="2"/>
      <c r="W996" s="2"/>
      <c r="X996" s="2"/>
      <c r="Y996" s="2"/>
      <c r="Z996" s="2"/>
    </row>
    <row r="997" spans="13:26" ht="15.75" customHeight="1" x14ac:dyDescent="0.15">
      <c r="M997" s="2"/>
      <c r="N997" s="2"/>
      <c r="O997" s="2"/>
      <c r="P997" s="2"/>
      <c r="Q997" s="2"/>
      <c r="R997" s="2"/>
      <c r="S997" s="2"/>
      <c r="T997" s="2"/>
      <c r="U997" s="49"/>
      <c r="V997" s="2"/>
      <c r="W997" s="2"/>
      <c r="X997" s="2"/>
      <c r="Y997" s="2"/>
      <c r="Z997" s="2"/>
    </row>
    <row r="998" spans="13:26" ht="15.75" customHeight="1" x14ac:dyDescent="0.15">
      <c r="M998" s="2"/>
      <c r="N998" s="2"/>
      <c r="O998" s="2"/>
      <c r="P998" s="2"/>
      <c r="Q998" s="2"/>
      <c r="R998" s="2"/>
      <c r="S998" s="2"/>
      <c r="T998" s="2"/>
      <c r="U998" s="49"/>
      <c r="V998" s="2"/>
      <c r="W998" s="2"/>
      <c r="X998" s="2"/>
      <c r="Y998" s="2"/>
      <c r="Z998" s="2"/>
    </row>
    <row r="999" spans="13:26" ht="15.75" customHeight="1" x14ac:dyDescent="0.15">
      <c r="M999" s="2"/>
      <c r="N999" s="2"/>
      <c r="O999" s="2"/>
      <c r="P999" s="2"/>
      <c r="Q999" s="2"/>
      <c r="R999" s="2"/>
      <c r="S999" s="2"/>
      <c r="T999" s="2"/>
      <c r="U999" s="49"/>
      <c r="V999" s="2"/>
      <c r="W999" s="2"/>
      <c r="X999" s="2"/>
      <c r="Y999" s="2"/>
      <c r="Z999" s="2"/>
    </row>
    <row r="1000" spans="13:26" ht="15.75" customHeight="1" x14ac:dyDescent="0.15">
      <c r="M1000" s="2"/>
      <c r="N1000" s="2"/>
      <c r="O1000" s="2"/>
      <c r="P1000" s="2"/>
      <c r="Q1000" s="2"/>
      <c r="R1000" s="2"/>
      <c r="S1000" s="2"/>
      <c r="T1000" s="2"/>
      <c r="U1000" s="49"/>
      <c r="V1000" s="2"/>
      <c r="W1000" s="2"/>
      <c r="X1000" s="2"/>
      <c r="Y1000" s="2"/>
      <c r="Z1000" s="2"/>
    </row>
    <row r="1001" spans="13:26" ht="15.75" customHeight="1" x14ac:dyDescent="0.15">
      <c r="M1001" s="2"/>
      <c r="N1001" s="2"/>
      <c r="O1001" s="2"/>
      <c r="P1001" s="2"/>
      <c r="Q1001" s="2"/>
      <c r="R1001" s="2"/>
      <c r="S1001" s="2"/>
      <c r="T1001" s="2"/>
      <c r="U1001" s="49"/>
      <c r="V1001" s="2"/>
      <c r="W1001" s="2"/>
      <c r="X1001" s="2"/>
      <c r="Y1001" s="2"/>
      <c r="Z1001" s="2"/>
    </row>
    <row r="1002" spans="13:26" ht="15.75" customHeight="1" x14ac:dyDescent="0.15">
      <c r="M1002" s="2"/>
      <c r="N1002" s="2"/>
      <c r="O1002" s="2"/>
      <c r="P1002" s="2"/>
      <c r="Q1002" s="2"/>
      <c r="R1002" s="2"/>
      <c r="S1002" s="2"/>
      <c r="T1002" s="2"/>
      <c r="U1002" s="49"/>
      <c r="V1002" s="2"/>
      <c r="W1002" s="2"/>
      <c r="X1002" s="2"/>
      <c r="Y1002" s="2"/>
      <c r="Z1002" s="2"/>
    </row>
    <row r="1003" spans="13:26" ht="15.75" customHeight="1" x14ac:dyDescent="0.15">
      <c r="M1003" s="2"/>
      <c r="N1003" s="2"/>
      <c r="O1003" s="2"/>
      <c r="P1003" s="2"/>
      <c r="Q1003" s="2"/>
      <c r="R1003" s="2"/>
      <c r="S1003" s="2"/>
      <c r="T1003" s="2"/>
      <c r="U1003" s="49"/>
      <c r="V1003" s="2"/>
      <c r="W1003" s="2"/>
      <c r="X1003" s="2"/>
      <c r="Y1003" s="2"/>
      <c r="Z1003" s="2"/>
    </row>
    <row r="1004" spans="13:26" ht="15.75" customHeight="1" x14ac:dyDescent="0.15">
      <c r="M1004" s="2"/>
      <c r="N1004" s="2"/>
      <c r="O1004" s="2"/>
      <c r="P1004" s="2"/>
      <c r="Q1004" s="2"/>
      <c r="R1004" s="2"/>
      <c r="S1004" s="2"/>
      <c r="T1004" s="2"/>
      <c r="U1004" s="49"/>
      <c r="V1004" s="2"/>
      <c r="W1004" s="2"/>
      <c r="X1004" s="2"/>
      <c r="Y1004" s="2"/>
      <c r="Z1004" s="2"/>
    </row>
    <row r="1005" spans="13:26" ht="15.75" customHeight="1" x14ac:dyDescent="0.15">
      <c r="M1005" s="2"/>
      <c r="N1005" s="2"/>
      <c r="O1005" s="2"/>
      <c r="P1005" s="2"/>
      <c r="Q1005" s="2"/>
      <c r="R1005" s="2"/>
      <c r="S1005" s="2"/>
      <c r="T1005" s="2"/>
      <c r="U1005" s="49"/>
      <c r="V1005" s="2"/>
      <c r="W1005" s="2"/>
      <c r="X1005" s="2"/>
      <c r="Y1005" s="2"/>
      <c r="Z1005" s="2"/>
    </row>
    <row r="1006" spans="13:26" ht="15.75" customHeight="1" x14ac:dyDescent="0.15">
      <c r="M1006" s="2"/>
      <c r="N1006" s="2"/>
      <c r="O1006" s="2"/>
      <c r="P1006" s="2"/>
      <c r="Q1006" s="2"/>
      <c r="R1006" s="2"/>
      <c r="S1006" s="2"/>
      <c r="T1006" s="2"/>
      <c r="U1006" s="49"/>
      <c r="V1006" s="2"/>
      <c r="W1006" s="2"/>
      <c r="X1006" s="2"/>
      <c r="Y1006" s="2"/>
      <c r="Z1006" s="2"/>
    </row>
    <row r="1007" spans="13:26" ht="15.75" customHeight="1" x14ac:dyDescent="0.15">
      <c r="M1007" s="2"/>
      <c r="N1007" s="2"/>
      <c r="O1007" s="2"/>
      <c r="P1007" s="2"/>
      <c r="Q1007" s="2"/>
      <c r="R1007" s="2"/>
      <c r="S1007" s="2"/>
      <c r="T1007" s="2"/>
      <c r="U1007" s="49"/>
      <c r="V1007" s="2"/>
      <c r="W1007" s="2"/>
      <c r="X1007" s="2"/>
      <c r="Y1007" s="2"/>
      <c r="Z1007" s="2"/>
    </row>
    <row r="1008" spans="13:26" ht="15.75" customHeight="1" x14ac:dyDescent="0.15">
      <c r="M1008" s="2"/>
      <c r="N1008" s="2"/>
      <c r="O1008" s="2"/>
      <c r="P1008" s="2"/>
      <c r="Q1008" s="2"/>
      <c r="R1008" s="2"/>
      <c r="S1008" s="2"/>
      <c r="T1008" s="2"/>
      <c r="U1008" s="49"/>
      <c r="V1008" s="2"/>
      <c r="W1008" s="2"/>
      <c r="X1008" s="2"/>
      <c r="Y1008" s="2"/>
      <c r="Z1008" s="2"/>
    </row>
    <row r="1009" spans="13:26" ht="15.75" customHeight="1" x14ac:dyDescent="0.15">
      <c r="M1009" s="2"/>
      <c r="N1009" s="2"/>
      <c r="O1009" s="2"/>
      <c r="P1009" s="2"/>
      <c r="Q1009" s="2"/>
      <c r="R1009" s="2"/>
      <c r="S1009" s="2"/>
      <c r="T1009" s="2"/>
      <c r="U1009" s="49"/>
      <c r="V1009" s="2"/>
      <c r="W1009" s="2"/>
      <c r="X1009" s="2"/>
      <c r="Y1009" s="2"/>
      <c r="Z1009" s="2"/>
    </row>
  </sheetData>
  <mergeCells count="4">
    <mergeCell ref="B59:D59"/>
    <mergeCell ref="B60:D60"/>
    <mergeCell ref="B61:D61"/>
    <mergeCell ref="B62:D62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J1000"/>
  <sheetViews>
    <sheetView showGridLines="0" workbookViewId="0"/>
  </sheetViews>
  <sheetFormatPr baseColWidth="10" defaultColWidth="12.6640625" defaultRowHeight="15" customHeight="1" outlineLevelCol="1" x14ac:dyDescent="0.15"/>
  <cols>
    <col min="1" max="1" width="1.5" customWidth="1"/>
    <col min="2" max="2" width="32.6640625" customWidth="1"/>
    <col min="3" max="3" width="8.6640625" customWidth="1"/>
    <col min="4" max="11" width="9.5" hidden="1" customWidth="1" outlineLevel="1"/>
    <col min="12" max="12" width="12" customWidth="1" collapsed="1"/>
    <col min="13" max="13" width="11.5" hidden="1" customWidth="1" outlineLevel="1"/>
    <col min="14" max="14" width="6.6640625" hidden="1" customWidth="1" outlineLevel="1"/>
    <col min="15" max="15" width="5.33203125" hidden="1" customWidth="1" outlineLevel="1"/>
    <col min="16" max="16" width="8.83203125" hidden="1" customWidth="1" outlineLevel="1"/>
    <col min="17" max="17" width="9.5" customWidth="1" collapsed="1"/>
    <col min="18" max="20" width="9.5" hidden="1" customWidth="1" outlineLevel="1"/>
    <col min="21" max="21" width="9.1640625" hidden="1" customWidth="1" outlineLevel="1"/>
    <col min="22" max="22" width="9.5" customWidth="1" collapsed="1"/>
    <col min="23" max="26" width="9.5" hidden="1" customWidth="1" outlineLevel="1"/>
    <col min="27" max="27" width="9.5" customWidth="1" collapsed="1"/>
    <col min="28" max="31" width="9.5" hidden="1" customWidth="1" outlineLevel="1"/>
    <col min="32" max="32" width="9.5" customWidth="1" collapsed="1"/>
    <col min="33" max="36" width="9.5" hidden="1" customWidth="1" outlineLevel="1"/>
    <col min="37" max="37" width="9.5" customWidth="1" collapsed="1"/>
    <col min="38" max="41" width="9.5" hidden="1" customWidth="1" outlineLevel="1"/>
    <col min="42" max="42" width="9.5" customWidth="1" collapsed="1"/>
    <col min="43" max="46" width="9.5" hidden="1" customWidth="1" outlineLevel="1"/>
    <col min="47" max="47" width="9.5" customWidth="1" collapsed="1"/>
    <col min="48" max="51" width="9.5" hidden="1" customWidth="1" outlineLevel="1"/>
    <col min="52" max="52" width="9.5" customWidth="1" collapsed="1"/>
    <col min="53" max="56" width="9.5" hidden="1" customWidth="1" outlineLevel="1"/>
    <col min="57" max="57" width="9.5" customWidth="1" collapsed="1"/>
    <col min="58" max="62" width="8" customWidth="1"/>
  </cols>
  <sheetData>
    <row r="1" spans="1:62" ht="9.75" customHeight="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</row>
    <row r="2" spans="1:62" ht="15" customHeight="1" x14ac:dyDescent="0.2">
      <c r="A2" s="10"/>
      <c r="B2" s="11"/>
      <c r="C2" s="192"/>
      <c r="D2" s="13"/>
      <c r="E2" s="14"/>
      <c r="F2" s="15"/>
      <c r="G2" s="16"/>
      <c r="H2" s="13"/>
      <c r="I2" s="14"/>
      <c r="J2" s="15"/>
      <c r="K2" s="16"/>
      <c r="L2" s="17"/>
      <c r="M2" s="13"/>
      <c r="N2" s="14"/>
      <c r="O2" s="15"/>
      <c r="P2" s="16"/>
      <c r="Q2" s="17"/>
      <c r="R2" s="13"/>
      <c r="S2" s="14"/>
      <c r="T2" s="15"/>
      <c r="U2" s="16"/>
      <c r="V2" s="17"/>
      <c r="W2" s="13"/>
      <c r="X2" s="14"/>
      <c r="Y2" s="15"/>
      <c r="Z2" s="16"/>
      <c r="AA2" s="17"/>
      <c r="AB2" s="13"/>
      <c r="AC2" s="14"/>
      <c r="AD2" s="15"/>
      <c r="AE2" s="16"/>
      <c r="AF2" s="17"/>
      <c r="AG2" s="13"/>
      <c r="AH2" s="14"/>
      <c r="AI2" s="15"/>
      <c r="AJ2" s="16"/>
      <c r="AK2" s="17"/>
      <c r="AL2" s="13"/>
      <c r="AM2" s="14"/>
      <c r="AN2" s="15"/>
      <c r="AO2" s="16"/>
      <c r="AP2" s="17"/>
      <c r="AQ2" s="13"/>
      <c r="AR2" s="14"/>
      <c r="AS2" s="15"/>
      <c r="AT2" s="16"/>
      <c r="AU2" s="17"/>
      <c r="AV2" s="13"/>
      <c r="AW2" s="14"/>
      <c r="AX2" s="15"/>
      <c r="AY2" s="16"/>
      <c r="AZ2" s="17"/>
      <c r="BA2" s="13"/>
      <c r="BB2" s="14"/>
      <c r="BC2" s="15"/>
      <c r="BD2" s="16"/>
      <c r="BE2" s="17"/>
      <c r="BF2" s="10"/>
      <c r="BG2" s="10"/>
      <c r="BH2" s="10"/>
      <c r="BI2" s="10"/>
      <c r="BJ2" s="10"/>
    </row>
    <row r="3" spans="1:62" ht="33.75" customHeight="1" x14ac:dyDescent="0.2">
      <c r="A3" s="10"/>
      <c r="B3" s="18"/>
      <c r="C3" s="193"/>
      <c r="D3" s="20"/>
      <c r="E3" s="21"/>
      <c r="F3" s="22"/>
      <c r="G3" s="23"/>
      <c r="H3" s="20"/>
      <c r="I3" s="21"/>
      <c r="J3" s="22"/>
      <c r="K3" s="23"/>
      <c r="L3" s="24"/>
      <c r="M3" s="20"/>
      <c r="N3" s="21"/>
      <c r="O3" s="22"/>
      <c r="P3" s="23"/>
      <c r="Q3" s="24"/>
      <c r="R3" s="20"/>
      <c r="S3" s="21"/>
      <c r="T3" s="22"/>
      <c r="U3" s="23"/>
      <c r="V3" s="24"/>
      <c r="W3" s="20"/>
      <c r="X3" s="21"/>
      <c r="Y3" s="22"/>
      <c r="Z3" s="23"/>
      <c r="AA3" s="24"/>
      <c r="AB3" s="20"/>
      <c r="AC3" s="21"/>
      <c r="AD3" s="22"/>
      <c r="AE3" s="23"/>
      <c r="AF3" s="24"/>
      <c r="AG3" s="20"/>
      <c r="AH3" s="21"/>
      <c r="AI3" s="22"/>
      <c r="AJ3" s="23"/>
      <c r="AK3" s="24"/>
      <c r="AL3" s="20"/>
      <c r="AM3" s="21"/>
      <c r="AN3" s="22"/>
      <c r="AO3" s="23"/>
      <c r="AP3" s="24"/>
      <c r="AQ3" s="20"/>
      <c r="AR3" s="21"/>
      <c r="AS3" s="22"/>
      <c r="AT3" s="23"/>
      <c r="AU3" s="24"/>
      <c r="AV3" s="20"/>
      <c r="AW3" s="21"/>
      <c r="AX3" s="22"/>
      <c r="AY3" s="23"/>
      <c r="AZ3" s="24"/>
      <c r="BA3" s="20"/>
      <c r="BB3" s="21"/>
      <c r="BC3" s="22"/>
      <c r="BD3" s="23"/>
      <c r="BE3" s="24"/>
      <c r="BF3" s="25"/>
      <c r="BG3" s="26"/>
      <c r="BH3" s="26"/>
      <c r="BI3" s="26"/>
      <c r="BJ3" s="26"/>
    </row>
    <row r="4" spans="1:62" ht="15" customHeight="1" x14ac:dyDescent="0.2">
      <c r="A4" s="10"/>
      <c r="B4" s="27" t="str">
        <f>'Balance Sheet'!B4</f>
        <v>American Tower</v>
      </c>
      <c r="C4" s="193"/>
      <c r="D4" s="28" t="e">
        <f t="shared" ref="D4:G4" si="0">#REF!</f>
        <v>#REF!</v>
      </c>
      <c r="E4" s="29" t="e">
        <f t="shared" si="0"/>
        <v>#REF!</v>
      </c>
      <c r="F4" s="30" t="e">
        <f t="shared" si="0"/>
        <v>#REF!</v>
      </c>
      <c r="G4" s="31" t="e">
        <f t="shared" si="0"/>
        <v>#REF!</v>
      </c>
      <c r="H4" s="28">
        <f t="shared" ref="H4:K4" si="1">$L$4</f>
        <v>2017</v>
      </c>
      <c r="I4" s="29">
        <f t="shared" si="1"/>
        <v>2017</v>
      </c>
      <c r="J4" s="30">
        <f t="shared" si="1"/>
        <v>2017</v>
      </c>
      <c r="K4" s="31">
        <f t="shared" si="1"/>
        <v>2017</v>
      </c>
      <c r="L4" s="32">
        <f>'Cash Flow Statement'!L4</f>
        <v>2017</v>
      </c>
      <c r="M4" s="28">
        <f t="shared" ref="M4:P4" si="2">$Q$4</f>
        <v>2018</v>
      </c>
      <c r="N4" s="29">
        <f t="shared" si="2"/>
        <v>2018</v>
      </c>
      <c r="O4" s="30">
        <f t="shared" si="2"/>
        <v>2018</v>
      </c>
      <c r="P4" s="31">
        <f t="shared" si="2"/>
        <v>2018</v>
      </c>
      <c r="Q4" s="32">
        <f>L4+1</f>
        <v>2018</v>
      </c>
      <c r="R4" s="28">
        <f t="shared" ref="R4:U4" si="3">$V$4</f>
        <v>2019</v>
      </c>
      <c r="S4" s="29">
        <f t="shared" si="3"/>
        <v>2019</v>
      </c>
      <c r="T4" s="30">
        <f t="shared" si="3"/>
        <v>2019</v>
      </c>
      <c r="U4" s="31">
        <f t="shared" si="3"/>
        <v>2019</v>
      </c>
      <c r="V4" s="32">
        <f>Q4+1</f>
        <v>2019</v>
      </c>
      <c r="W4" s="28">
        <f t="shared" ref="W4:Z4" si="4">$AA$4</f>
        <v>2020</v>
      </c>
      <c r="X4" s="29">
        <f t="shared" si="4"/>
        <v>2020</v>
      </c>
      <c r="Y4" s="30">
        <f t="shared" si="4"/>
        <v>2020</v>
      </c>
      <c r="Z4" s="31">
        <f t="shared" si="4"/>
        <v>2020</v>
      </c>
      <c r="AA4" s="32">
        <f>V4+1</f>
        <v>2020</v>
      </c>
      <c r="AB4" s="28">
        <f t="shared" ref="AB4:AE4" si="5">$AF$4</f>
        <v>2021</v>
      </c>
      <c r="AC4" s="29">
        <f t="shared" si="5"/>
        <v>2021</v>
      </c>
      <c r="AD4" s="30">
        <f t="shared" si="5"/>
        <v>2021</v>
      </c>
      <c r="AE4" s="31">
        <f t="shared" si="5"/>
        <v>2021</v>
      </c>
      <c r="AF4" s="34">
        <f>AA4+1</f>
        <v>2021</v>
      </c>
      <c r="AG4" s="28">
        <f t="shared" ref="AG4:AJ4" si="6">$AK$4</f>
        <v>2022</v>
      </c>
      <c r="AH4" s="29">
        <f t="shared" si="6"/>
        <v>2022</v>
      </c>
      <c r="AI4" s="30">
        <f t="shared" si="6"/>
        <v>2022</v>
      </c>
      <c r="AJ4" s="31">
        <f t="shared" si="6"/>
        <v>2022</v>
      </c>
      <c r="AK4" s="34">
        <f>AF4+1</f>
        <v>2022</v>
      </c>
      <c r="AL4" s="28">
        <f t="shared" ref="AL4:AO4" si="7">$AP$4</f>
        <v>2023</v>
      </c>
      <c r="AM4" s="29">
        <f t="shared" si="7"/>
        <v>2023</v>
      </c>
      <c r="AN4" s="30">
        <f t="shared" si="7"/>
        <v>2023</v>
      </c>
      <c r="AO4" s="31">
        <f t="shared" si="7"/>
        <v>2023</v>
      </c>
      <c r="AP4" s="34">
        <f>$AK$4+1</f>
        <v>2023</v>
      </c>
      <c r="AQ4" s="28">
        <f t="shared" ref="AQ4:AT4" si="8">$AU$4</f>
        <v>2024</v>
      </c>
      <c r="AR4" s="29">
        <f t="shared" si="8"/>
        <v>2024</v>
      </c>
      <c r="AS4" s="30">
        <f t="shared" si="8"/>
        <v>2024</v>
      </c>
      <c r="AT4" s="31">
        <f t="shared" si="8"/>
        <v>2024</v>
      </c>
      <c r="AU4" s="34">
        <f>AP4+1</f>
        <v>2024</v>
      </c>
      <c r="AV4" s="28">
        <f t="shared" ref="AV4:AY4" si="9">$AZ$4</f>
        <v>2025</v>
      </c>
      <c r="AW4" s="29">
        <f t="shared" si="9"/>
        <v>2025</v>
      </c>
      <c r="AX4" s="30">
        <f t="shared" si="9"/>
        <v>2025</v>
      </c>
      <c r="AY4" s="31">
        <f t="shared" si="9"/>
        <v>2025</v>
      </c>
      <c r="AZ4" s="34">
        <f>AU4+1</f>
        <v>2025</v>
      </c>
      <c r="BA4" s="28">
        <f t="shared" ref="BA4:BD4" si="10">$BE$4</f>
        <v>2026</v>
      </c>
      <c r="BB4" s="29">
        <f t="shared" si="10"/>
        <v>2026</v>
      </c>
      <c r="BC4" s="30">
        <f t="shared" si="10"/>
        <v>2026</v>
      </c>
      <c r="BD4" s="31">
        <f t="shared" si="10"/>
        <v>2026</v>
      </c>
      <c r="BE4" s="34">
        <f>AZ4+1</f>
        <v>2026</v>
      </c>
      <c r="BF4" s="35"/>
      <c r="BG4" s="113"/>
      <c r="BH4" s="113"/>
      <c r="BI4" s="113"/>
      <c r="BJ4" s="113"/>
    </row>
    <row r="5" spans="1:62" ht="12.75" customHeight="1" x14ac:dyDescent="0.2">
      <c r="A5" s="10"/>
      <c r="B5" s="36" t="str">
        <f ca="1">MID(CELL("filename",A1),FIND("]",CELL("filename",A1))+1,255)&amp;" "&amp;MID('Balance Sheet'!B5,FIND("(",'Balance Sheet'!B5),1000)</f>
        <v>Revenue Build ($USD in Millions)</v>
      </c>
      <c r="C5" s="195"/>
      <c r="D5" s="38" t="e">
        <f>EOMONTH(#REF!,3)</f>
        <v>#REF!</v>
      </c>
      <c r="E5" s="39" t="e">
        <f t="shared" ref="E5:G5" si="11">EOMONTH(D5,3)</f>
        <v>#REF!</v>
      </c>
      <c r="F5" s="39" t="e">
        <f t="shared" si="11"/>
        <v>#REF!</v>
      </c>
      <c r="G5" s="40" t="e">
        <f t="shared" si="11"/>
        <v>#REF!</v>
      </c>
      <c r="H5" s="41" t="e">
        <f>'Balance Sheet'!H5</f>
        <v>#REF!</v>
      </c>
      <c r="I5" s="41" t="e">
        <f>'Balance Sheet'!I5</f>
        <v>#REF!</v>
      </c>
      <c r="J5" s="41" t="e">
        <f>'Balance Sheet'!J5</f>
        <v>#REF!</v>
      </c>
      <c r="K5" s="41" t="e">
        <f>'Balance Sheet'!K5</f>
        <v>#REF!</v>
      </c>
      <c r="L5" s="41">
        <f>'Balance Sheet'!L5</f>
        <v>43100</v>
      </c>
      <c r="M5" s="41">
        <f>'Balance Sheet'!M5</f>
        <v>43190</v>
      </c>
      <c r="N5" s="41">
        <f>'Balance Sheet'!N5</f>
        <v>43281</v>
      </c>
      <c r="O5" s="41">
        <f>'Balance Sheet'!O5</f>
        <v>43373</v>
      </c>
      <c r="P5" s="41">
        <f>'Balance Sheet'!P5</f>
        <v>43465</v>
      </c>
      <c r="Q5" s="41">
        <f>'Balance Sheet'!Q5</f>
        <v>43465</v>
      </c>
      <c r="R5" s="41">
        <f>'Balance Sheet'!R5</f>
        <v>43555</v>
      </c>
      <c r="S5" s="41">
        <f>'Balance Sheet'!S5</f>
        <v>43646</v>
      </c>
      <c r="T5" s="41">
        <f>'Balance Sheet'!T5</f>
        <v>43738</v>
      </c>
      <c r="U5" s="41">
        <f>'Balance Sheet'!U5</f>
        <v>43830</v>
      </c>
      <c r="V5" s="41">
        <f>'Balance Sheet'!V5</f>
        <v>43830</v>
      </c>
      <c r="W5" s="41">
        <f>'Balance Sheet'!W5</f>
        <v>43921</v>
      </c>
      <c r="X5" s="41">
        <f>'Balance Sheet'!X5</f>
        <v>44012</v>
      </c>
      <c r="Y5" s="41">
        <f>'Balance Sheet'!Y5</f>
        <v>44104</v>
      </c>
      <c r="Z5" s="41">
        <f>'Balance Sheet'!Z5</f>
        <v>44196</v>
      </c>
      <c r="AA5" s="41">
        <f>'Balance Sheet'!AA5</f>
        <v>44196</v>
      </c>
      <c r="AB5" s="41">
        <f>'Balance Sheet'!AB5</f>
        <v>44286</v>
      </c>
      <c r="AC5" s="41">
        <f>'Balance Sheet'!AC5</f>
        <v>44377</v>
      </c>
      <c r="AD5" s="41">
        <f>'Balance Sheet'!AD5</f>
        <v>44469</v>
      </c>
      <c r="AE5" s="41">
        <f>'Balance Sheet'!AE5</f>
        <v>44561</v>
      </c>
      <c r="AF5" s="41">
        <f>'Balance Sheet'!AF5</f>
        <v>44561</v>
      </c>
      <c r="AG5" s="41">
        <f>'Balance Sheet'!AG5</f>
        <v>44651</v>
      </c>
      <c r="AH5" s="41">
        <f>'Balance Sheet'!AH5</f>
        <v>44742</v>
      </c>
      <c r="AI5" s="41">
        <f>'Balance Sheet'!AI5</f>
        <v>44834</v>
      </c>
      <c r="AJ5" s="41">
        <f>'Balance Sheet'!AJ5</f>
        <v>44926</v>
      </c>
      <c r="AK5" s="41">
        <f>'Balance Sheet'!AK5</f>
        <v>44926</v>
      </c>
      <c r="AL5" s="41">
        <f>'Balance Sheet'!AL5</f>
        <v>45016</v>
      </c>
      <c r="AM5" s="41">
        <f>'Balance Sheet'!AM5</f>
        <v>45107</v>
      </c>
      <c r="AN5" s="41">
        <f>'Balance Sheet'!AN5</f>
        <v>45199</v>
      </c>
      <c r="AO5" s="41">
        <f>'Balance Sheet'!AO5</f>
        <v>45291</v>
      </c>
      <c r="AP5" s="41">
        <f>'Balance Sheet'!AP5</f>
        <v>45291</v>
      </c>
      <c r="AQ5" s="41">
        <f>'Balance Sheet'!AQ5</f>
        <v>45382</v>
      </c>
      <c r="AR5" s="41">
        <f>'Balance Sheet'!AR5</f>
        <v>45473</v>
      </c>
      <c r="AS5" s="41">
        <f>'Balance Sheet'!AS5</f>
        <v>45565</v>
      </c>
      <c r="AT5" s="41">
        <f>'Balance Sheet'!AT5</f>
        <v>45657</v>
      </c>
      <c r="AU5" s="41">
        <f>'Balance Sheet'!AU5</f>
        <v>45657</v>
      </c>
      <c r="AV5" s="41">
        <f>'Balance Sheet'!AV5</f>
        <v>45747</v>
      </c>
      <c r="AW5" s="41">
        <f>'Balance Sheet'!AW5</f>
        <v>45838</v>
      </c>
      <c r="AX5" s="41">
        <f>'Balance Sheet'!AX5</f>
        <v>45930</v>
      </c>
      <c r="AY5" s="41">
        <f>'Balance Sheet'!AY5</f>
        <v>46022</v>
      </c>
      <c r="AZ5" s="41">
        <f>'Balance Sheet'!AZ5</f>
        <v>46022</v>
      </c>
      <c r="BA5" s="41">
        <f>'Balance Sheet'!BA5</f>
        <v>46112</v>
      </c>
      <c r="BB5" s="41">
        <f>'Balance Sheet'!BB5</f>
        <v>46203</v>
      </c>
      <c r="BC5" s="41">
        <f>'Balance Sheet'!BC5</f>
        <v>46295</v>
      </c>
      <c r="BD5" s="41">
        <f>'Balance Sheet'!BD5</f>
        <v>46387</v>
      </c>
      <c r="BE5" s="41">
        <f>'Balance Sheet'!BE5</f>
        <v>46387</v>
      </c>
      <c r="BF5" s="35"/>
      <c r="BG5" s="113"/>
      <c r="BH5" s="113"/>
      <c r="BI5" s="113"/>
      <c r="BJ5" s="113"/>
    </row>
    <row r="6" spans="1:62" ht="4.5" customHeight="1" x14ac:dyDescent="0.1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46"/>
      <c r="M6" s="10"/>
      <c r="N6" s="10"/>
      <c r="O6" s="10"/>
      <c r="P6" s="10"/>
      <c r="Q6" s="47"/>
      <c r="R6" s="10"/>
      <c r="S6" s="10"/>
      <c r="T6" s="10"/>
      <c r="U6" s="10"/>
      <c r="V6" s="47"/>
      <c r="W6" s="10"/>
      <c r="X6" s="10"/>
      <c r="Y6" s="10"/>
      <c r="Z6" s="10"/>
      <c r="AA6" s="47"/>
      <c r="AB6" s="10"/>
      <c r="AC6" s="10"/>
      <c r="AD6" s="10"/>
      <c r="AE6" s="10"/>
      <c r="AF6" s="47"/>
      <c r="AG6" s="10"/>
      <c r="AH6" s="10"/>
      <c r="AI6" s="10"/>
      <c r="AJ6" s="10"/>
      <c r="AK6" s="47"/>
      <c r="AL6" s="10"/>
      <c r="AM6" s="10"/>
      <c r="AN6" s="10"/>
      <c r="AO6" s="10"/>
      <c r="AP6" s="47"/>
      <c r="AQ6" s="10"/>
      <c r="AR6" s="10"/>
      <c r="AS6" s="10"/>
      <c r="AT6" s="10"/>
      <c r="AU6" s="47"/>
      <c r="AV6" s="10"/>
      <c r="AW6" s="10"/>
      <c r="AX6" s="10"/>
      <c r="AY6" s="10"/>
      <c r="AZ6" s="47"/>
      <c r="BA6" s="10"/>
      <c r="BB6" s="10"/>
      <c r="BC6" s="10"/>
      <c r="BD6" s="10"/>
      <c r="BE6" s="47"/>
      <c r="BF6" s="10"/>
      <c r="BG6" s="10"/>
      <c r="BH6" s="10"/>
      <c r="BI6" s="10"/>
      <c r="BJ6" s="10"/>
    </row>
    <row r="7" spans="1:62" ht="9.75" customHeight="1" x14ac:dyDescent="0.15">
      <c r="A7" s="10"/>
      <c r="B7" s="48" t="s">
        <v>104</v>
      </c>
      <c r="C7" s="10"/>
      <c r="D7" s="59"/>
      <c r="E7" s="59"/>
      <c r="F7" s="59"/>
      <c r="G7" s="59"/>
      <c r="H7" s="59"/>
      <c r="I7" s="59"/>
      <c r="J7" s="59"/>
      <c r="K7" s="59"/>
      <c r="L7" s="144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10"/>
      <c r="BG7" s="10"/>
      <c r="BH7" s="10"/>
      <c r="BI7" s="10"/>
      <c r="BJ7" s="10"/>
    </row>
    <row r="8" spans="1:62" ht="4.5" customHeight="1" x14ac:dyDescent="0.15">
      <c r="A8" s="10"/>
      <c r="B8" s="10"/>
      <c r="C8" s="10"/>
      <c r="D8" s="49"/>
      <c r="E8" s="49"/>
      <c r="F8" s="49"/>
      <c r="G8" s="49"/>
      <c r="H8" s="49"/>
      <c r="I8" s="49"/>
      <c r="J8" s="49"/>
      <c r="K8" s="49"/>
      <c r="L8" s="50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10"/>
      <c r="BG8" s="10"/>
      <c r="BH8" s="10"/>
      <c r="BI8" s="10"/>
      <c r="BJ8" s="10"/>
    </row>
    <row r="9" spans="1:62" ht="9.75" customHeight="1" x14ac:dyDescent="0.15">
      <c r="A9" s="10"/>
      <c r="B9" s="58" t="s">
        <v>234</v>
      </c>
      <c r="C9" s="10"/>
      <c r="D9" s="49"/>
      <c r="E9" s="49"/>
      <c r="F9" s="49"/>
      <c r="G9" s="49"/>
      <c r="H9" s="49"/>
      <c r="I9" s="49"/>
      <c r="J9" s="49"/>
      <c r="K9" s="49"/>
      <c r="L9" s="50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10"/>
      <c r="BG9" s="10"/>
      <c r="BH9" s="10"/>
      <c r="BI9" s="10"/>
      <c r="BJ9" s="10"/>
    </row>
    <row r="10" spans="1:62" ht="9.75" customHeight="1" x14ac:dyDescent="0.15">
      <c r="A10" s="10"/>
      <c r="B10" s="10" t="s">
        <v>71</v>
      </c>
      <c r="C10" s="10"/>
      <c r="D10" s="49"/>
      <c r="E10" s="49"/>
      <c r="F10" s="49"/>
      <c r="G10" s="49"/>
      <c r="H10" s="49"/>
      <c r="I10" s="49"/>
      <c r="J10" s="49"/>
      <c r="K10" s="49"/>
      <c r="L10" s="219">
        <v>3606</v>
      </c>
      <c r="M10" s="220"/>
      <c r="N10" s="220"/>
      <c r="O10" s="220"/>
      <c r="P10" s="220"/>
      <c r="Q10" s="220">
        <v>3822</v>
      </c>
      <c r="R10" s="220">
        <f>1047.9-40.7</f>
        <v>1007.2</v>
      </c>
      <c r="S10" s="220">
        <f>986.3</f>
        <v>986.3</v>
      </c>
      <c r="T10" s="220">
        <f>1127-32</f>
        <v>1095</v>
      </c>
      <c r="U10" s="220">
        <f>V10-SUM(R10:T10)</f>
        <v>1100.5</v>
      </c>
      <c r="V10" s="220">
        <v>4189</v>
      </c>
      <c r="W10" s="220">
        <f>1089.9</f>
        <v>1089.9000000000001</v>
      </c>
      <c r="X10" s="220">
        <f>1107.3-19.8</f>
        <v>1087.5</v>
      </c>
      <c r="Y10" s="220">
        <f>1147.8-25.3</f>
        <v>1122.5</v>
      </c>
      <c r="Z10" s="220">
        <f>AA10-SUM(W10:Y10)</f>
        <v>1217.0999999999999</v>
      </c>
      <c r="AA10" s="220">
        <v>4517</v>
      </c>
      <c r="AB10" s="221">
        <f>1260-28.8</f>
        <v>1231.2</v>
      </c>
      <c r="AC10" s="220">
        <f>1299.3-65.9</f>
        <v>1233.3999999999999</v>
      </c>
      <c r="AD10" s="220">
        <f>1316-85</f>
        <v>1231</v>
      </c>
      <c r="AE10" s="220">
        <f>Z10*(1+AE11)</f>
        <v>1363.152</v>
      </c>
      <c r="AF10" s="220">
        <f>SUM(AB10:AE10)</f>
        <v>5058.7520000000004</v>
      </c>
      <c r="AG10" s="220">
        <f t="shared" ref="AG10:AJ10" si="12">AB10*(1+AG11)</f>
        <v>1377.7128</v>
      </c>
      <c r="AH10" s="220">
        <f t="shared" si="12"/>
        <v>1376.4744000000001</v>
      </c>
      <c r="AI10" s="220">
        <f t="shared" si="12"/>
        <v>1370.1030000000001</v>
      </c>
      <c r="AJ10" s="220">
        <f t="shared" si="12"/>
        <v>1513.09872</v>
      </c>
      <c r="AK10" s="220">
        <f>SUM(AG10:AJ10)</f>
        <v>5637.3889200000003</v>
      </c>
      <c r="AL10" s="220">
        <f t="shared" ref="AL10:AO10" si="13">AG10*(1+AL11)</f>
        <v>1544.4160488</v>
      </c>
      <c r="AM10" s="220">
        <f t="shared" si="13"/>
        <v>1538.8983791999999</v>
      </c>
      <c r="AN10" s="220">
        <f t="shared" si="13"/>
        <v>1527.664845</v>
      </c>
      <c r="AO10" s="220">
        <f t="shared" si="13"/>
        <v>1682.5657766400002</v>
      </c>
      <c r="AP10" s="220">
        <f>SUM(AL10:AO10)</f>
        <v>6293.5450496399999</v>
      </c>
      <c r="AQ10" s="220">
        <f t="shared" ref="AQ10:BE10" si="14">AL10*(1+AQ11)</f>
        <v>1544.4160488</v>
      </c>
      <c r="AR10" s="220">
        <f t="shared" si="14"/>
        <v>1538.8983791999999</v>
      </c>
      <c r="AS10" s="220">
        <f t="shared" si="14"/>
        <v>1527.664845</v>
      </c>
      <c r="AT10" s="220">
        <f t="shared" si="14"/>
        <v>1682.5657766400002</v>
      </c>
      <c r="AU10" s="220">
        <f t="shared" si="14"/>
        <v>6734.0932031148004</v>
      </c>
      <c r="AV10" s="220">
        <f t="shared" si="14"/>
        <v>1544.4160488</v>
      </c>
      <c r="AW10" s="220">
        <f t="shared" si="14"/>
        <v>1538.8983791999999</v>
      </c>
      <c r="AX10" s="220">
        <f t="shared" si="14"/>
        <v>1527.664845</v>
      </c>
      <c r="AY10" s="220">
        <f t="shared" si="14"/>
        <v>1682.5657766400002</v>
      </c>
      <c r="AZ10" s="220">
        <f t="shared" si="14"/>
        <v>7070.7978632705408</v>
      </c>
      <c r="BA10" s="220">
        <f t="shared" si="14"/>
        <v>1544.4160488</v>
      </c>
      <c r="BB10" s="220">
        <f t="shared" si="14"/>
        <v>1538.8983791999999</v>
      </c>
      <c r="BC10" s="220">
        <f t="shared" si="14"/>
        <v>1527.664845</v>
      </c>
      <c r="BD10" s="220">
        <f t="shared" si="14"/>
        <v>1682.5657766400002</v>
      </c>
      <c r="BE10" s="220">
        <f t="shared" si="14"/>
        <v>7282.9217991686573</v>
      </c>
      <c r="BF10" s="10"/>
      <c r="BG10" s="10"/>
      <c r="BH10" s="10"/>
      <c r="BI10" s="10"/>
      <c r="BJ10" s="10"/>
    </row>
    <row r="11" spans="1:62" ht="9.75" customHeight="1" x14ac:dyDescent="0.15">
      <c r="A11" s="10"/>
      <c r="B11" s="10" t="s">
        <v>235</v>
      </c>
      <c r="C11" s="10"/>
      <c r="D11" s="49"/>
      <c r="E11" s="49"/>
      <c r="F11" s="49"/>
      <c r="G11" s="49"/>
      <c r="H11" s="49"/>
      <c r="I11" s="49"/>
      <c r="J11" s="49"/>
      <c r="K11" s="49"/>
      <c r="L11" s="50"/>
      <c r="M11" s="49"/>
      <c r="N11" s="49"/>
      <c r="O11" s="49"/>
      <c r="P11" s="49"/>
      <c r="Q11" s="222">
        <f>(Q10/L10)-1</f>
        <v>5.9900166389351028E-2</v>
      </c>
      <c r="R11" s="222"/>
      <c r="S11" s="222"/>
      <c r="T11" s="222"/>
      <c r="U11" s="222"/>
      <c r="V11" s="222">
        <f t="shared" ref="V11:AD11" si="15">V10/Q10-1</f>
        <v>9.602302459445311E-2</v>
      </c>
      <c r="W11" s="222">
        <f t="shared" si="15"/>
        <v>8.21088165210484E-2</v>
      </c>
      <c r="X11" s="222">
        <f t="shared" si="15"/>
        <v>0.10260569806346953</v>
      </c>
      <c r="Y11" s="222">
        <f t="shared" si="15"/>
        <v>2.5114155251141579E-2</v>
      </c>
      <c r="Z11" s="222">
        <f t="shared" si="15"/>
        <v>0.1059518400726942</v>
      </c>
      <c r="AA11" s="222">
        <f t="shared" si="15"/>
        <v>7.8300310336595791E-2</v>
      </c>
      <c r="AB11" s="222">
        <f t="shared" si="15"/>
        <v>0.12964492155243601</v>
      </c>
      <c r="AC11" s="222">
        <f t="shared" si="15"/>
        <v>0.13416091954022979</v>
      </c>
      <c r="AD11" s="222">
        <f t="shared" si="15"/>
        <v>9.6659242761692576E-2</v>
      </c>
      <c r="AE11" s="223">
        <v>0.12</v>
      </c>
      <c r="AF11" s="223">
        <f>AF10/AA10-1</f>
        <v>0.11993624086783283</v>
      </c>
      <c r="AG11" s="223">
        <v>0.11899999999999999</v>
      </c>
      <c r="AH11" s="223">
        <f t="shared" ref="AH11:AJ11" si="16">AG11-0.003</f>
        <v>0.11599999999999999</v>
      </c>
      <c r="AI11" s="223">
        <f t="shared" si="16"/>
        <v>0.11299999999999999</v>
      </c>
      <c r="AJ11" s="223">
        <f t="shared" si="16"/>
        <v>0.10999999999999999</v>
      </c>
      <c r="AK11" s="223">
        <f>AK10/AF10-1</f>
        <v>0.11438333407132828</v>
      </c>
      <c r="AL11" s="223">
        <v>0.121</v>
      </c>
      <c r="AM11" s="223">
        <f t="shared" ref="AM11:AO11" si="17">AL11-0.003</f>
        <v>0.11799999999999999</v>
      </c>
      <c r="AN11" s="223">
        <f t="shared" si="17"/>
        <v>0.11499999999999999</v>
      </c>
      <c r="AO11" s="223">
        <f t="shared" si="17"/>
        <v>0.11199999999999999</v>
      </c>
      <c r="AP11" s="223">
        <f>AP10/AK10-1</f>
        <v>0.11639362459313873</v>
      </c>
      <c r="AQ11" s="224"/>
      <c r="AR11" s="224"/>
      <c r="AS11" s="224"/>
      <c r="AT11" s="224"/>
      <c r="AU11" s="224">
        <v>7.0000000000000007E-2</v>
      </c>
      <c r="AV11" s="224"/>
      <c r="AW11" s="224"/>
      <c r="AX11" s="224"/>
      <c r="AY11" s="224"/>
      <c r="AZ11" s="224">
        <v>0.05</v>
      </c>
      <c r="BA11" s="224"/>
      <c r="BB11" s="224"/>
      <c r="BC11" s="224"/>
      <c r="BD11" s="224"/>
      <c r="BE11" s="224">
        <v>0.03</v>
      </c>
      <c r="BF11" s="10"/>
      <c r="BG11" s="10"/>
      <c r="BH11" s="10"/>
      <c r="BI11" s="10"/>
      <c r="BJ11" s="10"/>
    </row>
    <row r="12" spans="1:62" ht="4.5" customHeight="1" x14ac:dyDescent="0.15">
      <c r="A12" s="10"/>
      <c r="B12" s="10"/>
      <c r="C12" s="10"/>
      <c r="D12" s="49"/>
      <c r="E12" s="49"/>
      <c r="F12" s="49"/>
      <c r="G12" s="49"/>
      <c r="H12" s="49"/>
      <c r="I12" s="49"/>
      <c r="J12" s="49"/>
      <c r="K12" s="49"/>
      <c r="L12" s="50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118"/>
      <c r="AB12" s="118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10"/>
      <c r="BG12" s="10"/>
      <c r="BH12" s="10"/>
      <c r="BI12" s="10"/>
      <c r="BJ12" s="10"/>
    </row>
    <row r="13" spans="1:62" ht="9.75" customHeight="1" x14ac:dyDescent="0.15">
      <c r="A13" s="10"/>
      <c r="B13" s="58" t="s">
        <v>236</v>
      </c>
      <c r="C13" s="10"/>
      <c r="D13" s="49"/>
      <c r="E13" s="49"/>
      <c r="F13" s="49"/>
      <c r="G13" s="49"/>
      <c r="H13" s="49"/>
      <c r="I13" s="49"/>
      <c r="J13" s="49"/>
      <c r="K13" s="49"/>
      <c r="L13" s="50"/>
      <c r="M13" s="49"/>
      <c r="N13" s="49"/>
      <c r="O13" s="49"/>
      <c r="P13" s="49"/>
      <c r="Q13" s="49"/>
      <c r="R13" s="49"/>
      <c r="S13" s="49"/>
      <c r="T13" s="49"/>
      <c r="U13" s="49"/>
      <c r="V13" s="55"/>
      <c r="W13" s="49"/>
      <c r="X13" s="49"/>
      <c r="Y13" s="49"/>
      <c r="Z13" s="49"/>
      <c r="AA13" s="118"/>
      <c r="AB13" s="118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10"/>
      <c r="BG13" s="10"/>
      <c r="BH13" s="10"/>
      <c r="BI13" s="10"/>
      <c r="BJ13" s="10"/>
    </row>
    <row r="14" spans="1:62" ht="9.75" customHeight="1" x14ac:dyDescent="0.15">
      <c r="A14" s="10"/>
      <c r="B14" s="10" t="s">
        <v>71</v>
      </c>
      <c r="C14" s="58"/>
      <c r="D14" s="59"/>
      <c r="E14" s="59"/>
      <c r="F14" s="59"/>
      <c r="G14" s="59"/>
      <c r="H14" s="59"/>
      <c r="I14" s="59"/>
      <c r="J14" s="59"/>
      <c r="K14" s="59"/>
      <c r="L14" s="225">
        <v>1164</v>
      </c>
      <c r="M14" s="226"/>
      <c r="N14" s="226"/>
      <c r="O14" s="226"/>
      <c r="P14" s="226"/>
      <c r="Q14" s="221">
        <v>1541</v>
      </c>
      <c r="R14" s="227">
        <v>271.3</v>
      </c>
      <c r="S14" s="227">
        <f>288.9</f>
        <v>288.89999999999998</v>
      </c>
      <c r="T14" s="226">
        <v>312.5</v>
      </c>
      <c r="U14" s="220">
        <f>V14-SUM(R14:T14)</f>
        <v>344.29999999999995</v>
      </c>
      <c r="V14" s="221">
        <v>1217</v>
      </c>
      <c r="W14" s="226">
        <v>286.60000000000002</v>
      </c>
      <c r="X14" s="226">
        <v>271</v>
      </c>
      <c r="Y14" s="221">
        <v>305.2</v>
      </c>
      <c r="Z14" s="220">
        <f>AA14-SUM(W14:Y14)</f>
        <v>276.60000000000014</v>
      </c>
      <c r="AA14" s="228">
        <v>1139.4000000000001</v>
      </c>
      <c r="AB14" s="221">
        <v>281.39999999999998</v>
      </c>
      <c r="AC14" s="221">
        <v>298.2</v>
      </c>
      <c r="AD14" s="220">
        <v>313.5</v>
      </c>
      <c r="AE14" s="220">
        <f>Z14*(1+AE15)</f>
        <v>290.43000000000018</v>
      </c>
      <c r="AF14" s="220">
        <f>SUM(AB14:AE14)</f>
        <v>1183.5300000000002</v>
      </c>
      <c r="AG14" s="220">
        <f t="shared" ref="AG14:AJ14" si="18">AB14*(1+AG15)</f>
        <v>294.06299999999993</v>
      </c>
      <c r="AH14" s="220">
        <f t="shared" si="18"/>
        <v>310.42619999999994</v>
      </c>
      <c r="AI14" s="220">
        <f t="shared" si="18"/>
        <v>325.09949999999998</v>
      </c>
      <c r="AJ14" s="220">
        <f t="shared" si="18"/>
        <v>300.01419000000016</v>
      </c>
      <c r="AK14" s="220">
        <f>SUM(AG14:AJ14)</f>
        <v>1229.6028899999999</v>
      </c>
      <c r="AL14" s="220">
        <f t="shared" ref="AL14:AO14" si="19">AG14*(1+AL15)</f>
        <v>304.3552049999999</v>
      </c>
      <c r="AM14" s="220">
        <f t="shared" si="19"/>
        <v>319.73898599999995</v>
      </c>
      <c r="AN14" s="220">
        <f t="shared" si="19"/>
        <v>333.22698749999995</v>
      </c>
      <c r="AO14" s="220">
        <f t="shared" si="19"/>
        <v>306.01447380000019</v>
      </c>
      <c r="AP14" s="220">
        <f>SUM(AL14:AO14)</f>
        <v>1263.3356523</v>
      </c>
      <c r="AQ14" s="220">
        <f t="shared" ref="AQ14:BE14" si="20">AL14*(1+AQ15)</f>
        <v>304.3552049999999</v>
      </c>
      <c r="AR14" s="220">
        <f t="shared" si="20"/>
        <v>319.73898599999995</v>
      </c>
      <c r="AS14" s="220">
        <f t="shared" si="20"/>
        <v>333.22698749999995</v>
      </c>
      <c r="AT14" s="220">
        <f t="shared" si="20"/>
        <v>306.01447380000019</v>
      </c>
      <c r="AU14" s="220">
        <f t="shared" si="20"/>
        <v>1294.9190436074998</v>
      </c>
      <c r="AV14" s="220">
        <f t="shared" si="20"/>
        <v>304.3552049999999</v>
      </c>
      <c r="AW14" s="220">
        <f t="shared" si="20"/>
        <v>319.73898599999995</v>
      </c>
      <c r="AX14" s="220">
        <f t="shared" si="20"/>
        <v>333.22698749999995</v>
      </c>
      <c r="AY14" s="220">
        <f t="shared" si="20"/>
        <v>306.01447380000019</v>
      </c>
      <c r="AZ14" s="220">
        <f t="shared" si="20"/>
        <v>1320.8174244796498</v>
      </c>
      <c r="BA14" s="220">
        <f t="shared" si="20"/>
        <v>304.3552049999999</v>
      </c>
      <c r="BB14" s="220">
        <f t="shared" si="20"/>
        <v>319.73898599999995</v>
      </c>
      <c r="BC14" s="220">
        <f t="shared" si="20"/>
        <v>333.22698749999995</v>
      </c>
      <c r="BD14" s="220">
        <f t="shared" si="20"/>
        <v>306.01447380000019</v>
      </c>
      <c r="BE14" s="220">
        <f t="shared" si="20"/>
        <v>1340.6296858468445</v>
      </c>
      <c r="BF14" s="10"/>
      <c r="BG14" s="10"/>
      <c r="BH14" s="10"/>
      <c r="BI14" s="10"/>
      <c r="BJ14" s="10"/>
    </row>
    <row r="15" spans="1:62" ht="9.75" customHeight="1" x14ac:dyDescent="0.15">
      <c r="A15" s="10"/>
      <c r="B15" s="10" t="s">
        <v>235</v>
      </c>
      <c r="C15" s="10"/>
      <c r="D15" s="10"/>
      <c r="E15" s="10"/>
      <c r="F15" s="10"/>
      <c r="G15" s="10"/>
      <c r="H15" s="10"/>
      <c r="I15" s="10"/>
      <c r="J15" s="10"/>
      <c r="K15" s="10"/>
      <c r="L15" s="45"/>
      <c r="M15" s="10"/>
      <c r="N15" s="10"/>
      <c r="O15" s="10"/>
      <c r="P15" s="10"/>
      <c r="Q15" s="222">
        <f>Q14/L14-1</f>
        <v>0.32388316151202745</v>
      </c>
      <c r="R15" s="222"/>
      <c r="S15" s="222"/>
      <c r="T15" s="222"/>
      <c r="U15" s="222"/>
      <c r="V15" s="222">
        <f t="shared" ref="V15:AD15" si="21">V14/Q14-1</f>
        <v>-0.21025308241401686</v>
      </c>
      <c r="W15" s="222">
        <f t="shared" si="21"/>
        <v>5.6395134537412517E-2</v>
      </c>
      <c r="X15" s="222">
        <f t="shared" si="21"/>
        <v>-6.1959155417099288E-2</v>
      </c>
      <c r="Y15" s="222">
        <f t="shared" si="21"/>
        <v>-2.3360000000000047E-2</v>
      </c>
      <c r="Z15" s="222">
        <f t="shared" si="21"/>
        <v>-0.196630845193145</v>
      </c>
      <c r="AA15" s="222">
        <f t="shared" si="21"/>
        <v>-6.3763352506162607E-2</v>
      </c>
      <c r="AB15" s="222">
        <f t="shared" si="21"/>
        <v>-1.8143754361479525E-2</v>
      </c>
      <c r="AC15" s="222">
        <f t="shared" si="21"/>
        <v>0.10036900369003687</v>
      </c>
      <c r="AD15" s="222">
        <f t="shared" si="21"/>
        <v>2.7195281782437686E-2</v>
      </c>
      <c r="AE15" s="223">
        <v>0.05</v>
      </c>
      <c r="AF15" s="223">
        <f>AF14/AA14-1</f>
        <v>3.8730911005792512E-2</v>
      </c>
      <c r="AG15" s="223">
        <v>4.4999999999999998E-2</v>
      </c>
      <c r="AH15" s="223">
        <f t="shared" ref="AH15:AJ15" si="22">AG15-0.004</f>
        <v>4.0999999999999995E-2</v>
      </c>
      <c r="AI15" s="223">
        <f t="shared" si="22"/>
        <v>3.6999999999999991E-2</v>
      </c>
      <c r="AJ15" s="223">
        <f t="shared" si="22"/>
        <v>3.2999999999999988E-2</v>
      </c>
      <c r="AK15" s="223">
        <f>AK14/AF14-1</f>
        <v>3.8928366834807493E-2</v>
      </c>
      <c r="AL15" s="223">
        <v>3.5000000000000003E-2</v>
      </c>
      <c r="AM15" s="223">
        <f t="shared" ref="AM15:AO15" si="23">AL15-0.005</f>
        <v>3.0000000000000002E-2</v>
      </c>
      <c r="AN15" s="223">
        <f t="shared" si="23"/>
        <v>2.5000000000000001E-2</v>
      </c>
      <c r="AO15" s="223">
        <f t="shared" si="23"/>
        <v>0.02</v>
      </c>
      <c r="AP15" s="223">
        <f>AP14/AK14-1</f>
        <v>2.7433867124369016E-2</v>
      </c>
      <c r="AQ15" s="224"/>
      <c r="AR15" s="224"/>
      <c r="AS15" s="224"/>
      <c r="AT15" s="224"/>
      <c r="AU15" s="223">
        <v>2.5000000000000001E-2</v>
      </c>
      <c r="AV15" s="224"/>
      <c r="AW15" s="224"/>
      <c r="AX15" s="224"/>
      <c r="AY15" s="224"/>
      <c r="AZ15" s="223">
        <v>0.02</v>
      </c>
      <c r="BA15" s="223"/>
      <c r="BB15" s="223"/>
      <c r="BC15" s="223"/>
      <c r="BD15" s="223"/>
      <c r="BE15" s="223">
        <v>1.4999999999999999E-2</v>
      </c>
      <c r="BF15" s="10"/>
      <c r="BG15" s="10"/>
      <c r="BH15" s="10"/>
      <c r="BI15" s="10"/>
      <c r="BJ15" s="10"/>
    </row>
    <row r="16" spans="1:62" ht="4.5" customHeight="1" x14ac:dyDescent="0.15">
      <c r="A16" s="10"/>
      <c r="B16" s="10"/>
      <c r="C16" s="10"/>
      <c r="D16" s="49"/>
      <c r="E16" s="49"/>
      <c r="F16" s="49"/>
      <c r="G16" s="49"/>
      <c r="H16" s="49"/>
      <c r="I16" s="49"/>
      <c r="J16" s="49"/>
      <c r="K16" s="49"/>
      <c r="L16" s="50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118"/>
      <c r="AB16" s="118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10"/>
      <c r="BG16" s="10"/>
      <c r="BH16" s="10"/>
      <c r="BI16" s="10"/>
      <c r="BJ16" s="10"/>
    </row>
    <row r="17" spans="1:62" ht="9.75" customHeight="1" x14ac:dyDescent="0.15">
      <c r="A17" s="10"/>
      <c r="B17" s="58" t="s">
        <v>237</v>
      </c>
      <c r="C17" s="10"/>
      <c r="D17" s="10"/>
      <c r="E17" s="10"/>
      <c r="F17" s="10"/>
      <c r="G17" s="10"/>
      <c r="H17" s="10"/>
      <c r="I17" s="10"/>
      <c r="J17" s="10"/>
      <c r="K17" s="10"/>
      <c r="L17" s="45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8"/>
      <c r="AB17" s="118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</row>
    <row r="18" spans="1:62" ht="9.75" customHeight="1" x14ac:dyDescent="0.15">
      <c r="A18" s="10"/>
      <c r="B18" s="10" t="s">
        <v>71</v>
      </c>
      <c r="C18" s="10"/>
      <c r="D18" s="10"/>
      <c r="E18" s="10"/>
      <c r="F18" s="10"/>
      <c r="G18" s="10"/>
      <c r="H18" s="10"/>
      <c r="I18" s="10"/>
      <c r="J18" s="10"/>
      <c r="K18" s="10"/>
      <c r="L18" s="229">
        <v>626</v>
      </c>
      <c r="M18" s="226"/>
      <c r="N18" s="226"/>
      <c r="O18" s="226"/>
      <c r="P18" s="226"/>
      <c r="Q18" s="226">
        <v>687</v>
      </c>
      <c r="R18" s="226">
        <f>206+34.7</f>
        <v>240.7</v>
      </c>
      <c r="S18" s="226">
        <f>144+33.5</f>
        <v>177.5</v>
      </c>
      <c r="T18" s="226">
        <f>33.3+148.2</f>
        <v>181.5</v>
      </c>
      <c r="U18" s="220">
        <f>V18-SUM(R18:T18)</f>
        <v>119.29999999999995</v>
      </c>
      <c r="V18" s="226">
        <v>719</v>
      </c>
      <c r="W18" s="226">
        <f>225.5+34.5</f>
        <v>260</v>
      </c>
      <c r="X18" s="226">
        <f>206+34.7</f>
        <v>240.7</v>
      </c>
      <c r="Y18" s="226">
        <f>220+38.7</f>
        <v>258.7</v>
      </c>
      <c r="Z18" s="220">
        <f>AA18-SUM(W18:Y18)</f>
        <v>280.19999999999993</v>
      </c>
      <c r="AA18" s="228">
        <v>1039.5999999999999</v>
      </c>
      <c r="AB18" s="221">
        <f>44.6+235.7</f>
        <v>280.3</v>
      </c>
      <c r="AC18" s="226">
        <f>248+87.8</f>
        <v>335.8</v>
      </c>
      <c r="AD18" s="220">
        <f>257.4+175.8</f>
        <v>433.2</v>
      </c>
      <c r="AE18" s="220">
        <f>Z18*(1+AE19)</f>
        <v>321.10919999999987</v>
      </c>
      <c r="AF18" s="220">
        <f>SUM(AB18:AE18)</f>
        <v>1370.4091999999998</v>
      </c>
      <c r="AG18" s="220">
        <f t="shared" ref="AG18:AJ18" si="24">AB18*(1+AG19)</f>
        <v>375.60200000000003</v>
      </c>
      <c r="AH18" s="220">
        <f t="shared" si="24"/>
        <v>445.94240000000002</v>
      </c>
      <c r="AI18" s="220">
        <f t="shared" si="24"/>
        <v>570.09119999999996</v>
      </c>
      <c r="AJ18" s="220">
        <f t="shared" si="24"/>
        <v>418.72639679999986</v>
      </c>
      <c r="AK18" s="220">
        <f>SUM(AG18:AJ18)</f>
        <v>1810.3619967999998</v>
      </c>
      <c r="AL18" s="220">
        <f t="shared" ref="AL18:AO18" si="25">AG18*(1+AL19)</f>
        <v>510.81871999999998</v>
      </c>
      <c r="AM18" s="220">
        <f t="shared" si="25"/>
        <v>604.6978944</v>
      </c>
      <c r="AN18" s="220">
        <f t="shared" si="25"/>
        <v>770.76330239999982</v>
      </c>
      <c r="AO18" s="220">
        <f t="shared" si="25"/>
        <v>564.44318288639977</v>
      </c>
      <c r="AP18" s="220">
        <f>SUM(AL18:AO18)</f>
        <v>2450.7230996863996</v>
      </c>
      <c r="AQ18" s="220">
        <f t="shared" ref="AQ18:BE18" si="26">AL18*(1+AQ19)</f>
        <v>510.81871999999998</v>
      </c>
      <c r="AR18" s="220">
        <f t="shared" si="26"/>
        <v>604.6978944</v>
      </c>
      <c r="AS18" s="220">
        <f t="shared" si="26"/>
        <v>770.76330239999982</v>
      </c>
      <c r="AT18" s="220">
        <f t="shared" si="26"/>
        <v>564.44318288639977</v>
      </c>
      <c r="AU18" s="220">
        <f t="shared" si="26"/>
        <v>2818.3315646393594</v>
      </c>
      <c r="AV18" s="220">
        <f t="shared" si="26"/>
        <v>510.81871999999998</v>
      </c>
      <c r="AW18" s="220">
        <f t="shared" si="26"/>
        <v>604.6978944</v>
      </c>
      <c r="AX18" s="220">
        <f t="shared" si="26"/>
        <v>770.76330239999982</v>
      </c>
      <c r="AY18" s="220">
        <f t="shared" si="26"/>
        <v>564.44318288639977</v>
      </c>
      <c r="AZ18" s="220">
        <f t="shared" si="26"/>
        <v>3100.1647211032955</v>
      </c>
      <c r="BA18" s="220">
        <f t="shared" si="26"/>
        <v>510.81871999999998</v>
      </c>
      <c r="BB18" s="220">
        <f t="shared" si="26"/>
        <v>604.6978944</v>
      </c>
      <c r="BC18" s="220">
        <f t="shared" si="26"/>
        <v>770.76330239999982</v>
      </c>
      <c r="BD18" s="220">
        <f t="shared" si="26"/>
        <v>564.44318288639977</v>
      </c>
      <c r="BE18" s="220">
        <f t="shared" si="26"/>
        <v>3286.1746043694934</v>
      </c>
      <c r="BF18" s="10"/>
      <c r="BG18" s="10"/>
      <c r="BH18" s="10"/>
      <c r="BI18" s="10"/>
      <c r="BJ18" s="10"/>
    </row>
    <row r="19" spans="1:62" ht="9.75" customHeight="1" x14ac:dyDescent="0.15">
      <c r="A19" s="10"/>
      <c r="B19" s="10" t="s">
        <v>235</v>
      </c>
      <c r="C19" s="10"/>
      <c r="D19" s="10"/>
      <c r="E19" s="10"/>
      <c r="F19" s="10"/>
      <c r="G19" s="10"/>
      <c r="H19" s="10"/>
      <c r="I19" s="10"/>
      <c r="J19" s="10"/>
      <c r="K19" s="10"/>
      <c r="L19" s="45"/>
      <c r="M19" s="10"/>
      <c r="N19" s="10"/>
      <c r="O19" s="10"/>
      <c r="P19" s="10"/>
      <c r="Q19" s="222">
        <f>Q18/L18-1</f>
        <v>9.744408945686911E-2</v>
      </c>
      <c r="R19" s="222"/>
      <c r="S19" s="222"/>
      <c r="T19" s="222"/>
      <c r="U19" s="222"/>
      <c r="V19" s="222">
        <f t="shared" ref="V19:AD19" si="27">V18/Q18-1</f>
        <v>4.6579330422125143E-2</v>
      </c>
      <c r="W19" s="222">
        <f t="shared" si="27"/>
        <v>8.0182800166181956E-2</v>
      </c>
      <c r="X19" s="222">
        <f t="shared" si="27"/>
        <v>0.35605633802816894</v>
      </c>
      <c r="Y19" s="222">
        <f t="shared" si="27"/>
        <v>0.42534435261707992</v>
      </c>
      <c r="Z19" s="222">
        <f t="shared" si="27"/>
        <v>1.3487007544006708</v>
      </c>
      <c r="AA19" s="222">
        <f t="shared" si="27"/>
        <v>0.44589707927677313</v>
      </c>
      <c r="AB19" s="222">
        <f t="shared" si="27"/>
        <v>7.8076923076923155E-2</v>
      </c>
      <c r="AC19" s="222">
        <f t="shared" si="27"/>
        <v>0.39509763190693814</v>
      </c>
      <c r="AD19" s="222">
        <f t="shared" si="27"/>
        <v>0.67452647854657899</v>
      </c>
      <c r="AE19" s="223">
        <v>0.14599999999999999</v>
      </c>
      <c r="AF19" s="223">
        <f>AF18/AA18-1</f>
        <v>0.31820815698345517</v>
      </c>
      <c r="AG19" s="223">
        <v>0.34</v>
      </c>
      <c r="AH19" s="223">
        <f t="shared" ref="AH19:AJ19" si="28">AG19-0.012</f>
        <v>0.32800000000000001</v>
      </c>
      <c r="AI19" s="223">
        <f t="shared" si="28"/>
        <v>0.316</v>
      </c>
      <c r="AJ19" s="223">
        <f t="shared" si="28"/>
        <v>0.30399999999999999</v>
      </c>
      <c r="AK19" s="223">
        <f>AK18/AF18-1</f>
        <v>0.32103753886065567</v>
      </c>
      <c r="AL19" s="223">
        <v>0.36</v>
      </c>
      <c r="AM19" s="223">
        <f t="shared" ref="AM19:AO19" si="29">AL19-0.004</f>
        <v>0.35599999999999998</v>
      </c>
      <c r="AN19" s="223">
        <f t="shared" si="29"/>
        <v>0.35199999999999998</v>
      </c>
      <c r="AO19" s="223">
        <f t="shared" si="29"/>
        <v>0.34799999999999998</v>
      </c>
      <c r="AP19" s="223">
        <f>AP18/AK18-1</f>
        <v>0.35371992121923879</v>
      </c>
      <c r="AQ19" s="224"/>
      <c r="AR19" s="224"/>
      <c r="AS19" s="224"/>
      <c r="AT19" s="224"/>
      <c r="AU19" s="230">
        <v>0.15</v>
      </c>
      <c r="AV19" s="224"/>
      <c r="AW19" s="224"/>
      <c r="AX19" s="224"/>
      <c r="AY19" s="224"/>
      <c r="AZ19" s="230">
        <v>0.1</v>
      </c>
      <c r="BA19" s="224"/>
      <c r="BB19" s="224"/>
      <c r="BC19" s="224"/>
      <c r="BD19" s="224"/>
      <c r="BE19" s="230">
        <v>0.06</v>
      </c>
      <c r="BF19" s="10"/>
      <c r="BG19" s="10"/>
      <c r="BH19" s="10"/>
      <c r="BI19" s="10"/>
      <c r="BJ19" s="10"/>
    </row>
    <row r="20" spans="1:62" ht="4.5" customHeight="1" x14ac:dyDescent="0.15">
      <c r="A20" s="10"/>
      <c r="B20" s="10"/>
      <c r="C20" s="10"/>
      <c r="D20" s="49"/>
      <c r="E20" s="49"/>
      <c r="F20" s="49"/>
      <c r="G20" s="49"/>
      <c r="H20" s="49"/>
      <c r="I20" s="49"/>
      <c r="J20" s="49"/>
      <c r="K20" s="49"/>
      <c r="L20" s="50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48"/>
      <c r="AB20" s="445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10"/>
      <c r="BG20" s="10"/>
      <c r="BH20" s="10"/>
      <c r="BI20" s="10"/>
      <c r="BJ20" s="10"/>
    </row>
    <row r="21" spans="1:62" ht="4.5" customHeight="1" x14ac:dyDescent="0.15">
      <c r="A21" s="10"/>
      <c r="B21" s="10"/>
      <c r="C21" s="10"/>
      <c r="D21" s="49"/>
      <c r="E21" s="49"/>
      <c r="F21" s="49"/>
      <c r="G21" s="49"/>
      <c r="H21" s="49"/>
      <c r="I21" s="49"/>
      <c r="J21" s="49"/>
      <c r="K21" s="49"/>
      <c r="L21" s="50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48"/>
      <c r="AB21" s="445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10"/>
      <c r="BG21" s="10"/>
      <c r="BH21" s="10"/>
      <c r="BI21" s="10"/>
      <c r="BJ21" s="10"/>
    </row>
    <row r="22" spans="1:62" ht="9.75" customHeight="1" x14ac:dyDescent="0.15">
      <c r="A22" s="10"/>
      <c r="B22" s="58" t="s">
        <v>238</v>
      </c>
      <c r="C22" s="10"/>
      <c r="D22" s="10"/>
      <c r="E22" s="10"/>
      <c r="F22" s="10"/>
      <c r="G22" s="10"/>
      <c r="H22" s="10"/>
      <c r="I22" s="10"/>
      <c r="J22" s="10"/>
      <c r="K22" s="10"/>
      <c r="L22" s="45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448"/>
      <c r="AB22" s="445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</row>
    <row r="23" spans="1:62" ht="9.75" customHeight="1" x14ac:dyDescent="0.15">
      <c r="A23" s="10"/>
      <c r="B23" s="10" t="s">
        <v>71</v>
      </c>
      <c r="C23" s="10"/>
      <c r="D23" s="10"/>
      <c r="E23" s="10"/>
      <c r="F23" s="10"/>
      <c r="G23" s="10"/>
      <c r="H23" s="10"/>
      <c r="I23" s="10"/>
      <c r="J23" s="10"/>
      <c r="K23" s="10"/>
      <c r="L23" s="225">
        <v>1169</v>
      </c>
      <c r="M23" s="221"/>
      <c r="N23" s="221"/>
      <c r="O23" s="221"/>
      <c r="P23" s="221"/>
      <c r="Q23" s="221">
        <v>1265</v>
      </c>
      <c r="R23" s="221">
        <v>293.7</v>
      </c>
      <c r="S23" s="221">
        <f>333.3</f>
        <v>333.3</v>
      </c>
      <c r="T23" s="221">
        <v>331.7</v>
      </c>
      <c r="U23" s="220">
        <f>V23-SUM(R23:T23)</f>
        <v>382.29999999999995</v>
      </c>
      <c r="V23" s="221">
        <v>1341</v>
      </c>
      <c r="W23" s="221">
        <f>336.7</f>
        <v>336.7</v>
      </c>
      <c r="X23" s="221">
        <v>293.7</v>
      </c>
      <c r="Y23" s="221">
        <v>301.39999999999998</v>
      </c>
      <c r="Z23" s="220">
        <f>AA23-SUM(W23:Y23)</f>
        <v>325.60000000000014</v>
      </c>
      <c r="AA23" s="221">
        <v>1257.4000000000001</v>
      </c>
      <c r="AB23" s="221">
        <v>336.7</v>
      </c>
      <c r="AC23" s="226">
        <v>365.6</v>
      </c>
      <c r="AD23" s="220">
        <v>391</v>
      </c>
      <c r="AE23" s="220">
        <f>Z23*(1+AE24)</f>
        <v>358.1600000000002</v>
      </c>
      <c r="AF23" s="220">
        <f>SUM(AB23:AE23)</f>
        <v>1451.46</v>
      </c>
      <c r="AG23" s="220">
        <f t="shared" ref="AG23:AJ23" si="30">AB23*(1+AG24)</f>
        <v>367.00300000000004</v>
      </c>
      <c r="AH23" s="220">
        <f t="shared" si="30"/>
        <v>395.57920000000007</v>
      </c>
      <c r="AI23" s="220">
        <f t="shared" si="30"/>
        <v>419.93400000000003</v>
      </c>
      <c r="AJ23" s="220">
        <f t="shared" si="30"/>
        <v>381.79856000000024</v>
      </c>
      <c r="AK23" s="220">
        <f>SUM(AG23:AJ23)</f>
        <v>1564.3147600000002</v>
      </c>
      <c r="AL23" s="220">
        <f t="shared" ref="AL23:AO23" si="31">AG23*(1+AL24)</f>
        <v>403.70330000000007</v>
      </c>
      <c r="AM23" s="220">
        <f t="shared" si="31"/>
        <v>436.7194368000001</v>
      </c>
      <c r="AN23" s="220">
        <f t="shared" si="31"/>
        <v>465.28687200000007</v>
      </c>
      <c r="AO23" s="220">
        <f t="shared" si="31"/>
        <v>424.55999872000029</v>
      </c>
      <c r="AP23" s="220">
        <f>SUM(AL23:AO23)</f>
        <v>1730.2696075200006</v>
      </c>
      <c r="AQ23" s="220">
        <f t="shared" ref="AQ23:BE23" si="32">AL23*(1+AQ24)</f>
        <v>403.70330000000007</v>
      </c>
      <c r="AR23" s="220">
        <f t="shared" si="32"/>
        <v>436.7194368000001</v>
      </c>
      <c r="AS23" s="220">
        <f t="shared" si="32"/>
        <v>465.28687200000007</v>
      </c>
      <c r="AT23" s="220">
        <f t="shared" si="32"/>
        <v>424.55999872000029</v>
      </c>
      <c r="AU23" s="220">
        <f t="shared" si="32"/>
        <v>1782.1776957456007</v>
      </c>
      <c r="AV23" s="220">
        <f t="shared" si="32"/>
        <v>403.70330000000007</v>
      </c>
      <c r="AW23" s="220">
        <f t="shared" si="32"/>
        <v>436.7194368000001</v>
      </c>
      <c r="AX23" s="220">
        <f t="shared" si="32"/>
        <v>465.28687200000007</v>
      </c>
      <c r="AY23" s="220">
        <f t="shared" si="32"/>
        <v>424.55999872000029</v>
      </c>
      <c r="AZ23" s="220">
        <f t="shared" si="32"/>
        <v>1817.8212496605126</v>
      </c>
      <c r="BA23" s="220">
        <f t="shared" si="32"/>
        <v>403.70330000000007</v>
      </c>
      <c r="BB23" s="220">
        <f t="shared" si="32"/>
        <v>436.7194368000001</v>
      </c>
      <c r="BC23" s="220">
        <f t="shared" si="32"/>
        <v>465.28687200000007</v>
      </c>
      <c r="BD23" s="220">
        <f t="shared" si="32"/>
        <v>424.55999872000029</v>
      </c>
      <c r="BE23" s="220">
        <f t="shared" si="32"/>
        <v>1835.9994621571177</v>
      </c>
      <c r="BF23" s="10"/>
      <c r="BG23" s="10"/>
      <c r="BH23" s="10"/>
      <c r="BI23" s="10"/>
      <c r="BJ23" s="10"/>
    </row>
    <row r="24" spans="1:62" ht="9.75" customHeight="1" x14ac:dyDescent="0.15">
      <c r="A24" s="10"/>
      <c r="B24" s="10" t="s">
        <v>235</v>
      </c>
      <c r="C24" s="10"/>
      <c r="D24" s="10"/>
      <c r="E24" s="10"/>
      <c r="F24" s="10"/>
      <c r="G24" s="10"/>
      <c r="H24" s="10"/>
      <c r="I24" s="10"/>
      <c r="J24" s="10"/>
      <c r="K24" s="10"/>
      <c r="L24" s="54"/>
      <c r="M24" s="55"/>
      <c r="N24" s="55"/>
      <c r="O24" s="55"/>
      <c r="P24" s="55"/>
      <c r="Q24" s="222">
        <f>Q23/L23-1</f>
        <v>8.2121471343028274E-2</v>
      </c>
      <c r="R24" s="222"/>
      <c r="S24" s="222"/>
      <c r="T24" s="222"/>
      <c r="U24" s="222"/>
      <c r="V24" s="222">
        <f t="shared" ref="V24:AD24" si="33">V23/Q23-1</f>
        <v>6.0079051383399307E-2</v>
      </c>
      <c r="W24" s="222">
        <f t="shared" si="33"/>
        <v>0.14640789921688802</v>
      </c>
      <c r="X24" s="222">
        <f t="shared" si="33"/>
        <v>-0.11881188118811892</v>
      </c>
      <c r="Y24" s="222">
        <f t="shared" si="33"/>
        <v>-9.1347603255954257E-2</v>
      </c>
      <c r="Z24" s="222">
        <f t="shared" si="33"/>
        <v>-0.14831284331676653</v>
      </c>
      <c r="AA24" s="222">
        <f t="shared" si="33"/>
        <v>-6.2341536167039413E-2</v>
      </c>
      <c r="AB24" s="222">
        <f t="shared" si="33"/>
        <v>0</v>
      </c>
      <c r="AC24" s="222">
        <f t="shared" si="33"/>
        <v>0.24480762683009893</v>
      </c>
      <c r="AD24" s="222">
        <f t="shared" si="33"/>
        <v>0.29727936297279367</v>
      </c>
      <c r="AE24" s="223">
        <f>0.1</f>
        <v>0.1</v>
      </c>
      <c r="AF24" s="223">
        <f>AF23/AA23-1</f>
        <v>0.15433434070303798</v>
      </c>
      <c r="AG24" s="224">
        <v>0.09</v>
      </c>
      <c r="AH24" s="223">
        <f t="shared" ref="AH24:AJ24" si="34">AG24-0.008</f>
        <v>8.199999999999999E-2</v>
      </c>
      <c r="AI24" s="223">
        <f t="shared" si="34"/>
        <v>7.3999999999999982E-2</v>
      </c>
      <c r="AJ24" s="223">
        <f t="shared" si="34"/>
        <v>6.5999999999999975E-2</v>
      </c>
      <c r="AK24" s="223">
        <f>AK23/AF23-1</f>
        <v>7.7752580160665996E-2</v>
      </c>
      <c r="AL24" s="223">
        <v>0.1</v>
      </c>
      <c r="AM24" s="223">
        <f t="shared" ref="AM24:AO24" si="35">AL24+0.004</f>
        <v>0.10400000000000001</v>
      </c>
      <c r="AN24" s="223">
        <f t="shared" si="35"/>
        <v>0.10800000000000001</v>
      </c>
      <c r="AO24" s="223">
        <f t="shared" si="35"/>
        <v>0.11200000000000002</v>
      </c>
      <c r="AP24" s="223">
        <f>AP23/AK23-1</f>
        <v>0.10608788701833927</v>
      </c>
      <c r="AQ24" s="224"/>
      <c r="AR24" s="224"/>
      <c r="AS24" s="224"/>
      <c r="AT24" s="224"/>
      <c r="AU24" s="224">
        <v>0.03</v>
      </c>
      <c r="AV24" s="224"/>
      <c r="AW24" s="224"/>
      <c r="AX24" s="224"/>
      <c r="AY24" s="224"/>
      <c r="AZ24" s="224">
        <v>0.02</v>
      </c>
      <c r="BA24" s="224"/>
      <c r="BB24" s="224"/>
      <c r="BC24" s="224"/>
      <c r="BD24" s="224"/>
      <c r="BE24" s="224">
        <v>0.01</v>
      </c>
      <c r="BF24" s="10"/>
      <c r="BG24" s="10"/>
      <c r="BH24" s="10"/>
      <c r="BI24" s="10"/>
      <c r="BJ24" s="10"/>
    </row>
    <row r="25" spans="1:62" ht="9.75" customHeight="1" x14ac:dyDescent="0.1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54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</row>
    <row r="26" spans="1:62" ht="9.75" customHeight="1" x14ac:dyDescent="0.15">
      <c r="A26" s="10"/>
      <c r="B26" s="58" t="s">
        <v>239</v>
      </c>
      <c r="C26" s="10"/>
      <c r="D26" s="10"/>
      <c r="E26" s="10"/>
      <c r="F26" s="10"/>
      <c r="G26" s="10"/>
      <c r="H26" s="10"/>
      <c r="I26" s="10"/>
      <c r="J26" s="10"/>
      <c r="K26" s="10"/>
      <c r="L26" s="225">
        <v>6566</v>
      </c>
      <c r="M26" s="221"/>
      <c r="N26" s="221"/>
      <c r="O26" s="221"/>
      <c r="P26" s="221"/>
      <c r="Q26" s="221">
        <v>7315</v>
      </c>
      <c r="R26" s="221">
        <f t="shared" ref="R26:T26" si="36">SUM(R23,R18,R14,R10)</f>
        <v>1812.9</v>
      </c>
      <c r="S26" s="221">
        <f t="shared" si="36"/>
        <v>1786</v>
      </c>
      <c r="T26" s="221">
        <f t="shared" si="36"/>
        <v>1920.7</v>
      </c>
      <c r="U26" s="220">
        <f>V26-SUM(R26:T26)</f>
        <v>1945.3999999999996</v>
      </c>
      <c r="V26" s="221">
        <v>7465</v>
      </c>
      <c r="W26" s="221">
        <f t="shared" ref="W26:Z26" si="37">SUM(W23,W18,W14,W10)</f>
        <v>1973.2000000000003</v>
      </c>
      <c r="X26" s="221">
        <f t="shared" si="37"/>
        <v>1892.9</v>
      </c>
      <c r="Y26" s="221">
        <f t="shared" si="37"/>
        <v>1987.8</v>
      </c>
      <c r="Z26" s="221">
        <f t="shared" si="37"/>
        <v>2099.5</v>
      </c>
      <c r="AA26" s="221">
        <f>SUM(AA23,,AA18,AA14,AA10,)</f>
        <v>7953.4</v>
      </c>
      <c r="AB26" s="221">
        <f t="shared" ref="AB26:BE26" si="38">SUM(AB23,AB18,AB14,AB10)</f>
        <v>2129.6</v>
      </c>
      <c r="AC26" s="221">
        <f t="shared" si="38"/>
        <v>2233</v>
      </c>
      <c r="AD26" s="221">
        <f t="shared" si="38"/>
        <v>2368.6999999999998</v>
      </c>
      <c r="AE26" s="221">
        <f t="shared" si="38"/>
        <v>2332.8512000000001</v>
      </c>
      <c r="AF26" s="220">
        <f t="shared" si="38"/>
        <v>9064.1512000000002</v>
      </c>
      <c r="AG26" s="220">
        <f t="shared" si="38"/>
        <v>2414.3807999999999</v>
      </c>
      <c r="AH26" s="220">
        <f t="shared" si="38"/>
        <v>2528.4222</v>
      </c>
      <c r="AI26" s="220">
        <f t="shared" si="38"/>
        <v>2685.2277000000004</v>
      </c>
      <c r="AJ26" s="220">
        <f t="shared" si="38"/>
        <v>2613.6378668000002</v>
      </c>
      <c r="AK26" s="220">
        <f t="shared" si="38"/>
        <v>10241.668566799999</v>
      </c>
      <c r="AL26" s="220">
        <f t="shared" si="38"/>
        <v>2763.2932738</v>
      </c>
      <c r="AM26" s="220">
        <f t="shared" si="38"/>
        <v>2900.0546964</v>
      </c>
      <c r="AN26" s="220">
        <f t="shared" si="38"/>
        <v>3096.9420068999998</v>
      </c>
      <c r="AO26" s="220">
        <f t="shared" si="38"/>
        <v>2977.5834320464005</v>
      </c>
      <c r="AP26" s="220">
        <f t="shared" si="38"/>
        <v>11737.873409146399</v>
      </c>
      <c r="AQ26" s="220">
        <f t="shared" si="38"/>
        <v>2763.2932738</v>
      </c>
      <c r="AR26" s="220">
        <f t="shared" si="38"/>
        <v>2900.0546964</v>
      </c>
      <c r="AS26" s="220">
        <f t="shared" si="38"/>
        <v>3096.9420068999998</v>
      </c>
      <c r="AT26" s="220">
        <f t="shared" si="38"/>
        <v>2977.5834320464005</v>
      </c>
      <c r="AU26" s="220">
        <f t="shared" si="38"/>
        <v>12629.52150710726</v>
      </c>
      <c r="AV26" s="220">
        <f t="shared" si="38"/>
        <v>2763.2932738</v>
      </c>
      <c r="AW26" s="220">
        <f t="shared" si="38"/>
        <v>2900.0546964</v>
      </c>
      <c r="AX26" s="220">
        <f t="shared" si="38"/>
        <v>3096.9420068999998</v>
      </c>
      <c r="AY26" s="220">
        <f t="shared" si="38"/>
        <v>2977.5834320464005</v>
      </c>
      <c r="AZ26" s="220">
        <f t="shared" si="38"/>
        <v>13309.601258513998</v>
      </c>
      <c r="BA26" s="220">
        <f t="shared" si="38"/>
        <v>2763.2932738</v>
      </c>
      <c r="BB26" s="220">
        <f t="shared" si="38"/>
        <v>2900.0546964</v>
      </c>
      <c r="BC26" s="220">
        <f t="shared" si="38"/>
        <v>3096.9420068999998</v>
      </c>
      <c r="BD26" s="220">
        <f t="shared" si="38"/>
        <v>2977.5834320464005</v>
      </c>
      <c r="BE26" s="220">
        <f t="shared" si="38"/>
        <v>13745.725551542113</v>
      </c>
      <c r="BF26" s="10"/>
      <c r="BG26" s="10"/>
      <c r="BH26" s="10"/>
      <c r="BI26" s="10"/>
      <c r="BJ26" s="10"/>
    </row>
    <row r="27" spans="1:62" ht="9.75" customHeight="1" x14ac:dyDescent="0.1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54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</row>
    <row r="28" spans="1:62" ht="9.75" customHeight="1" x14ac:dyDescent="0.15">
      <c r="A28" s="10"/>
      <c r="B28" s="48" t="s">
        <v>240</v>
      </c>
      <c r="C28" s="10"/>
      <c r="D28" s="10"/>
      <c r="E28" s="10"/>
      <c r="F28" s="10"/>
      <c r="G28" s="10"/>
      <c r="H28" s="10"/>
      <c r="I28" s="10"/>
      <c r="J28" s="10"/>
      <c r="K28" s="10"/>
      <c r="L28" s="225">
        <v>98</v>
      </c>
      <c r="M28" s="221"/>
      <c r="N28" s="221"/>
      <c r="O28" s="221"/>
      <c r="P28" s="221"/>
      <c r="Q28" s="221">
        <v>125</v>
      </c>
      <c r="R28" s="221">
        <v>40.700000000000003</v>
      </c>
      <c r="S28" s="221">
        <f>27.4</f>
        <v>27.4</v>
      </c>
      <c r="T28" s="221">
        <v>32</v>
      </c>
      <c r="U28" s="220">
        <f>V28-SUM(R28:T28)</f>
        <v>14.900000000000006</v>
      </c>
      <c r="V28" s="221">
        <v>115</v>
      </c>
      <c r="W28" s="221">
        <f>19.9</f>
        <v>19.899999999999999</v>
      </c>
      <c r="X28" s="221">
        <v>19.8</v>
      </c>
      <c r="Y28" s="221">
        <f>25.3</f>
        <v>25.3</v>
      </c>
      <c r="Z28" s="220">
        <f>AA28-SUM(W28:Y28)</f>
        <v>22.900000000000006</v>
      </c>
      <c r="AA28" s="221">
        <v>87.9</v>
      </c>
      <c r="AB28" s="221">
        <v>28.8</v>
      </c>
      <c r="AC28" s="226">
        <f>65.9</f>
        <v>65.900000000000006</v>
      </c>
      <c r="AD28" s="220">
        <v>85.4</v>
      </c>
      <c r="AE28" s="220">
        <f>Z28*(1+AE29)</f>
        <v>24.961000000000009</v>
      </c>
      <c r="AF28" s="220">
        <f>SUM(AB28:AE28)</f>
        <v>205.06100000000004</v>
      </c>
      <c r="AG28" s="220">
        <f t="shared" ref="AG28:AJ28" si="39">AB28*(1+AG29)</f>
        <v>33.119999999999997</v>
      </c>
      <c r="AH28" s="220">
        <f t="shared" si="39"/>
        <v>75.982700000000008</v>
      </c>
      <c r="AI28" s="220">
        <f t="shared" si="39"/>
        <v>98.722399999999993</v>
      </c>
      <c r="AJ28" s="220">
        <f t="shared" si="39"/>
        <v>28.92979900000001</v>
      </c>
      <c r="AK28" s="220">
        <f>SUM(AG28:AJ28)</f>
        <v>236.75489899999999</v>
      </c>
      <c r="AL28" s="220">
        <f t="shared" ref="AL28:AO28" si="40">AG28*(1+AL29)</f>
        <v>39.412799999999997</v>
      </c>
      <c r="AM28" s="220">
        <f t="shared" si="40"/>
        <v>90.799326500000021</v>
      </c>
      <c r="AN28" s="220">
        <f t="shared" si="40"/>
        <v>118.46687999999999</v>
      </c>
      <c r="AO28" s="220">
        <f t="shared" si="40"/>
        <v>34.860407795000015</v>
      </c>
      <c r="AP28" s="220">
        <f>SUM(AL28:AO28)</f>
        <v>283.53941429500003</v>
      </c>
      <c r="AQ28" s="220">
        <f t="shared" ref="AQ28:BE28" si="41">AL28*(1+AQ29)</f>
        <v>39.412799999999997</v>
      </c>
      <c r="AR28" s="220">
        <f t="shared" si="41"/>
        <v>90.799326500000021</v>
      </c>
      <c r="AS28" s="220">
        <f t="shared" si="41"/>
        <v>118.46687999999999</v>
      </c>
      <c r="AT28" s="220">
        <f t="shared" si="41"/>
        <v>34.860407795000015</v>
      </c>
      <c r="AU28" s="220">
        <f t="shared" si="41"/>
        <v>311.89335572450005</v>
      </c>
      <c r="AV28" s="220">
        <f t="shared" si="41"/>
        <v>39.412799999999997</v>
      </c>
      <c r="AW28" s="220">
        <f t="shared" si="41"/>
        <v>90.799326500000021</v>
      </c>
      <c r="AX28" s="220">
        <f t="shared" si="41"/>
        <v>118.46687999999999</v>
      </c>
      <c r="AY28" s="220">
        <f t="shared" si="41"/>
        <v>34.860407795000015</v>
      </c>
      <c r="AZ28" s="220">
        <f t="shared" si="41"/>
        <v>336.84482418246006</v>
      </c>
      <c r="BA28" s="220">
        <f t="shared" si="41"/>
        <v>39.412799999999997</v>
      </c>
      <c r="BB28" s="220">
        <f t="shared" si="41"/>
        <v>90.799326500000021</v>
      </c>
      <c r="BC28" s="220">
        <f t="shared" si="41"/>
        <v>118.46687999999999</v>
      </c>
      <c r="BD28" s="220">
        <f t="shared" si="41"/>
        <v>34.860407795000015</v>
      </c>
      <c r="BE28" s="220">
        <f t="shared" si="41"/>
        <v>360.42396187523229</v>
      </c>
      <c r="BF28" s="10"/>
      <c r="BG28" s="10"/>
      <c r="BH28" s="10"/>
      <c r="BI28" s="10"/>
      <c r="BJ28" s="10"/>
    </row>
    <row r="29" spans="1:62" ht="9.75" customHeight="1" x14ac:dyDescent="0.15">
      <c r="A29" s="10"/>
      <c r="B29" s="10" t="s">
        <v>235</v>
      </c>
      <c r="C29" s="10"/>
      <c r="D29" s="10"/>
      <c r="E29" s="10"/>
      <c r="F29" s="10"/>
      <c r="G29" s="10"/>
      <c r="H29" s="10"/>
      <c r="I29" s="10"/>
      <c r="J29" s="10"/>
      <c r="K29" s="10"/>
      <c r="L29" s="54"/>
      <c r="M29" s="55"/>
      <c r="N29" s="55"/>
      <c r="O29" s="55"/>
      <c r="P29" s="55"/>
      <c r="Q29" s="222">
        <f>Q28/L28-1</f>
        <v>0.27551020408163263</v>
      </c>
      <c r="R29" s="222"/>
      <c r="S29" s="222"/>
      <c r="T29" s="222"/>
      <c r="U29" s="222"/>
      <c r="V29" s="222">
        <f t="shared" ref="V29:AD29" si="42">V28/Q28-1</f>
        <v>-7.999999999999996E-2</v>
      </c>
      <c r="W29" s="222">
        <f t="shared" si="42"/>
        <v>-0.51105651105651106</v>
      </c>
      <c r="X29" s="222">
        <f t="shared" si="42"/>
        <v>-0.27737226277372251</v>
      </c>
      <c r="Y29" s="222">
        <f t="shared" si="42"/>
        <v>-0.20937499999999998</v>
      </c>
      <c r="Z29" s="222">
        <f t="shared" si="42"/>
        <v>0.53691275167785224</v>
      </c>
      <c r="AA29" s="222">
        <f t="shared" si="42"/>
        <v>-0.23565217391304338</v>
      </c>
      <c r="AB29" s="222">
        <f t="shared" si="42"/>
        <v>0.44723618090452266</v>
      </c>
      <c r="AC29" s="222">
        <f t="shared" si="42"/>
        <v>2.3282828282828283</v>
      </c>
      <c r="AD29" s="222">
        <f t="shared" si="42"/>
        <v>2.3754940711462451</v>
      </c>
      <c r="AE29" s="223">
        <f>0.09</f>
        <v>0.09</v>
      </c>
      <c r="AF29" s="223">
        <f>AF28/AA28-1</f>
        <v>1.3328896473265077</v>
      </c>
      <c r="AG29" s="223">
        <f>0.15</f>
        <v>0.15</v>
      </c>
      <c r="AH29" s="223">
        <f t="shared" ref="AH29:AJ29" si="43">AG29+0.003</f>
        <v>0.153</v>
      </c>
      <c r="AI29" s="223">
        <f t="shared" si="43"/>
        <v>0.156</v>
      </c>
      <c r="AJ29" s="223">
        <f t="shared" si="43"/>
        <v>0.159</v>
      </c>
      <c r="AK29" s="223">
        <f>AK28/AF28-1</f>
        <v>0.15455839481910227</v>
      </c>
      <c r="AL29" s="224">
        <f>0.19</f>
        <v>0.19</v>
      </c>
      <c r="AM29" s="224">
        <f t="shared" ref="AM29:AO29" si="44">AL29+0.005</f>
        <v>0.19500000000000001</v>
      </c>
      <c r="AN29" s="224">
        <f t="shared" si="44"/>
        <v>0.2</v>
      </c>
      <c r="AO29" s="224">
        <f t="shared" si="44"/>
        <v>0.20500000000000002</v>
      </c>
      <c r="AP29" s="223">
        <f>AP28/AK28-1</f>
        <v>0.19760738000610512</v>
      </c>
      <c r="AQ29" s="224"/>
      <c r="AR29" s="224"/>
      <c r="AS29" s="224"/>
      <c r="AT29" s="224"/>
      <c r="AU29" s="230">
        <v>0.1</v>
      </c>
      <c r="AV29" s="224"/>
      <c r="AW29" s="224"/>
      <c r="AX29" s="224"/>
      <c r="AY29" s="224"/>
      <c r="AZ29" s="224">
        <v>0.08</v>
      </c>
      <c r="BA29" s="224"/>
      <c r="BB29" s="224"/>
      <c r="BC29" s="224"/>
      <c r="BD29" s="224"/>
      <c r="BE29" s="224">
        <v>7.0000000000000007E-2</v>
      </c>
      <c r="BF29" s="10"/>
      <c r="BG29" s="10"/>
      <c r="BH29" s="10"/>
      <c r="BI29" s="10"/>
      <c r="BJ29" s="10"/>
    </row>
    <row r="30" spans="1:62" ht="9.75" customHeight="1" x14ac:dyDescent="0.1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45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</row>
    <row r="31" spans="1:62" ht="9.75" customHeight="1" x14ac:dyDescent="0.15">
      <c r="A31" s="10"/>
      <c r="B31" s="231" t="s">
        <v>71</v>
      </c>
      <c r="C31" s="232"/>
      <c r="D31" s="233">
        <f>'Income Statement'!D38</f>
        <v>0</v>
      </c>
      <c r="E31" s="233">
        <f>'Income Statement'!E38</f>
        <v>0</v>
      </c>
      <c r="F31" s="233">
        <f>'Income Statement'!F38</f>
        <v>0</v>
      </c>
      <c r="G31" s="233">
        <f>'Income Statement'!G38</f>
        <v>0</v>
      </c>
      <c r="H31" s="233">
        <f>'Income Statement'!H38</f>
        <v>0</v>
      </c>
      <c r="I31" s="233">
        <f>'Income Statement'!I38</f>
        <v>0</v>
      </c>
      <c r="J31" s="233">
        <f>'Income Statement'!J38</f>
        <v>0</v>
      </c>
      <c r="K31" s="233">
        <f>'Income Statement'!K38</f>
        <v>0</v>
      </c>
      <c r="L31" s="234">
        <v>6664</v>
      </c>
      <c r="M31" s="233" t="e">
        <f>'Income Statement'!#REF!</f>
        <v>#REF!</v>
      </c>
      <c r="N31" s="233" t="e">
        <f>'Income Statement'!#REF!</f>
        <v>#REF!</v>
      </c>
      <c r="O31" s="233" t="e">
        <f>'Income Statement'!#REF!</f>
        <v>#REF!</v>
      </c>
      <c r="P31" s="233">
        <f>'Income Statement'!P38</f>
        <v>439606</v>
      </c>
      <c r="Q31" s="233">
        <f>'Income Statement'!Q10</f>
        <v>7440.0999999999995</v>
      </c>
      <c r="R31" s="233">
        <f t="shared" ref="R31:U31" si="45">SUM(R28,R23,R18,R14,R10)</f>
        <v>1853.6</v>
      </c>
      <c r="S31" s="233">
        <f t="shared" si="45"/>
        <v>1813.4</v>
      </c>
      <c r="T31" s="233">
        <f t="shared" si="45"/>
        <v>1952.7</v>
      </c>
      <c r="U31" s="233">
        <f t="shared" si="45"/>
        <v>1961.2999999999997</v>
      </c>
      <c r="V31" s="233">
        <f>'Income Statement'!V10</f>
        <v>7580.2999999999993</v>
      </c>
      <c r="W31" s="233">
        <f t="shared" ref="W31:Z31" si="46">SUM(W28,W23,W18,W14,W10)</f>
        <v>1993.1</v>
      </c>
      <c r="X31" s="233">
        <f t="shared" si="46"/>
        <v>1912.7</v>
      </c>
      <c r="Y31" s="233">
        <f t="shared" si="46"/>
        <v>2013.1</v>
      </c>
      <c r="Z31" s="233">
        <f t="shared" si="46"/>
        <v>2122.4</v>
      </c>
      <c r="AA31" s="233">
        <f>'Income Statement'!AA10</f>
        <v>8041.5</v>
      </c>
      <c r="AB31" s="233">
        <f t="shared" ref="AB31:AE31" si="47">SUM(AB28,AB23,AB18,AB14,AB10)</f>
        <v>2158.4</v>
      </c>
      <c r="AC31" s="233">
        <f t="shared" si="47"/>
        <v>2298.8999999999996</v>
      </c>
      <c r="AD31" s="233">
        <f t="shared" si="47"/>
        <v>2454.1</v>
      </c>
      <c r="AE31" s="233">
        <f t="shared" si="47"/>
        <v>2357.8122000000003</v>
      </c>
      <c r="AF31" s="233">
        <f t="shared" ref="AF31:BE31" si="48">SUM(AF28,AF26)</f>
        <v>9269.2121999999999</v>
      </c>
      <c r="AG31" s="233">
        <f t="shared" si="48"/>
        <v>2447.5007999999998</v>
      </c>
      <c r="AH31" s="233">
        <f t="shared" si="48"/>
        <v>2604.4049</v>
      </c>
      <c r="AI31" s="233">
        <f t="shared" si="48"/>
        <v>2783.9501000000005</v>
      </c>
      <c r="AJ31" s="233">
        <f t="shared" si="48"/>
        <v>2642.5676658000002</v>
      </c>
      <c r="AK31" s="233">
        <f t="shared" si="48"/>
        <v>10478.423465799999</v>
      </c>
      <c r="AL31" s="233">
        <f t="shared" si="48"/>
        <v>2802.7060738</v>
      </c>
      <c r="AM31" s="233">
        <f t="shared" si="48"/>
        <v>2990.8540229</v>
      </c>
      <c r="AN31" s="233">
        <f t="shared" si="48"/>
        <v>3215.4088868999997</v>
      </c>
      <c r="AO31" s="233">
        <f t="shared" si="48"/>
        <v>3012.4438398414004</v>
      </c>
      <c r="AP31" s="233">
        <f t="shared" si="48"/>
        <v>12021.4128234414</v>
      </c>
      <c r="AQ31" s="233">
        <f t="shared" si="48"/>
        <v>2802.7060738</v>
      </c>
      <c r="AR31" s="233">
        <f t="shared" si="48"/>
        <v>2990.8540229</v>
      </c>
      <c r="AS31" s="233">
        <f t="shared" si="48"/>
        <v>3215.4088868999997</v>
      </c>
      <c r="AT31" s="233">
        <f t="shared" si="48"/>
        <v>3012.4438398414004</v>
      </c>
      <c r="AU31" s="233">
        <f t="shared" si="48"/>
        <v>12941.41486283176</v>
      </c>
      <c r="AV31" s="233">
        <f t="shared" si="48"/>
        <v>2802.7060738</v>
      </c>
      <c r="AW31" s="233">
        <f t="shared" si="48"/>
        <v>2990.8540229</v>
      </c>
      <c r="AX31" s="233">
        <f t="shared" si="48"/>
        <v>3215.4088868999997</v>
      </c>
      <c r="AY31" s="233">
        <f t="shared" si="48"/>
        <v>3012.4438398414004</v>
      </c>
      <c r="AZ31" s="233">
        <f t="shared" si="48"/>
        <v>13646.446082696459</v>
      </c>
      <c r="BA31" s="233">
        <f t="shared" si="48"/>
        <v>2802.7060738</v>
      </c>
      <c r="BB31" s="233">
        <f t="shared" si="48"/>
        <v>2990.8540229</v>
      </c>
      <c r="BC31" s="233">
        <f t="shared" si="48"/>
        <v>3215.4088868999997</v>
      </c>
      <c r="BD31" s="233">
        <f t="shared" si="48"/>
        <v>3012.4438398414004</v>
      </c>
      <c r="BE31" s="233">
        <f t="shared" si="48"/>
        <v>14106.149513417346</v>
      </c>
      <c r="BF31" s="10"/>
      <c r="BG31" s="10"/>
      <c r="BH31" s="10"/>
      <c r="BI31" s="10"/>
      <c r="BJ31" s="10"/>
    </row>
    <row r="32" spans="1:62" ht="9.75" customHeight="1" x14ac:dyDescent="0.1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</row>
    <row r="33" spans="1:62" ht="9.75" customHeight="1" x14ac:dyDescent="0.1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</row>
    <row r="34" spans="1:62" ht="9.75" customHeight="1" x14ac:dyDescent="0.1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</row>
    <row r="35" spans="1:62" ht="9.75" customHeight="1" x14ac:dyDescent="0.1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</row>
    <row r="36" spans="1:62" ht="9.75" customHeight="1" x14ac:dyDescent="0.1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</row>
    <row r="37" spans="1:62" ht="9.75" customHeight="1" x14ac:dyDescent="0.1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</row>
    <row r="38" spans="1:62" ht="9.75" customHeight="1" x14ac:dyDescent="0.1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</row>
    <row r="39" spans="1:62" ht="9.75" customHeight="1" x14ac:dyDescent="0.1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</row>
    <row r="40" spans="1:62" ht="9.75" customHeight="1" x14ac:dyDescent="0.1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</row>
    <row r="41" spans="1:62" ht="9.75" customHeight="1" x14ac:dyDescent="0.1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</row>
    <row r="42" spans="1:62" ht="9.75" customHeight="1" x14ac:dyDescent="0.1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</row>
    <row r="43" spans="1:62" ht="9.75" customHeight="1" x14ac:dyDescent="0.1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</row>
    <row r="44" spans="1:62" ht="9.75" customHeight="1" x14ac:dyDescent="0.1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</row>
    <row r="45" spans="1:62" ht="9.75" customHeight="1" x14ac:dyDescent="0.1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</row>
    <row r="46" spans="1:62" ht="9.75" customHeight="1" x14ac:dyDescent="0.1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</row>
    <row r="47" spans="1:62" ht="9.75" customHeight="1" x14ac:dyDescent="0.1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</row>
    <row r="48" spans="1:62" ht="9.75" customHeight="1" x14ac:dyDescent="0.1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</row>
    <row r="49" spans="1:62" ht="9.75" customHeight="1" x14ac:dyDescent="0.1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</row>
    <row r="50" spans="1:62" ht="9.75" customHeight="1" x14ac:dyDescent="0.1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</row>
    <row r="51" spans="1:62" ht="9.75" customHeight="1" x14ac:dyDescent="0.1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</row>
    <row r="52" spans="1:62" ht="9.75" customHeight="1" x14ac:dyDescent="0.1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</row>
    <row r="53" spans="1:62" ht="9.75" customHeight="1" x14ac:dyDescent="0.1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</row>
    <row r="54" spans="1:62" ht="9.75" customHeight="1" x14ac:dyDescent="0.1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</row>
    <row r="55" spans="1:62" ht="9.75" customHeight="1" x14ac:dyDescent="0.1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</row>
    <row r="56" spans="1:62" ht="9.75" customHeight="1" x14ac:dyDescent="0.1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</row>
    <row r="57" spans="1:62" ht="9.75" customHeight="1" x14ac:dyDescent="0.1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</row>
    <row r="58" spans="1:62" ht="9.75" customHeight="1" x14ac:dyDescent="0.1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</row>
    <row r="59" spans="1:62" ht="9.75" customHeight="1" x14ac:dyDescent="0.1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</row>
    <row r="60" spans="1:62" ht="9.75" customHeight="1" x14ac:dyDescent="0.1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</row>
    <row r="61" spans="1:62" ht="9.75" customHeight="1" x14ac:dyDescent="0.1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</row>
    <row r="62" spans="1:62" ht="9.75" customHeight="1" x14ac:dyDescent="0.1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</row>
    <row r="63" spans="1:62" ht="9.75" customHeight="1" x14ac:dyDescent="0.1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</row>
    <row r="64" spans="1:62" ht="9.75" customHeight="1" x14ac:dyDescent="0.1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</row>
    <row r="65" spans="1:62" ht="9.75" customHeight="1" x14ac:dyDescent="0.1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</row>
    <row r="66" spans="1:62" ht="9.75" customHeight="1" x14ac:dyDescent="0.1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</row>
    <row r="67" spans="1:62" ht="9.75" customHeight="1" x14ac:dyDescent="0.1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</row>
    <row r="68" spans="1:62" ht="9.75" customHeight="1" x14ac:dyDescent="0.1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</row>
    <row r="69" spans="1:62" ht="9.75" customHeight="1" x14ac:dyDescent="0.1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</row>
    <row r="70" spans="1:62" ht="9.75" customHeight="1" x14ac:dyDescent="0.1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</row>
    <row r="71" spans="1:62" ht="9.75" customHeight="1" x14ac:dyDescent="0.1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</row>
    <row r="72" spans="1:62" ht="9.75" customHeight="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</row>
    <row r="73" spans="1:62" ht="9.75" customHeight="1" x14ac:dyDescent="0.1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</row>
    <row r="74" spans="1:62" ht="9.75" customHeight="1" x14ac:dyDescent="0.1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</row>
    <row r="75" spans="1:62" ht="9.75" customHeight="1" x14ac:dyDescent="0.1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</row>
    <row r="76" spans="1:62" ht="9.75" customHeight="1" x14ac:dyDescent="0.1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</row>
    <row r="77" spans="1:62" ht="9.75" customHeight="1" x14ac:dyDescent="0.1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</row>
    <row r="78" spans="1:62" ht="9.75" customHeight="1" x14ac:dyDescent="0.1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</row>
    <row r="79" spans="1:62" ht="9.75" customHeight="1" x14ac:dyDescent="0.1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</row>
    <row r="80" spans="1:62" ht="9.75" customHeight="1" x14ac:dyDescent="0.1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</row>
    <row r="81" spans="1:62" ht="9.75" customHeight="1" x14ac:dyDescent="0.1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</row>
    <row r="82" spans="1:62" ht="9.75" customHeight="1" x14ac:dyDescent="0.1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</row>
    <row r="83" spans="1:62" ht="9.75" customHeight="1" x14ac:dyDescent="0.1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</row>
    <row r="84" spans="1:62" ht="9.75" customHeight="1" x14ac:dyDescent="0.1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</row>
    <row r="85" spans="1:62" ht="9.75" customHeight="1" x14ac:dyDescent="0.1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</row>
    <row r="86" spans="1:62" ht="9.75" customHeight="1" x14ac:dyDescent="0.1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</row>
    <row r="87" spans="1:62" ht="9.75" customHeight="1" x14ac:dyDescent="0.1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</row>
    <row r="88" spans="1:62" ht="9.75" customHeight="1" x14ac:dyDescent="0.1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</row>
    <row r="89" spans="1:62" ht="9.75" customHeight="1" x14ac:dyDescent="0.1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</row>
    <row r="90" spans="1:62" ht="9.75" customHeight="1" x14ac:dyDescent="0.1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</row>
    <row r="91" spans="1:62" ht="9.75" customHeight="1" x14ac:dyDescent="0.1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</row>
    <row r="92" spans="1:62" ht="9.75" customHeight="1" x14ac:dyDescent="0.1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</row>
    <row r="93" spans="1:62" ht="9.7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</row>
    <row r="94" spans="1:62" ht="9.75" customHeight="1" x14ac:dyDescent="0.1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</row>
    <row r="95" spans="1:62" ht="9.75" customHeight="1" x14ac:dyDescent="0.1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</row>
    <row r="96" spans="1:62" ht="9.75" customHeight="1" x14ac:dyDescent="0.1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</row>
    <row r="97" spans="1:62" ht="9.75" customHeight="1" x14ac:dyDescent="0.1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</row>
    <row r="98" spans="1:62" ht="9.75" customHeight="1" x14ac:dyDescent="0.1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</row>
    <row r="99" spans="1:62" ht="9.75" customHeight="1" x14ac:dyDescent="0.1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</row>
    <row r="100" spans="1:62" ht="9.75" customHeight="1" x14ac:dyDescent="0.1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</row>
    <row r="101" spans="1:62" ht="9.75" customHeight="1" x14ac:dyDescent="0.1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</row>
    <row r="102" spans="1:62" ht="9.75" customHeight="1" x14ac:dyDescent="0.1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</row>
    <row r="103" spans="1:62" ht="9.75" customHeight="1" x14ac:dyDescent="0.1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</row>
    <row r="104" spans="1:62" ht="9.75" customHeight="1" x14ac:dyDescent="0.1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</row>
    <row r="105" spans="1:62" ht="9.75" customHeight="1" x14ac:dyDescent="0.1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</row>
    <row r="106" spans="1:62" ht="9.75" customHeight="1" x14ac:dyDescent="0.1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</row>
    <row r="107" spans="1:62" ht="9.75" customHeight="1" x14ac:dyDescent="0.1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</row>
    <row r="108" spans="1:62" ht="9.75" customHeight="1" x14ac:dyDescent="0.1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</row>
    <row r="109" spans="1:62" ht="9.75" customHeight="1" x14ac:dyDescent="0.1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</row>
    <row r="110" spans="1:62" ht="9.75" customHeight="1" x14ac:dyDescent="0.1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</row>
    <row r="111" spans="1:62" ht="9.75" customHeight="1" x14ac:dyDescent="0.1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</row>
    <row r="112" spans="1:62" ht="9.75" customHeight="1" x14ac:dyDescent="0.1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</row>
    <row r="113" spans="1:62" ht="9.75" customHeight="1" x14ac:dyDescent="0.1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</row>
    <row r="114" spans="1:62" ht="9.75" customHeight="1" x14ac:dyDescent="0.1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</row>
    <row r="115" spans="1:62" ht="9.75" customHeight="1" x14ac:dyDescent="0.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</row>
    <row r="116" spans="1:62" ht="9.75" customHeight="1" x14ac:dyDescent="0.1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</row>
    <row r="117" spans="1:62" ht="9.75" customHeight="1" x14ac:dyDescent="0.1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</row>
    <row r="118" spans="1:62" ht="9.75" customHeight="1" x14ac:dyDescent="0.1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</row>
    <row r="119" spans="1:62" ht="9.75" customHeight="1" x14ac:dyDescent="0.1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</row>
    <row r="120" spans="1:62" ht="9.75" customHeight="1" x14ac:dyDescent="0.1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</row>
    <row r="121" spans="1:62" ht="9.75" customHeight="1" x14ac:dyDescent="0.1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</row>
    <row r="122" spans="1:62" ht="9.75" customHeight="1" x14ac:dyDescent="0.1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</row>
    <row r="123" spans="1:62" ht="9.75" customHeight="1" x14ac:dyDescent="0.1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</row>
    <row r="124" spans="1:62" ht="9.75" customHeight="1" x14ac:dyDescent="0.1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</row>
    <row r="125" spans="1:62" ht="9.75" customHeight="1" x14ac:dyDescent="0.1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</row>
    <row r="126" spans="1:62" ht="9.75" customHeight="1" x14ac:dyDescent="0.1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</row>
    <row r="127" spans="1:62" ht="9.75" customHeight="1" x14ac:dyDescent="0.1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</row>
    <row r="128" spans="1:62" ht="9.75" customHeight="1" x14ac:dyDescent="0.1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</row>
    <row r="129" spans="1:62" ht="9.75" customHeight="1" x14ac:dyDescent="0.1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</row>
    <row r="130" spans="1:62" ht="9.75" customHeight="1" x14ac:dyDescent="0.1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</row>
    <row r="131" spans="1:62" ht="9.75" customHeight="1" x14ac:dyDescent="0.1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</row>
    <row r="132" spans="1:62" ht="9.75" customHeight="1" x14ac:dyDescent="0.1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</row>
    <row r="133" spans="1:62" ht="9.75" customHeight="1" x14ac:dyDescent="0.1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</row>
    <row r="134" spans="1:62" ht="9.75" customHeight="1" x14ac:dyDescent="0.1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</row>
    <row r="135" spans="1:62" ht="9.75" customHeight="1" x14ac:dyDescent="0.1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</row>
    <row r="136" spans="1:62" ht="9.75" customHeight="1" x14ac:dyDescent="0.1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</row>
    <row r="137" spans="1:62" ht="9.75" customHeight="1" x14ac:dyDescent="0.1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</row>
    <row r="138" spans="1:62" ht="9.75" customHeight="1" x14ac:dyDescent="0.1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</row>
    <row r="139" spans="1:62" ht="9.75" customHeight="1" x14ac:dyDescent="0.1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</row>
    <row r="140" spans="1:62" ht="9.75" customHeight="1" x14ac:dyDescent="0.1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</row>
    <row r="141" spans="1:62" ht="9.75" customHeight="1" x14ac:dyDescent="0.1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</row>
    <row r="142" spans="1:62" ht="9.75" customHeight="1" x14ac:dyDescent="0.1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</row>
    <row r="143" spans="1:62" ht="9.75" customHeight="1" x14ac:dyDescent="0.1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</row>
    <row r="144" spans="1:62" ht="9.75" customHeight="1" x14ac:dyDescent="0.1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</row>
    <row r="145" spans="1:62" ht="9.75" customHeight="1" x14ac:dyDescent="0.1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</row>
    <row r="146" spans="1:62" ht="9.75" customHeight="1" x14ac:dyDescent="0.1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</row>
    <row r="147" spans="1:62" ht="9.75" customHeight="1" x14ac:dyDescent="0.1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</row>
    <row r="148" spans="1:62" ht="9.75" customHeight="1" x14ac:dyDescent="0.1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</row>
    <row r="149" spans="1:62" ht="9.75" customHeight="1" x14ac:dyDescent="0.1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</row>
    <row r="150" spans="1:62" ht="9.75" customHeight="1" x14ac:dyDescent="0.1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</row>
    <row r="151" spans="1:62" ht="9.75" customHeight="1" x14ac:dyDescent="0.1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</row>
    <row r="152" spans="1:62" ht="9.75" customHeight="1" x14ac:dyDescent="0.1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</row>
    <row r="153" spans="1:62" ht="9.75" customHeight="1" x14ac:dyDescent="0.1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</row>
    <row r="154" spans="1:62" ht="9.75" customHeight="1" x14ac:dyDescent="0.1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</row>
    <row r="155" spans="1:62" ht="9.75" customHeight="1" x14ac:dyDescent="0.1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</row>
    <row r="156" spans="1:62" ht="9.75" customHeight="1" x14ac:dyDescent="0.1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</row>
    <row r="157" spans="1:62" ht="9.75" customHeight="1" x14ac:dyDescent="0.1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</row>
    <row r="158" spans="1:62" ht="9.75" customHeight="1" x14ac:dyDescent="0.1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</row>
    <row r="159" spans="1:62" ht="9.75" customHeight="1" x14ac:dyDescent="0.1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</row>
    <row r="160" spans="1:62" ht="9.75" customHeight="1" x14ac:dyDescent="0.1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</row>
    <row r="161" spans="1:62" ht="9.75" customHeight="1" x14ac:dyDescent="0.1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</row>
    <row r="162" spans="1:62" ht="9.75" customHeight="1" x14ac:dyDescent="0.1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</row>
    <row r="163" spans="1:62" ht="9.75" customHeight="1" x14ac:dyDescent="0.1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</row>
    <row r="164" spans="1:62" ht="9.75" customHeight="1" x14ac:dyDescent="0.1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</row>
    <row r="165" spans="1:62" ht="9.75" customHeight="1" x14ac:dyDescent="0.1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</row>
    <row r="166" spans="1:62" ht="9.75" customHeight="1" x14ac:dyDescent="0.1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</row>
    <row r="167" spans="1:62" ht="9.75" customHeight="1" x14ac:dyDescent="0.1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</row>
    <row r="168" spans="1:62" ht="9.75" customHeight="1" x14ac:dyDescent="0.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</row>
    <row r="169" spans="1:62" ht="9.75" customHeight="1" x14ac:dyDescent="0.1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</row>
    <row r="170" spans="1:62" ht="9.75" customHeight="1" x14ac:dyDescent="0.1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</row>
    <row r="171" spans="1:62" ht="9.75" customHeight="1" x14ac:dyDescent="0.1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</row>
    <row r="172" spans="1:62" ht="9.75" customHeight="1" x14ac:dyDescent="0.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</row>
    <row r="173" spans="1:62" ht="9.75" customHeight="1" x14ac:dyDescent="0.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</row>
    <row r="174" spans="1:62" ht="9.75" customHeight="1" x14ac:dyDescent="0.1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</row>
    <row r="175" spans="1:62" ht="9.75" customHeight="1" x14ac:dyDescent="0.1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</row>
    <row r="176" spans="1:62" ht="9.75" customHeight="1" x14ac:dyDescent="0.1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</row>
    <row r="177" spans="1:62" ht="9.75" customHeight="1" x14ac:dyDescent="0.1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</row>
    <row r="178" spans="1:62" ht="9.75" customHeight="1" x14ac:dyDescent="0.1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</row>
    <row r="179" spans="1:62" ht="9.75" customHeight="1" x14ac:dyDescent="0.1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</row>
    <row r="180" spans="1:62" ht="9.75" customHeight="1" x14ac:dyDescent="0.1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</row>
    <row r="181" spans="1:62" ht="9.75" customHeight="1" x14ac:dyDescent="0.1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</row>
    <row r="182" spans="1:62" ht="9.75" customHeight="1" x14ac:dyDescent="0.1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</row>
    <row r="183" spans="1:62" ht="9.75" customHeight="1" x14ac:dyDescent="0.1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</row>
    <row r="184" spans="1:62" ht="9.75" customHeight="1" x14ac:dyDescent="0.1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</row>
    <row r="185" spans="1:62" ht="9.75" customHeight="1" x14ac:dyDescent="0.1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</row>
    <row r="186" spans="1:62" ht="9.75" customHeight="1" x14ac:dyDescent="0.1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</row>
    <row r="187" spans="1:62" ht="9.75" customHeight="1" x14ac:dyDescent="0.1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</row>
    <row r="188" spans="1:62" ht="9.75" customHeight="1" x14ac:dyDescent="0.1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</row>
    <row r="189" spans="1:62" ht="9.75" customHeight="1" x14ac:dyDescent="0.1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</row>
    <row r="190" spans="1:62" ht="9.75" customHeight="1" x14ac:dyDescent="0.1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</row>
    <row r="191" spans="1:62" ht="9.75" customHeight="1" x14ac:dyDescent="0.1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</row>
    <row r="192" spans="1:62" ht="9.75" customHeight="1" x14ac:dyDescent="0.1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</row>
    <row r="193" spans="1:62" ht="9.75" customHeight="1" x14ac:dyDescent="0.1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</row>
    <row r="194" spans="1:62" ht="9.75" customHeight="1" x14ac:dyDescent="0.1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</row>
    <row r="195" spans="1:62" ht="9.75" customHeight="1" x14ac:dyDescent="0.1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</row>
    <row r="196" spans="1:62" ht="9.75" customHeight="1" x14ac:dyDescent="0.1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</row>
    <row r="197" spans="1:62" ht="9.75" customHeight="1" x14ac:dyDescent="0.1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</row>
    <row r="198" spans="1:62" ht="9.75" customHeight="1" x14ac:dyDescent="0.1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</row>
    <row r="199" spans="1:62" ht="9.75" customHeight="1" x14ac:dyDescent="0.1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</row>
    <row r="200" spans="1:62" ht="9.75" customHeight="1" x14ac:dyDescent="0.1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</row>
    <row r="201" spans="1:62" ht="9.75" customHeight="1" x14ac:dyDescent="0.1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</row>
    <row r="202" spans="1:62" ht="9.75" customHeight="1" x14ac:dyDescent="0.1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</row>
    <row r="203" spans="1:62" ht="9.75" customHeight="1" x14ac:dyDescent="0.1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</row>
    <row r="204" spans="1:62" ht="9.75" customHeight="1" x14ac:dyDescent="0.1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</row>
    <row r="205" spans="1:62" ht="9.75" customHeight="1" x14ac:dyDescent="0.1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</row>
    <row r="206" spans="1:62" ht="9.75" customHeight="1" x14ac:dyDescent="0.1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</row>
    <row r="207" spans="1:62" ht="9.75" customHeight="1" x14ac:dyDescent="0.1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</row>
    <row r="208" spans="1:62" ht="9.75" customHeight="1" x14ac:dyDescent="0.1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</row>
    <row r="209" spans="1:62" ht="9.75" customHeight="1" x14ac:dyDescent="0.1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</row>
    <row r="210" spans="1:62" ht="9.75" customHeight="1" x14ac:dyDescent="0.1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</row>
    <row r="211" spans="1:62" ht="9.75" customHeight="1" x14ac:dyDescent="0.1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</row>
    <row r="212" spans="1:62" ht="9.75" customHeight="1" x14ac:dyDescent="0.1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</row>
    <row r="213" spans="1:62" ht="9.75" customHeight="1" x14ac:dyDescent="0.1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</row>
    <row r="214" spans="1:62" ht="9.75" customHeight="1" x14ac:dyDescent="0.1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</row>
    <row r="215" spans="1:62" ht="9.75" customHeight="1" x14ac:dyDescent="0.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</row>
    <row r="216" spans="1:62" ht="9.75" customHeight="1" x14ac:dyDescent="0.1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</row>
    <row r="217" spans="1:62" ht="9.75" customHeight="1" x14ac:dyDescent="0.1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</row>
    <row r="218" spans="1:62" ht="9.75" customHeight="1" x14ac:dyDescent="0.1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</row>
    <row r="219" spans="1:62" ht="9.75" customHeight="1" x14ac:dyDescent="0.1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</row>
    <row r="220" spans="1:62" ht="9.75" customHeight="1" x14ac:dyDescent="0.1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</row>
    <row r="221" spans="1:62" ht="9.75" customHeight="1" x14ac:dyDescent="0.1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</row>
    <row r="222" spans="1:62" ht="9.75" customHeight="1" x14ac:dyDescent="0.1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</row>
    <row r="223" spans="1:62" ht="9.75" customHeight="1" x14ac:dyDescent="0.1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</row>
    <row r="224" spans="1:62" ht="9.75" customHeight="1" x14ac:dyDescent="0.1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</row>
    <row r="225" spans="1:62" ht="9.75" customHeight="1" x14ac:dyDescent="0.1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</row>
    <row r="226" spans="1:62" ht="9.75" customHeight="1" x14ac:dyDescent="0.1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</row>
    <row r="227" spans="1:62" ht="9.75" customHeight="1" x14ac:dyDescent="0.1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</row>
    <row r="228" spans="1:62" ht="9.75" customHeight="1" x14ac:dyDescent="0.1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</row>
    <row r="229" spans="1:62" ht="9.75" customHeight="1" x14ac:dyDescent="0.1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</row>
    <row r="230" spans="1:62" ht="9.75" customHeight="1" x14ac:dyDescent="0.1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</row>
    <row r="231" spans="1:62" ht="9.75" customHeight="1" x14ac:dyDescent="0.1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</row>
    <row r="232" spans="1:62" ht="15.75" customHeight="1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ht="15.75" customHeight="1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ht="15.75" customHeight="1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ht="15.75" customHeight="1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</row>
    <row r="236" spans="1:62" ht="15.75" customHeight="1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ht="15.75" customHeight="1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ht="15.75" customHeight="1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ht="15.75" customHeight="1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ht="15.75" customHeight="1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mergeCells count="3">
    <mergeCell ref="AA20:AB20"/>
    <mergeCell ref="AA21:AB21"/>
    <mergeCell ref="AA22:AB22"/>
  </mergeCells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J1000"/>
  <sheetViews>
    <sheetView showGridLines="0" workbookViewId="0"/>
  </sheetViews>
  <sheetFormatPr baseColWidth="10" defaultColWidth="12.6640625" defaultRowHeight="15" customHeight="1" outlineLevelCol="1" x14ac:dyDescent="0.15"/>
  <cols>
    <col min="1" max="1" width="1.5" customWidth="1"/>
    <col min="2" max="2" width="32.6640625" customWidth="1"/>
    <col min="3" max="3" width="3.33203125" customWidth="1"/>
    <col min="4" max="11" width="9.5" hidden="1" customWidth="1" outlineLevel="1"/>
    <col min="12" max="12" width="9.5" hidden="1" customWidth="1"/>
    <col min="13" max="16" width="9.5" hidden="1" customWidth="1" outlineLevel="1"/>
    <col min="17" max="17" width="9.5" customWidth="1" collapsed="1"/>
    <col min="18" max="21" width="9.5" hidden="1" customWidth="1" outlineLevel="1"/>
    <col min="22" max="22" width="9.5" customWidth="1" collapsed="1"/>
    <col min="23" max="26" width="9.5" hidden="1" customWidth="1" outlineLevel="1"/>
    <col min="27" max="27" width="9.5" customWidth="1" collapsed="1"/>
    <col min="28" max="31" width="9.5" hidden="1" customWidth="1" outlineLevel="1"/>
    <col min="32" max="32" width="9.5" customWidth="1" collapsed="1"/>
    <col min="33" max="36" width="9.5" hidden="1" customWidth="1" outlineLevel="1"/>
    <col min="37" max="37" width="9.5" customWidth="1" collapsed="1"/>
    <col min="38" max="41" width="9.5" hidden="1" customWidth="1" outlineLevel="1"/>
    <col min="42" max="42" width="9.5" customWidth="1" collapsed="1"/>
    <col min="43" max="46" width="9.5" hidden="1" customWidth="1" outlineLevel="1"/>
    <col min="47" max="47" width="9.5" customWidth="1" collapsed="1"/>
    <col min="48" max="51" width="9.5" hidden="1" customWidth="1" outlineLevel="1"/>
    <col min="52" max="52" width="9.5" customWidth="1" collapsed="1"/>
    <col min="53" max="56" width="9.5" hidden="1" customWidth="1" outlineLevel="1"/>
    <col min="57" max="57" width="9.5" customWidth="1" collapsed="1"/>
    <col min="58" max="62" width="8" customWidth="1"/>
  </cols>
  <sheetData>
    <row r="1" spans="1:62" ht="9.75" customHeight="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</row>
    <row r="2" spans="1:62" ht="15" customHeight="1" x14ac:dyDescent="0.2">
      <c r="A2" s="10"/>
      <c r="B2" s="11"/>
      <c r="C2" s="192"/>
      <c r="D2" s="13"/>
      <c r="E2" s="14"/>
      <c r="F2" s="15"/>
      <c r="G2" s="16"/>
      <c r="H2" s="13"/>
      <c r="I2" s="14"/>
      <c r="J2" s="15"/>
      <c r="K2" s="16"/>
      <c r="L2" s="17"/>
      <c r="M2" s="13"/>
      <c r="N2" s="14"/>
      <c r="O2" s="15"/>
      <c r="P2" s="16"/>
      <c r="Q2" s="17"/>
      <c r="R2" s="13"/>
      <c r="S2" s="14"/>
      <c r="T2" s="15"/>
      <c r="U2" s="16"/>
      <c r="V2" s="17"/>
      <c r="W2" s="13"/>
      <c r="X2" s="14"/>
      <c r="Y2" s="15"/>
      <c r="Z2" s="16"/>
      <c r="AA2" s="17"/>
      <c r="AB2" s="13"/>
      <c r="AC2" s="14"/>
      <c r="AD2" s="15"/>
      <c r="AE2" s="16"/>
      <c r="AF2" s="17"/>
      <c r="AG2" s="13"/>
      <c r="AH2" s="14"/>
      <c r="AI2" s="15"/>
      <c r="AJ2" s="16"/>
      <c r="AK2" s="17"/>
      <c r="AL2" s="13"/>
      <c r="AM2" s="14"/>
      <c r="AN2" s="15"/>
      <c r="AO2" s="16"/>
      <c r="AP2" s="17"/>
      <c r="AQ2" s="13"/>
      <c r="AR2" s="14"/>
      <c r="AS2" s="15"/>
      <c r="AT2" s="16"/>
      <c r="AU2" s="17"/>
      <c r="AV2" s="13"/>
      <c r="AW2" s="14"/>
      <c r="AX2" s="15"/>
      <c r="AY2" s="16"/>
      <c r="AZ2" s="17"/>
      <c r="BA2" s="13"/>
      <c r="BB2" s="14"/>
      <c r="BC2" s="15"/>
      <c r="BD2" s="16"/>
      <c r="BE2" s="17"/>
      <c r="BF2" s="10"/>
      <c r="BG2" s="10"/>
      <c r="BH2" s="10"/>
      <c r="BI2" s="10"/>
      <c r="BJ2" s="10"/>
    </row>
    <row r="3" spans="1:62" ht="33.75" customHeight="1" x14ac:dyDescent="0.2">
      <c r="A3" s="10"/>
      <c r="B3" s="18"/>
      <c r="C3" s="193"/>
      <c r="D3" s="20"/>
      <c r="E3" s="21"/>
      <c r="F3" s="22"/>
      <c r="G3" s="23"/>
      <c r="H3" s="20"/>
      <c r="I3" s="21"/>
      <c r="J3" s="22"/>
      <c r="K3" s="23"/>
      <c r="L3" s="24"/>
      <c r="M3" s="20"/>
      <c r="N3" s="21"/>
      <c r="O3" s="22"/>
      <c r="P3" s="23"/>
      <c r="Q3" s="24"/>
      <c r="R3" s="20"/>
      <c r="S3" s="21"/>
      <c r="T3" s="22"/>
      <c r="U3" s="23"/>
      <c r="V3" s="24"/>
      <c r="W3" s="20"/>
      <c r="X3" s="21"/>
      <c r="Y3" s="22"/>
      <c r="Z3" s="23"/>
      <c r="AA3" s="24"/>
      <c r="AB3" s="20"/>
      <c r="AC3" s="21"/>
      <c r="AD3" s="22"/>
      <c r="AE3" s="23"/>
      <c r="AF3" s="24"/>
      <c r="AG3" s="20"/>
      <c r="AH3" s="21"/>
      <c r="AI3" s="22"/>
      <c r="AJ3" s="23"/>
      <c r="AK3" s="24"/>
      <c r="AL3" s="20"/>
      <c r="AM3" s="21"/>
      <c r="AN3" s="22"/>
      <c r="AO3" s="23"/>
      <c r="AP3" s="24"/>
      <c r="AQ3" s="20"/>
      <c r="AR3" s="21"/>
      <c r="AS3" s="22"/>
      <c r="AT3" s="23"/>
      <c r="AU3" s="24"/>
      <c r="AV3" s="20"/>
      <c r="AW3" s="21"/>
      <c r="AX3" s="22"/>
      <c r="AY3" s="23"/>
      <c r="AZ3" s="24"/>
      <c r="BA3" s="20"/>
      <c r="BB3" s="21"/>
      <c r="BC3" s="22"/>
      <c r="BD3" s="23"/>
      <c r="BE3" s="24"/>
      <c r="BF3" s="25"/>
      <c r="BG3" s="26"/>
      <c r="BH3" s="26"/>
      <c r="BI3" s="26"/>
      <c r="BJ3" s="26"/>
    </row>
    <row r="4" spans="1:62" ht="15" customHeight="1" x14ac:dyDescent="0.2">
      <c r="A4" s="10"/>
      <c r="B4" s="27" t="str">
        <f>'Balance Sheet'!B4</f>
        <v>American Tower</v>
      </c>
      <c r="C4" s="193"/>
      <c r="D4" s="28" t="e">
        <f t="shared" ref="D4:G4" si="0">#REF!</f>
        <v>#REF!</v>
      </c>
      <c r="E4" s="29" t="e">
        <f t="shared" si="0"/>
        <v>#REF!</v>
      </c>
      <c r="F4" s="30" t="e">
        <f t="shared" si="0"/>
        <v>#REF!</v>
      </c>
      <c r="G4" s="31" t="e">
        <f t="shared" si="0"/>
        <v>#REF!</v>
      </c>
      <c r="H4" s="28">
        <f t="shared" ref="H4:K4" si="1">$L$4</f>
        <v>2017</v>
      </c>
      <c r="I4" s="29">
        <f t="shared" si="1"/>
        <v>2017</v>
      </c>
      <c r="J4" s="30">
        <f t="shared" si="1"/>
        <v>2017</v>
      </c>
      <c r="K4" s="31">
        <f t="shared" si="1"/>
        <v>2017</v>
      </c>
      <c r="L4" s="32">
        <f>'Revenue Build'!L4</f>
        <v>2017</v>
      </c>
      <c r="M4" s="28">
        <f t="shared" ref="M4:P4" si="2">$Q$4</f>
        <v>2018</v>
      </c>
      <c r="N4" s="29">
        <f t="shared" si="2"/>
        <v>2018</v>
      </c>
      <c r="O4" s="30">
        <f t="shared" si="2"/>
        <v>2018</v>
      </c>
      <c r="P4" s="31">
        <f t="shared" si="2"/>
        <v>2018</v>
      </c>
      <c r="Q4" s="32">
        <f>L4+1</f>
        <v>2018</v>
      </c>
      <c r="R4" s="28">
        <f t="shared" ref="R4:U4" si="3">$V$4</f>
        <v>2019</v>
      </c>
      <c r="S4" s="29">
        <f t="shared" si="3"/>
        <v>2019</v>
      </c>
      <c r="T4" s="30">
        <f t="shared" si="3"/>
        <v>2019</v>
      </c>
      <c r="U4" s="31">
        <f t="shared" si="3"/>
        <v>2019</v>
      </c>
      <c r="V4" s="32">
        <f>Q4+1</f>
        <v>2019</v>
      </c>
      <c r="W4" s="28">
        <f t="shared" ref="W4:Z4" si="4">$AA$4</f>
        <v>2020</v>
      </c>
      <c r="X4" s="29">
        <f t="shared" si="4"/>
        <v>2020</v>
      </c>
      <c r="Y4" s="30">
        <f t="shared" si="4"/>
        <v>2020</v>
      </c>
      <c r="Z4" s="31">
        <f t="shared" si="4"/>
        <v>2020</v>
      </c>
      <c r="AA4" s="32">
        <f>V4+1</f>
        <v>2020</v>
      </c>
      <c r="AB4" s="28">
        <f t="shared" ref="AB4:AE4" si="5">$AF$4</f>
        <v>2021</v>
      </c>
      <c r="AC4" s="29">
        <f t="shared" si="5"/>
        <v>2021</v>
      </c>
      <c r="AD4" s="30">
        <f t="shared" si="5"/>
        <v>2021</v>
      </c>
      <c r="AE4" s="31">
        <f t="shared" si="5"/>
        <v>2021</v>
      </c>
      <c r="AF4" s="34">
        <f>AA4+1</f>
        <v>2021</v>
      </c>
      <c r="AG4" s="28">
        <f t="shared" ref="AG4:AJ4" si="6">$AK$4</f>
        <v>2022</v>
      </c>
      <c r="AH4" s="29">
        <f t="shared" si="6"/>
        <v>2022</v>
      </c>
      <c r="AI4" s="30">
        <f t="shared" si="6"/>
        <v>2022</v>
      </c>
      <c r="AJ4" s="31">
        <f t="shared" si="6"/>
        <v>2022</v>
      </c>
      <c r="AK4" s="34">
        <f>AF4+1</f>
        <v>2022</v>
      </c>
      <c r="AL4" s="28">
        <f t="shared" ref="AL4:AO4" si="7">$AP$4</f>
        <v>2023</v>
      </c>
      <c r="AM4" s="29">
        <f t="shared" si="7"/>
        <v>2023</v>
      </c>
      <c r="AN4" s="30">
        <f t="shared" si="7"/>
        <v>2023</v>
      </c>
      <c r="AO4" s="31">
        <f t="shared" si="7"/>
        <v>2023</v>
      </c>
      <c r="AP4" s="34">
        <f>$AK$4+1</f>
        <v>2023</v>
      </c>
      <c r="AQ4" s="28">
        <f t="shared" ref="AQ4:AT4" si="8">$AU$4</f>
        <v>2024</v>
      </c>
      <c r="AR4" s="29">
        <f t="shared" si="8"/>
        <v>2024</v>
      </c>
      <c r="AS4" s="30">
        <f t="shared" si="8"/>
        <v>2024</v>
      </c>
      <c r="AT4" s="31">
        <f t="shared" si="8"/>
        <v>2024</v>
      </c>
      <c r="AU4" s="34">
        <f>AP4+1</f>
        <v>2024</v>
      </c>
      <c r="AV4" s="28">
        <f t="shared" ref="AV4:AY4" si="9">$AZ$4</f>
        <v>2025</v>
      </c>
      <c r="AW4" s="29">
        <f t="shared" si="9"/>
        <v>2025</v>
      </c>
      <c r="AX4" s="30">
        <f t="shared" si="9"/>
        <v>2025</v>
      </c>
      <c r="AY4" s="31">
        <f t="shared" si="9"/>
        <v>2025</v>
      </c>
      <c r="AZ4" s="34">
        <f>AU4+1</f>
        <v>2025</v>
      </c>
      <c r="BA4" s="28">
        <f t="shared" ref="BA4:BD4" si="10">$BE$4</f>
        <v>2026</v>
      </c>
      <c r="BB4" s="29">
        <f t="shared" si="10"/>
        <v>2026</v>
      </c>
      <c r="BC4" s="30">
        <f t="shared" si="10"/>
        <v>2026</v>
      </c>
      <c r="BD4" s="31">
        <f t="shared" si="10"/>
        <v>2026</v>
      </c>
      <c r="BE4" s="34">
        <f>AZ4+1</f>
        <v>2026</v>
      </c>
      <c r="BF4" s="35"/>
      <c r="BG4" s="113"/>
      <c r="BH4" s="113"/>
      <c r="BI4" s="113"/>
      <c r="BJ4" s="113"/>
    </row>
    <row r="5" spans="1:62" ht="12.75" customHeight="1" x14ac:dyDescent="0.2">
      <c r="A5" s="10"/>
      <c r="B5" s="36" t="str">
        <f ca="1">MID(CELL("filename",A1),FIND("]",CELL("filename",A1))+1,255)&amp;" "&amp;MID('Balance Sheet'!B5,FIND("(",'Balance Sheet'!B5),1000)</f>
        <v>CapEx + D&amp;A ($USD in Millions)</v>
      </c>
      <c r="C5" s="193"/>
      <c r="D5" s="38" t="e">
        <f>EOMONTH(#REF!,3)</f>
        <v>#REF!</v>
      </c>
      <c r="E5" s="39" t="e">
        <f t="shared" ref="E5:G5" si="11">EOMONTH(D5,3)</f>
        <v>#REF!</v>
      </c>
      <c r="F5" s="39" t="e">
        <f t="shared" si="11"/>
        <v>#REF!</v>
      </c>
      <c r="G5" s="40" t="e">
        <f t="shared" si="11"/>
        <v>#REF!</v>
      </c>
      <c r="H5" s="41" t="e">
        <f>'Balance Sheet'!H5</f>
        <v>#REF!</v>
      </c>
      <c r="I5" s="41" t="e">
        <f>'Balance Sheet'!I5</f>
        <v>#REF!</v>
      </c>
      <c r="J5" s="41" t="e">
        <f>'Balance Sheet'!J5</f>
        <v>#REF!</v>
      </c>
      <c r="K5" s="41" t="e">
        <f>'Balance Sheet'!K5</f>
        <v>#REF!</v>
      </c>
      <c r="L5" s="41">
        <f>'Balance Sheet'!L5</f>
        <v>43100</v>
      </c>
      <c r="M5" s="41">
        <f>'Balance Sheet'!M5</f>
        <v>43190</v>
      </c>
      <c r="N5" s="41">
        <f>'Balance Sheet'!N5</f>
        <v>43281</v>
      </c>
      <c r="O5" s="41">
        <f>'Balance Sheet'!O5</f>
        <v>43373</v>
      </c>
      <c r="P5" s="41">
        <f>'Balance Sheet'!P5</f>
        <v>43465</v>
      </c>
      <c r="Q5" s="41">
        <f>'Balance Sheet'!Q5</f>
        <v>43465</v>
      </c>
      <c r="R5" s="41">
        <f>'Balance Sheet'!R5</f>
        <v>43555</v>
      </c>
      <c r="S5" s="41">
        <f>'Balance Sheet'!S5</f>
        <v>43646</v>
      </c>
      <c r="T5" s="41">
        <f>'Balance Sheet'!T5</f>
        <v>43738</v>
      </c>
      <c r="U5" s="41">
        <f>'Balance Sheet'!U5</f>
        <v>43830</v>
      </c>
      <c r="V5" s="41">
        <f>'Balance Sheet'!V5</f>
        <v>43830</v>
      </c>
      <c r="W5" s="41">
        <f>'Balance Sheet'!W5</f>
        <v>43921</v>
      </c>
      <c r="X5" s="41">
        <f>'Balance Sheet'!X5</f>
        <v>44012</v>
      </c>
      <c r="Y5" s="41">
        <f>'Balance Sheet'!Y5</f>
        <v>44104</v>
      </c>
      <c r="Z5" s="41">
        <f>'Balance Sheet'!Z5</f>
        <v>44196</v>
      </c>
      <c r="AA5" s="41">
        <f>'Balance Sheet'!AA5</f>
        <v>44196</v>
      </c>
      <c r="AB5" s="41">
        <f>'Balance Sheet'!AB5</f>
        <v>44286</v>
      </c>
      <c r="AC5" s="41">
        <f>'Balance Sheet'!AC5</f>
        <v>44377</v>
      </c>
      <c r="AD5" s="41">
        <f>'Balance Sheet'!AD5</f>
        <v>44469</v>
      </c>
      <c r="AE5" s="41">
        <f>'Balance Sheet'!AE5</f>
        <v>44561</v>
      </c>
      <c r="AF5" s="41">
        <f>'Balance Sheet'!AF5</f>
        <v>44561</v>
      </c>
      <c r="AG5" s="41">
        <f>'Balance Sheet'!AG5</f>
        <v>44651</v>
      </c>
      <c r="AH5" s="41">
        <f>'Balance Sheet'!AH5</f>
        <v>44742</v>
      </c>
      <c r="AI5" s="41">
        <f>'Balance Sheet'!AI5</f>
        <v>44834</v>
      </c>
      <c r="AJ5" s="41">
        <f>'Balance Sheet'!AJ5</f>
        <v>44926</v>
      </c>
      <c r="AK5" s="41">
        <f>'Balance Sheet'!AK5</f>
        <v>44926</v>
      </c>
      <c r="AL5" s="41">
        <f>'Balance Sheet'!AL5</f>
        <v>45016</v>
      </c>
      <c r="AM5" s="41">
        <f>'Balance Sheet'!AM5</f>
        <v>45107</v>
      </c>
      <c r="AN5" s="41">
        <f>'Balance Sheet'!AN5</f>
        <v>45199</v>
      </c>
      <c r="AO5" s="41">
        <f>'Balance Sheet'!AO5</f>
        <v>45291</v>
      </c>
      <c r="AP5" s="41">
        <f>'Balance Sheet'!AP5</f>
        <v>45291</v>
      </c>
      <c r="AQ5" s="41">
        <f>'Balance Sheet'!AQ5</f>
        <v>45382</v>
      </c>
      <c r="AR5" s="41">
        <f>'Balance Sheet'!AR5</f>
        <v>45473</v>
      </c>
      <c r="AS5" s="41">
        <f>'Balance Sheet'!AS5</f>
        <v>45565</v>
      </c>
      <c r="AT5" s="41">
        <f>'Balance Sheet'!AT5</f>
        <v>45657</v>
      </c>
      <c r="AU5" s="41">
        <f>'Balance Sheet'!AU5</f>
        <v>45657</v>
      </c>
      <c r="AV5" s="41">
        <f>'Balance Sheet'!AV5</f>
        <v>45747</v>
      </c>
      <c r="AW5" s="41">
        <f>'Balance Sheet'!AW5</f>
        <v>45838</v>
      </c>
      <c r="AX5" s="41">
        <f>'Balance Sheet'!AX5</f>
        <v>45930</v>
      </c>
      <c r="AY5" s="41">
        <f>'Balance Sheet'!AY5</f>
        <v>46022</v>
      </c>
      <c r="AZ5" s="41">
        <f>'Balance Sheet'!AZ5</f>
        <v>46022</v>
      </c>
      <c r="BA5" s="41">
        <f>'Balance Sheet'!BA5</f>
        <v>46112</v>
      </c>
      <c r="BB5" s="41">
        <f>'Balance Sheet'!BB5</f>
        <v>46203</v>
      </c>
      <c r="BC5" s="41">
        <f>'Balance Sheet'!BC5</f>
        <v>46295</v>
      </c>
      <c r="BD5" s="41">
        <f>'Balance Sheet'!BD5</f>
        <v>46387</v>
      </c>
      <c r="BE5" s="41">
        <f>'Balance Sheet'!BE5</f>
        <v>46387</v>
      </c>
      <c r="BF5" s="35"/>
      <c r="BG5" s="113"/>
      <c r="BH5" s="113"/>
      <c r="BI5" s="113"/>
      <c r="BJ5" s="113"/>
    </row>
    <row r="6" spans="1:62" ht="4.5" customHeight="1" x14ac:dyDescent="0.1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</row>
    <row r="7" spans="1:62" ht="9.75" customHeight="1" x14ac:dyDescent="0.15">
      <c r="A7" s="58"/>
      <c r="B7" s="68" t="s">
        <v>241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235">
        <f>-'Cash Flow Statement'!Q37</f>
        <v>913.2</v>
      </c>
      <c r="R7" s="235">
        <f>-'Cash Flow Statement'!V37</f>
        <v>991.3</v>
      </c>
      <c r="S7" s="235">
        <f>-'Cash Flow Statement'!AA37</f>
        <v>1031.7</v>
      </c>
      <c r="T7" s="235">
        <f>-'Cash Flow Statement'!AB37</f>
        <v>0</v>
      </c>
      <c r="U7" s="235">
        <f>-'Cash Flow Statement'!AC37</f>
        <v>602.70000000000005</v>
      </c>
      <c r="V7" s="235">
        <f>-'Cash Flow Statement'!V37</f>
        <v>991.3</v>
      </c>
      <c r="W7" s="235">
        <f>-'Cash Flow Statement'!AE37</f>
        <v>1283.3799999999999</v>
      </c>
      <c r="X7" s="235">
        <f>-'Cash Flow Statement'!AF37</f>
        <v>4171.1454899999999</v>
      </c>
      <c r="Y7" s="235">
        <f>-'Cash Flow Statement'!AG37</f>
        <v>1223.7503999999999</v>
      </c>
      <c r="Z7" s="235">
        <f>-'Cash Flow Statement'!AH37</f>
        <v>1432.4226950000002</v>
      </c>
      <c r="AA7" s="235">
        <f>-'Cash Flow Statement'!AA37</f>
        <v>1031.7</v>
      </c>
      <c r="AB7" s="69"/>
      <c r="AC7" s="69"/>
      <c r="AD7" s="69"/>
      <c r="AE7" s="69"/>
      <c r="AF7" s="235">
        <f t="shared" ref="AF7:BE7" si="12">AF8*AF9</f>
        <v>1112.305464</v>
      </c>
      <c r="AG7" s="235">
        <f t="shared" si="12"/>
        <v>293.70009599999997</v>
      </c>
      <c r="AH7" s="235">
        <f t="shared" si="12"/>
        <v>312.52858800000001</v>
      </c>
      <c r="AI7" s="235">
        <f t="shared" si="12"/>
        <v>334.07401200000004</v>
      </c>
      <c r="AJ7" s="235">
        <f t="shared" si="12"/>
        <v>317.10811989600001</v>
      </c>
      <c r="AK7" s="235">
        <f t="shared" si="12"/>
        <v>1257.4108158959998</v>
      </c>
      <c r="AL7" s="235">
        <f t="shared" si="12"/>
        <v>336.32472885599998</v>
      </c>
      <c r="AM7" s="235">
        <f t="shared" si="12"/>
        <v>358.90248274800001</v>
      </c>
      <c r="AN7" s="235">
        <f t="shared" si="12"/>
        <v>385.84906642799996</v>
      </c>
      <c r="AO7" s="235">
        <f t="shared" si="12"/>
        <v>361.49326078096806</v>
      </c>
      <c r="AP7" s="235">
        <f t="shared" si="12"/>
        <v>1442.5695388129679</v>
      </c>
      <c r="AQ7" s="235">
        <f t="shared" si="12"/>
        <v>336.32472885599998</v>
      </c>
      <c r="AR7" s="235">
        <f t="shared" si="12"/>
        <v>358.90248274800001</v>
      </c>
      <c r="AS7" s="235">
        <f t="shared" si="12"/>
        <v>385.84906642799996</v>
      </c>
      <c r="AT7" s="235">
        <f t="shared" si="12"/>
        <v>361.49326078096806</v>
      </c>
      <c r="AU7" s="235">
        <f t="shared" si="12"/>
        <v>1552.969783539811</v>
      </c>
      <c r="AV7" s="235">
        <f t="shared" si="12"/>
        <v>336.32472885599998</v>
      </c>
      <c r="AW7" s="235">
        <f t="shared" si="12"/>
        <v>358.90248274800001</v>
      </c>
      <c r="AX7" s="235">
        <f t="shared" si="12"/>
        <v>385.84906642799996</v>
      </c>
      <c r="AY7" s="235">
        <f t="shared" si="12"/>
        <v>361.49326078096806</v>
      </c>
      <c r="AZ7" s="235">
        <f t="shared" si="12"/>
        <v>1637.5735299235751</v>
      </c>
      <c r="BA7" s="235">
        <f t="shared" si="12"/>
        <v>336.32472885599998</v>
      </c>
      <c r="BB7" s="235">
        <f t="shared" si="12"/>
        <v>358.90248274800001</v>
      </c>
      <c r="BC7" s="235">
        <f t="shared" si="12"/>
        <v>385.84906642799996</v>
      </c>
      <c r="BD7" s="235">
        <f t="shared" si="12"/>
        <v>361.49326078096806</v>
      </c>
      <c r="BE7" s="235">
        <f t="shared" si="12"/>
        <v>1692.7379416100814</v>
      </c>
      <c r="BF7" s="58"/>
      <c r="BG7" s="58"/>
      <c r="BH7" s="58"/>
      <c r="BI7" s="58"/>
      <c r="BJ7" s="58"/>
    </row>
    <row r="8" spans="1:62" ht="9.75" customHeight="1" x14ac:dyDescent="0.15">
      <c r="A8" s="10"/>
      <c r="B8" s="10" t="s">
        <v>71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81">
        <f>'Revenue Build'!Q31</f>
        <v>7440.0999999999995</v>
      </c>
      <c r="R8" s="81">
        <f>'Revenue Build'!R31</f>
        <v>1853.6</v>
      </c>
      <c r="S8" s="81">
        <f>'Revenue Build'!S31</f>
        <v>1813.4</v>
      </c>
      <c r="T8" s="81">
        <f>'Revenue Build'!T31</f>
        <v>1952.7</v>
      </c>
      <c r="U8" s="81">
        <f>'Revenue Build'!U31</f>
        <v>1961.2999999999997</v>
      </c>
      <c r="V8" s="81">
        <f>'Revenue Build'!V31</f>
        <v>7580.2999999999993</v>
      </c>
      <c r="W8" s="49">
        <f>'Revenue Build'!W31</f>
        <v>1993.1</v>
      </c>
      <c r="X8" s="49">
        <f>'Revenue Build'!X31</f>
        <v>1912.7</v>
      </c>
      <c r="Y8" s="49">
        <f>'Revenue Build'!Y31</f>
        <v>2013.1</v>
      </c>
      <c r="Z8" s="49">
        <f>'Revenue Build'!Z31</f>
        <v>2122.4</v>
      </c>
      <c r="AA8" s="81">
        <f>'Revenue Build'!AA31</f>
        <v>8041.5</v>
      </c>
      <c r="AB8" s="81">
        <f>'Revenue Build'!AB31</f>
        <v>2158.4</v>
      </c>
      <c r="AC8" s="81">
        <f>'Revenue Build'!AC31</f>
        <v>2298.8999999999996</v>
      </c>
      <c r="AD8" s="81">
        <f>'Revenue Build'!AD31</f>
        <v>2454.1</v>
      </c>
      <c r="AE8" s="81">
        <f>'Revenue Build'!AE31</f>
        <v>2357.8122000000003</v>
      </c>
      <c r="AF8" s="81">
        <f>'Revenue Build'!AF31</f>
        <v>9269.2121999999999</v>
      </c>
      <c r="AG8" s="81">
        <f>'Revenue Build'!AG31</f>
        <v>2447.5007999999998</v>
      </c>
      <c r="AH8" s="81">
        <f>'Revenue Build'!AH31</f>
        <v>2604.4049</v>
      </c>
      <c r="AI8" s="81">
        <f>'Revenue Build'!AI31</f>
        <v>2783.9501000000005</v>
      </c>
      <c r="AJ8" s="81">
        <f>'Revenue Build'!AJ31</f>
        <v>2642.5676658000002</v>
      </c>
      <c r="AK8" s="81">
        <f>'Revenue Build'!AK31</f>
        <v>10478.423465799999</v>
      </c>
      <c r="AL8" s="81">
        <f>'Revenue Build'!AL31</f>
        <v>2802.7060738</v>
      </c>
      <c r="AM8" s="81">
        <f>'Revenue Build'!AM31</f>
        <v>2990.8540229</v>
      </c>
      <c r="AN8" s="81">
        <f>'Revenue Build'!AN31</f>
        <v>3215.4088868999997</v>
      </c>
      <c r="AO8" s="81">
        <f>'Revenue Build'!AO31</f>
        <v>3012.4438398414004</v>
      </c>
      <c r="AP8" s="81">
        <f>'Revenue Build'!AP31</f>
        <v>12021.4128234414</v>
      </c>
      <c r="AQ8" s="81">
        <f>'Revenue Build'!AQ31</f>
        <v>2802.7060738</v>
      </c>
      <c r="AR8" s="81">
        <f>'Revenue Build'!AR31</f>
        <v>2990.8540229</v>
      </c>
      <c r="AS8" s="81">
        <f>'Revenue Build'!AS31</f>
        <v>3215.4088868999997</v>
      </c>
      <c r="AT8" s="81">
        <f>'Revenue Build'!AT31</f>
        <v>3012.4438398414004</v>
      </c>
      <c r="AU8" s="81">
        <f>'Revenue Build'!AU31</f>
        <v>12941.41486283176</v>
      </c>
      <c r="AV8" s="81">
        <f>'Revenue Build'!AV31</f>
        <v>2802.7060738</v>
      </c>
      <c r="AW8" s="81">
        <f>'Revenue Build'!AW31</f>
        <v>2990.8540229</v>
      </c>
      <c r="AX8" s="81">
        <f>'Revenue Build'!AX31</f>
        <v>3215.4088868999997</v>
      </c>
      <c r="AY8" s="81">
        <f>'Revenue Build'!AY31</f>
        <v>3012.4438398414004</v>
      </c>
      <c r="AZ8" s="81">
        <f>'Revenue Build'!AZ31</f>
        <v>13646.446082696459</v>
      </c>
      <c r="BA8" s="81">
        <f>'Revenue Build'!BA31</f>
        <v>2802.7060738</v>
      </c>
      <c r="BB8" s="81">
        <f>'Revenue Build'!BB31</f>
        <v>2990.8540229</v>
      </c>
      <c r="BC8" s="81">
        <f>'Revenue Build'!BC31</f>
        <v>3215.4088868999997</v>
      </c>
      <c r="BD8" s="81">
        <f>'Revenue Build'!BD31</f>
        <v>3012.4438398414004</v>
      </c>
      <c r="BE8" s="81">
        <f>'Revenue Build'!BE31</f>
        <v>14106.149513417346</v>
      </c>
      <c r="BF8" s="10"/>
      <c r="BG8" s="10"/>
      <c r="BH8" s="10"/>
      <c r="BI8" s="10"/>
      <c r="BJ8" s="10"/>
    </row>
    <row r="9" spans="1:62" ht="9.75" customHeight="1" x14ac:dyDescent="0.15">
      <c r="A9" s="10"/>
      <c r="B9" s="10" t="s">
        <v>242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43">
        <f t="shared" ref="Q9:AA9" si="13">Q7/Q8</f>
        <v>0.12274028574884747</v>
      </c>
      <c r="R9" s="143">
        <f t="shared" si="13"/>
        <v>0.53479715148899443</v>
      </c>
      <c r="S9" s="143">
        <f t="shared" si="13"/>
        <v>0.56893128929083492</v>
      </c>
      <c r="T9" s="143">
        <f t="shared" si="13"/>
        <v>0</v>
      </c>
      <c r="U9" s="143">
        <f t="shared" si="13"/>
        <v>0.30729618110436963</v>
      </c>
      <c r="V9" s="143">
        <f t="shared" si="13"/>
        <v>0.13077318839623761</v>
      </c>
      <c r="W9" s="143">
        <f t="shared" si="13"/>
        <v>0.64391149465656516</v>
      </c>
      <c r="X9" s="143">
        <f t="shared" si="13"/>
        <v>2.1807630522298322</v>
      </c>
      <c r="Y9" s="143">
        <f t="shared" si="13"/>
        <v>0.60789349759078037</v>
      </c>
      <c r="Z9" s="143">
        <f t="shared" si="13"/>
        <v>0.67490703684508113</v>
      </c>
      <c r="AA9" s="143">
        <f t="shared" si="13"/>
        <v>0.12829695952247716</v>
      </c>
      <c r="AB9" s="10"/>
      <c r="AC9" s="10"/>
      <c r="AD9" s="10"/>
      <c r="AE9" s="10"/>
      <c r="AF9" s="224">
        <v>0.12</v>
      </c>
      <c r="AG9" s="224">
        <v>0.12</v>
      </c>
      <c r="AH9" s="224">
        <v>0.12</v>
      </c>
      <c r="AI9" s="224">
        <v>0.12</v>
      </c>
      <c r="AJ9" s="224">
        <v>0.12</v>
      </c>
      <c r="AK9" s="224">
        <v>0.12</v>
      </c>
      <c r="AL9" s="224">
        <v>0.12</v>
      </c>
      <c r="AM9" s="224">
        <v>0.12</v>
      </c>
      <c r="AN9" s="224">
        <v>0.12</v>
      </c>
      <c r="AO9" s="224">
        <v>0.12</v>
      </c>
      <c r="AP9" s="224">
        <v>0.12</v>
      </c>
      <c r="AQ9" s="224">
        <v>0.12</v>
      </c>
      <c r="AR9" s="224">
        <v>0.12</v>
      </c>
      <c r="AS9" s="224">
        <v>0.12</v>
      </c>
      <c r="AT9" s="224">
        <v>0.12</v>
      </c>
      <c r="AU9" s="224">
        <v>0.12</v>
      </c>
      <c r="AV9" s="224">
        <v>0.12</v>
      </c>
      <c r="AW9" s="224">
        <v>0.12</v>
      </c>
      <c r="AX9" s="224">
        <v>0.12</v>
      </c>
      <c r="AY9" s="224">
        <v>0.12</v>
      </c>
      <c r="AZ9" s="224">
        <v>0.12</v>
      </c>
      <c r="BA9" s="224">
        <v>0.12</v>
      </c>
      <c r="BB9" s="224">
        <v>0.12</v>
      </c>
      <c r="BC9" s="224">
        <v>0.12</v>
      </c>
      <c r="BD9" s="224">
        <v>0.12</v>
      </c>
      <c r="BE9" s="224">
        <v>0.12</v>
      </c>
      <c r="BF9" s="10"/>
      <c r="BG9" s="10"/>
      <c r="BH9" s="10"/>
      <c r="BI9" s="10"/>
      <c r="BJ9" s="10"/>
    </row>
    <row r="10" spans="1:62" ht="9.75" customHeight="1" x14ac:dyDescent="0.1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</row>
    <row r="11" spans="1:62" ht="9.75" customHeight="1" x14ac:dyDescent="0.1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</row>
    <row r="12" spans="1:62" ht="9.75" customHeight="1" x14ac:dyDescent="0.1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</row>
    <row r="13" spans="1:62" ht="9.75" customHeight="1" x14ac:dyDescent="0.1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</row>
    <row r="14" spans="1:62" ht="9.75" customHeight="1" x14ac:dyDescent="0.1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</row>
    <row r="15" spans="1:62" ht="9.75" customHeight="1" x14ac:dyDescent="0.1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</row>
    <row r="16" spans="1:62" ht="9.75" customHeight="1" x14ac:dyDescent="0.15">
      <c r="A16" s="10"/>
      <c r="B16" s="68" t="s">
        <v>243</v>
      </c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7">
        <f>'Cash Flow Statement'!Q11</f>
        <v>2110.8000000000002</v>
      </c>
      <c r="R16" s="237">
        <f>'Cash Flow Statement'!V11</f>
        <v>1778.4</v>
      </c>
      <c r="S16" s="237">
        <f>'Cash Flow Statement'!AA11</f>
        <v>1882.3</v>
      </c>
      <c r="T16" s="237">
        <f>'Cash Flow Statement'!AB11</f>
        <v>522.5</v>
      </c>
      <c r="U16" s="237">
        <f>'Cash Flow Statement'!AC11</f>
        <v>554.79999999999995</v>
      </c>
      <c r="V16" s="237">
        <f>'Cash Flow Statement'!V11</f>
        <v>1778.4</v>
      </c>
      <c r="W16" s="237">
        <f>'Cash Flow Statement'!AE11</f>
        <v>536.01092800000015</v>
      </c>
      <c r="X16" s="238">
        <f>'Cash Flow Statement'!AF11</f>
        <v>2224.6109280000001</v>
      </c>
      <c r="Y16" s="238">
        <f>'Cash Flow Statement'!AG11</f>
        <v>587.40019199999995</v>
      </c>
      <c r="Z16" s="238">
        <f>'Cash Flow Statement'!AH11</f>
        <v>625.05717600000003</v>
      </c>
      <c r="AA16" s="237">
        <f>'Cash Flow Statement'!AA11</f>
        <v>1882.3</v>
      </c>
      <c r="AB16" s="236"/>
      <c r="AC16" s="236"/>
      <c r="AD16" s="236"/>
      <c r="AE16" s="236"/>
      <c r="AF16" s="238">
        <f t="shared" ref="AF16:BE16" si="14">AF17*AF7</f>
        <v>2224.6109280000001</v>
      </c>
      <c r="AG16" s="238">
        <f t="shared" si="14"/>
        <v>587.40019199999995</v>
      </c>
      <c r="AH16" s="238">
        <f t="shared" si="14"/>
        <v>625.05717600000003</v>
      </c>
      <c r="AI16" s="238">
        <f t="shared" si="14"/>
        <v>668.14802400000008</v>
      </c>
      <c r="AJ16" s="238">
        <f t="shared" si="14"/>
        <v>634.21623979200001</v>
      </c>
      <c r="AK16" s="238">
        <f t="shared" si="14"/>
        <v>2263.3394686127999</v>
      </c>
      <c r="AL16" s="238">
        <f t="shared" si="14"/>
        <v>672.64945771199996</v>
      </c>
      <c r="AM16" s="238">
        <f t="shared" si="14"/>
        <v>717.80496549600002</v>
      </c>
      <c r="AN16" s="238">
        <f t="shared" si="14"/>
        <v>771.69813285599992</v>
      </c>
      <c r="AO16" s="238">
        <f t="shared" si="14"/>
        <v>722.98652156193612</v>
      </c>
      <c r="AP16" s="238">
        <f t="shared" si="14"/>
        <v>2308.1112621007487</v>
      </c>
      <c r="AQ16" s="238">
        <f t="shared" si="14"/>
        <v>672.64945771199996</v>
      </c>
      <c r="AR16" s="238">
        <f t="shared" si="14"/>
        <v>717.80496549600002</v>
      </c>
      <c r="AS16" s="238">
        <f t="shared" si="14"/>
        <v>771.69813285599992</v>
      </c>
      <c r="AT16" s="238">
        <f t="shared" si="14"/>
        <v>722.98652156193612</v>
      </c>
      <c r="AU16" s="238">
        <f t="shared" si="14"/>
        <v>2174.1576969557354</v>
      </c>
      <c r="AV16" s="238">
        <f t="shared" si="14"/>
        <v>672.64945771199996</v>
      </c>
      <c r="AW16" s="238">
        <f t="shared" si="14"/>
        <v>717.80496549600002</v>
      </c>
      <c r="AX16" s="238">
        <f t="shared" si="14"/>
        <v>771.69813285599992</v>
      </c>
      <c r="AY16" s="238">
        <f t="shared" si="14"/>
        <v>722.98652156193612</v>
      </c>
      <c r="AZ16" s="238">
        <f t="shared" si="14"/>
        <v>1965.08823590829</v>
      </c>
      <c r="BA16" s="238">
        <f t="shared" si="14"/>
        <v>672.64945771199996</v>
      </c>
      <c r="BB16" s="238">
        <f t="shared" si="14"/>
        <v>717.80496549600002</v>
      </c>
      <c r="BC16" s="238">
        <f t="shared" si="14"/>
        <v>771.69813285599992</v>
      </c>
      <c r="BD16" s="238">
        <f t="shared" si="14"/>
        <v>722.98652156193612</v>
      </c>
      <c r="BE16" s="238">
        <f t="shared" si="14"/>
        <v>1692.7379416100814</v>
      </c>
      <c r="BF16" s="10"/>
      <c r="BG16" s="10"/>
      <c r="BH16" s="10"/>
      <c r="BI16" s="10"/>
      <c r="BJ16" s="10"/>
    </row>
    <row r="17" spans="1:62" ht="9.75" customHeight="1" x14ac:dyDescent="0.15">
      <c r="A17" s="10"/>
      <c r="B17" s="10" t="s">
        <v>244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43">
        <f t="shared" ref="Q17:AA17" si="15">Q16/Q7</f>
        <v>2.3114323258869911</v>
      </c>
      <c r="R17" s="143">
        <f t="shared" si="15"/>
        <v>1.7940078684555636</v>
      </c>
      <c r="S17" s="143">
        <f t="shared" si="15"/>
        <v>1.8244644761073954</v>
      </c>
      <c r="T17" s="143" t="e">
        <f t="shared" si="15"/>
        <v>#DIV/0!</v>
      </c>
      <c r="U17" s="143">
        <f t="shared" si="15"/>
        <v>0.92052430728388901</v>
      </c>
      <c r="V17" s="143">
        <f t="shared" si="15"/>
        <v>1.7940078684555636</v>
      </c>
      <c r="W17" s="143">
        <f t="shared" si="15"/>
        <v>0.41765566550826738</v>
      </c>
      <c r="X17" s="143">
        <f t="shared" si="15"/>
        <v>0.53333333333333333</v>
      </c>
      <c r="Y17" s="143">
        <f t="shared" si="15"/>
        <v>0.48</v>
      </c>
      <c r="Z17" s="143">
        <f t="shared" si="15"/>
        <v>0.43636363636363634</v>
      </c>
      <c r="AA17" s="143">
        <f t="shared" si="15"/>
        <v>1.8244644761073954</v>
      </c>
      <c r="AB17" s="10"/>
      <c r="AC17" s="10"/>
      <c r="AD17" s="10"/>
      <c r="AE17" s="10"/>
      <c r="AF17" s="224">
        <v>2</v>
      </c>
      <c r="AG17" s="224">
        <v>2</v>
      </c>
      <c r="AH17" s="224">
        <v>2</v>
      </c>
      <c r="AI17" s="224">
        <v>2</v>
      </c>
      <c r="AJ17" s="224">
        <v>2</v>
      </c>
      <c r="AK17" s="224">
        <v>1.8</v>
      </c>
      <c r="AL17" s="224">
        <v>2</v>
      </c>
      <c r="AM17" s="224">
        <v>2</v>
      </c>
      <c r="AN17" s="224">
        <v>2</v>
      </c>
      <c r="AO17" s="224">
        <v>2</v>
      </c>
      <c r="AP17" s="224">
        <v>1.6</v>
      </c>
      <c r="AQ17" s="224">
        <v>2</v>
      </c>
      <c r="AR17" s="224">
        <v>2</v>
      </c>
      <c r="AS17" s="224">
        <v>2</v>
      </c>
      <c r="AT17" s="224">
        <v>2</v>
      </c>
      <c r="AU17" s="224">
        <v>1.4</v>
      </c>
      <c r="AV17" s="224">
        <v>2</v>
      </c>
      <c r="AW17" s="224">
        <v>2</v>
      </c>
      <c r="AX17" s="224">
        <v>2</v>
      </c>
      <c r="AY17" s="224">
        <v>2</v>
      </c>
      <c r="AZ17" s="224">
        <v>1.2</v>
      </c>
      <c r="BA17" s="224">
        <v>2</v>
      </c>
      <c r="BB17" s="224">
        <v>2</v>
      </c>
      <c r="BC17" s="224">
        <v>2</v>
      </c>
      <c r="BD17" s="224">
        <v>2</v>
      </c>
      <c r="BE17" s="224">
        <v>1</v>
      </c>
      <c r="BF17" s="10"/>
      <c r="BG17" s="10"/>
      <c r="BH17" s="10"/>
      <c r="BI17" s="10"/>
      <c r="BJ17" s="10"/>
    </row>
    <row r="18" spans="1:62" ht="9.75" customHeight="1" x14ac:dyDescent="0.1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</row>
    <row r="19" spans="1:62" ht="9.75" customHeight="1" x14ac:dyDescent="0.1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</row>
    <row r="20" spans="1:62" ht="9.75" customHeight="1" x14ac:dyDescent="0.1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</row>
    <row r="21" spans="1:62" ht="9.75" customHeight="1" x14ac:dyDescent="0.1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</row>
    <row r="22" spans="1:62" ht="9.75" customHeight="1" x14ac:dyDescent="0.1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</row>
    <row r="23" spans="1:62" ht="9.75" customHeight="1" x14ac:dyDescent="0.1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</row>
    <row r="24" spans="1:62" ht="9.75" customHeight="1" x14ac:dyDescent="0.1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</row>
    <row r="25" spans="1:62" ht="9.75" customHeight="1" x14ac:dyDescent="0.1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</row>
    <row r="26" spans="1:62" ht="9.75" customHeight="1" x14ac:dyDescent="0.1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</row>
    <row r="27" spans="1:62" ht="9.75" customHeight="1" x14ac:dyDescent="0.1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</row>
    <row r="28" spans="1:62" ht="9.75" customHeight="1" x14ac:dyDescent="0.1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</row>
    <row r="29" spans="1:62" ht="9.75" customHeight="1" x14ac:dyDescent="0.1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</row>
    <row r="30" spans="1:62" ht="9.75" customHeight="1" x14ac:dyDescent="0.1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</row>
    <row r="31" spans="1:62" ht="9.75" customHeight="1" x14ac:dyDescent="0.1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</row>
    <row r="32" spans="1:62" ht="9.75" customHeight="1" x14ac:dyDescent="0.1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</row>
    <row r="33" spans="1:62" ht="9.75" customHeight="1" x14ac:dyDescent="0.1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</row>
    <row r="34" spans="1:62" ht="9.75" customHeight="1" x14ac:dyDescent="0.1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</row>
    <row r="35" spans="1:62" ht="9.75" customHeight="1" x14ac:dyDescent="0.1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</row>
    <row r="36" spans="1:62" ht="9.75" customHeight="1" x14ac:dyDescent="0.1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</row>
    <row r="37" spans="1:62" ht="9.75" customHeight="1" x14ac:dyDescent="0.1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</row>
    <row r="38" spans="1:62" ht="9.75" customHeight="1" x14ac:dyDescent="0.1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</row>
    <row r="39" spans="1:62" ht="9.75" customHeight="1" x14ac:dyDescent="0.1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</row>
    <row r="40" spans="1:62" ht="9.75" customHeight="1" x14ac:dyDescent="0.1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</row>
    <row r="41" spans="1:62" ht="9.75" customHeight="1" x14ac:dyDescent="0.1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</row>
    <row r="42" spans="1:62" ht="9.75" customHeight="1" x14ac:dyDescent="0.1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</row>
    <row r="43" spans="1:62" ht="9.75" customHeight="1" x14ac:dyDescent="0.1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</row>
    <row r="44" spans="1:62" ht="9.75" customHeight="1" x14ac:dyDescent="0.1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</row>
    <row r="45" spans="1:62" ht="9.75" customHeight="1" x14ac:dyDescent="0.1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</row>
    <row r="46" spans="1:62" ht="9.75" customHeight="1" x14ac:dyDescent="0.1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</row>
    <row r="47" spans="1:62" ht="9.75" customHeight="1" x14ac:dyDescent="0.1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</row>
    <row r="48" spans="1:62" ht="9.75" customHeight="1" x14ac:dyDescent="0.1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</row>
    <row r="49" spans="1:62" ht="9.75" customHeight="1" x14ac:dyDescent="0.1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</row>
    <row r="50" spans="1:62" ht="9.75" customHeight="1" x14ac:dyDescent="0.1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</row>
    <row r="51" spans="1:62" ht="9.75" customHeight="1" x14ac:dyDescent="0.1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</row>
    <row r="52" spans="1:62" ht="9.75" customHeight="1" x14ac:dyDescent="0.1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</row>
    <row r="53" spans="1:62" ht="9.75" customHeight="1" x14ac:dyDescent="0.1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</row>
    <row r="54" spans="1:62" ht="9.75" customHeight="1" x14ac:dyDescent="0.1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</row>
    <row r="55" spans="1:62" ht="9.75" customHeight="1" x14ac:dyDescent="0.1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</row>
    <row r="56" spans="1:62" ht="9.75" customHeight="1" x14ac:dyDescent="0.1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</row>
    <row r="57" spans="1:62" ht="9.75" customHeight="1" x14ac:dyDescent="0.1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</row>
    <row r="58" spans="1:62" ht="9.75" customHeight="1" x14ac:dyDescent="0.1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</row>
    <row r="59" spans="1:62" ht="9.75" customHeight="1" x14ac:dyDescent="0.1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</row>
    <row r="60" spans="1:62" ht="9.75" customHeight="1" x14ac:dyDescent="0.1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</row>
    <row r="61" spans="1:62" ht="9.75" customHeight="1" x14ac:dyDescent="0.1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</row>
    <row r="62" spans="1:62" ht="9.75" customHeight="1" x14ac:dyDescent="0.1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</row>
    <row r="63" spans="1:62" ht="9.75" customHeight="1" x14ac:dyDescent="0.1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</row>
    <row r="64" spans="1:62" ht="9.75" customHeight="1" x14ac:dyDescent="0.1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</row>
    <row r="65" spans="1:62" ht="9.75" customHeight="1" x14ac:dyDescent="0.1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</row>
    <row r="66" spans="1:62" ht="9.75" customHeight="1" x14ac:dyDescent="0.1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</row>
    <row r="67" spans="1:62" ht="9.75" customHeight="1" x14ac:dyDescent="0.1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</row>
    <row r="68" spans="1:62" ht="9.75" customHeight="1" x14ac:dyDescent="0.1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</row>
    <row r="69" spans="1:62" ht="9.75" customHeight="1" x14ac:dyDescent="0.1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</row>
    <row r="70" spans="1:62" ht="9.75" customHeight="1" x14ac:dyDescent="0.1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</row>
    <row r="71" spans="1:62" ht="9.75" customHeight="1" x14ac:dyDescent="0.1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</row>
    <row r="72" spans="1:62" ht="9.75" customHeight="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</row>
    <row r="73" spans="1:62" ht="9.75" customHeight="1" x14ac:dyDescent="0.1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</row>
    <row r="74" spans="1:62" ht="9.75" customHeight="1" x14ac:dyDescent="0.1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</row>
    <row r="75" spans="1:62" ht="9.75" customHeight="1" x14ac:dyDescent="0.1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</row>
    <row r="76" spans="1:62" ht="9.75" customHeight="1" x14ac:dyDescent="0.1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</row>
    <row r="77" spans="1:62" ht="9.75" customHeight="1" x14ac:dyDescent="0.1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</row>
    <row r="78" spans="1:62" ht="9.75" customHeight="1" x14ac:dyDescent="0.1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</row>
    <row r="79" spans="1:62" ht="9.75" customHeight="1" x14ac:dyDescent="0.1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</row>
    <row r="80" spans="1:62" ht="9.75" customHeight="1" x14ac:dyDescent="0.1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</row>
    <row r="81" spans="1:62" ht="9.75" customHeight="1" x14ac:dyDescent="0.1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</row>
    <row r="82" spans="1:62" ht="9.75" customHeight="1" x14ac:dyDescent="0.1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</row>
    <row r="83" spans="1:62" ht="9.75" customHeight="1" x14ac:dyDescent="0.1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</row>
    <row r="84" spans="1:62" ht="9.75" customHeight="1" x14ac:dyDescent="0.1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</row>
    <row r="85" spans="1:62" ht="9.75" customHeight="1" x14ac:dyDescent="0.1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</row>
    <row r="86" spans="1:62" ht="9.75" customHeight="1" x14ac:dyDescent="0.1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</row>
    <row r="87" spans="1:62" ht="9.75" customHeight="1" x14ac:dyDescent="0.1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</row>
    <row r="88" spans="1:62" ht="9.75" customHeight="1" x14ac:dyDescent="0.1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</row>
    <row r="89" spans="1:62" ht="9.75" customHeight="1" x14ac:dyDescent="0.1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</row>
    <row r="90" spans="1:62" ht="9.75" customHeight="1" x14ac:dyDescent="0.1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</row>
    <row r="91" spans="1:62" ht="9.75" customHeight="1" x14ac:dyDescent="0.1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</row>
    <row r="92" spans="1:62" ht="9.75" customHeight="1" x14ac:dyDescent="0.1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</row>
    <row r="93" spans="1:62" ht="9.7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</row>
    <row r="94" spans="1:62" ht="9.75" customHeight="1" x14ac:dyDescent="0.1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</row>
    <row r="95" spans="1:62" ht="9.75" customHeight="1" x14ac:dyDescent="0.1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</row>
    <row r="96" spans="1:62" ht="9.75" customHeight="1" x14ac:dyDescent="0.1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</row>
    <row r="97" spans="1:62" ht="9.75" customHeight="1" x14ac:dyDescent="0.1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</row>
    <row r="98" spans="1:62" ht="9.75" customHeight="1" x14ac:dyDescent="0.1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</row>
    <row r="99" spans="1:62" ht="9.75" customHeight="1" x14ac:dyDescent="0.1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</row>
    <row r="100" spans="1:62" ht="9.75" customHeight="1" x14ac:dyDescent="0.1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</row>
    <row r="101" spans="1:62" ht="9.75" customHeight="1" x14ac:dyDescent="0.1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</row>
    <row r="102" spans="1:62" ht="9.75" customHeight="1" x14ac:dyDescent="0.1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</row>
    <row r="103" spans="1:62" ht="9.75" customHeight="1" x14ac:dyDescent="0.1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</row>
    <row r="104" spans="1:62" ht="9.75" customHeight="1" x14ac:dyDescent="0.1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</row>
    <row r="105" spans="1:62" ht="9.75" customHeight="1" x14ac:dyDescent="0.1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</row>
    <row r="106" spans="1:62" ht="9.75" customHeight="1" x14ac:dyDescent="0.1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</row>
    <row r="107" spans="1:62" ht="9.75" customHeight="1" x14ac:dyDescent="0.1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</row>
    <row r="108" spans="1:62" ht="9.75" customHeight="1" x14ac:dyDescent="0.1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</row>
    <row r="109" spans="1:62" ht="9.75" customHeight="1" x14ac:dyDescent="0.1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</row>
    <row r="110" spans="1:62" ht="9.75" customHeight="1" x14ac:dyDescent="0.1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</row>
    <row r="111" spans="1:62" ht="9.75" customHeight="1" x14ac:dyDescent="0.1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</row>
    <row r="112" spans="1:62" ht="9.75" customHeight="1" x14ac:dyDescent="0.1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</row>
    <row r="113" spans="1:62" ht="9.75" customHeight="1" x14ac:dyDescent="0.1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</row>
    <row r="114" spans="1:62" ht="9.75" customHeight="1" x14ac:dyDescent="0.1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</row>
    <row r="115" spans="1:62" ht="9.75" customHeight="1" x14ac:dyDescent="0.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</row>
    <row r="116" spans="1:62" ht="9.75" customHeight="1" x14ac:dyDescent="0.1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</row>
    <row r="117" spans="1:62" ht="9.75" customHeight="1" x14ac:dyDescent="0.1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</row>
    <row r="118" spans="1:62" ht="9.75" customHeight="1" x14ac:dyDescent="0.1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</row>
    <row r="119" spans="1:62" ht="9.75" customHeight="1" x14ac:dyDescent="0.1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</row>
    <row r="120" spans="1:62" ht="9.75" customHeight="1" x14ac:dyDescent="0.1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</row>
    <row r="121" spans="1:62" ht="9.75" customHeight="1" x14ac:dyDescent="0.1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</row>
    <row r="122" spans="1:62" ht="9.75" customHeight="1" x14ac:dyDescent="0.1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</row>
    <row r="123" spans="1:62" ht="9.75" customHeight="1" x14ac:dyDescent="0.1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</row>
    <row r="124" spans="1:62" ht="9.75" customHeight="1" x14ac:dyDescent="0.1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</row>
    <row r="125" spans="1:62" ht="9.75" customHeight="1" x14ac:dyDescent="0.1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</row>
    <row r="126" spans="1:62" ht="9.75" customHeight="1" x14ac:dyDescent="0.1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</row>
    <row r="127" spans="1:62" ht="9.75" customHeight="1" x14ac:dyDescent="0.1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</row>
    <row r="128" spans="1:62" ht="9.75" customHeight="1" x14ac:dyDescent="0.1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</row>
    <row r="129" spans="1:62" ht="9.75" customHeight="1" x14ac:dyDescent="0.1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</row>
    <row r="130" spans="1:62" ht="9.75" customHeight="1" x14ac:dyDescent="0.1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</row>
    <row r="131" spans="1:62" ht="9.75" customHeight="1" x14ac:dyDescent="0.1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</row>
    <row r="132" spans="1:62" ht="9.75" customHeight="1" x14ac:dyDescent="0.1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</row>
    <row r="133" spans="1:62" ht="9.75" customHeight="1" x14ac:dyDescent="0.1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</row>
    <row r="134" spans="1:62" ht="9.75" customHeight="1" x14ac:dyDescent="0.1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</row>
    <row r="135" spans="1:62" ht="9.75" customHeight="1" x14ac:dyDescent="0.1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</row>
    <row r="136" spans="1:62" ht="9.75" customHeight="1" x14ac:dyDescent="0.1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</row>
    <row r="137" spans="1:62" ht="9.75" customHeight="1" x14ac:dyDescent="0.1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</row>
    <row r="138" spans="1:62" ht="9.75" customHeight="1" x14ac:dyDescent="0.1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</row>
    <row r="139" spans="1:62" ht="9.75" customHeight="1" x14ac:dyDescent="0.1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</row>
    <row r="140" spans="1:62" ht="9.75" customHeight="1" x14ac:dyDescent="0.1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</row>
    <row r="141" spans="1:62" ht="9.75" customHeight="1" x14ac:dyDescent="0.1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</row>
    <row r="142" spans="1:62" ht="9.75" customHeight="1" x14ac:dyDescent="0.1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</row>
    <row r="143" spans="1:62" ht="9.75" customHeight="1" x14ac:dyDescent="0.1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</row>
    <row r="144" spans="1:62" ht="9.75" customHeight="1" x14ac:dyDescent="0.1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</row>
    <row r="145" spans="1:62" ht="9.75" customHeight="1" x14ac:dyDescent="0.1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</row>
    <row r="146" spans="1:62" ht="9.75" customHeight="1" x14ac:dyDescent="0.1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</row>
    <row r="147" spans="1:62" ht="9.75" customHeight="1" x14ac:dyDescent="0.1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</row>
    <row r="148" spans="1:62" ht="9.75" customHeight="1" x14ac:dyDescent="0.1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</row>
    <row r="149" spans="1:62" ht="9.75" customHeight="1" x14ac:dyDescent="0.1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</row>
    <row r="150" spans="1:62" ht="9.75" customHeight="1" x14ac:dyDescent="0.1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</row>
    <row r="151" spans="1:62" ht="9.75" customHeight="1" x14ac:dyDescent="0.1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</row>
    <row r="152" spans="1:62" ht="9.75" customHeight="1" x14ac:dyDescent="0.1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</row>
    <row r="153" spans="1:62" ht="9.75" customHeight="1" x14ac:dyDescent="0.1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</row>
    <row r="154" spans="1:62" ht="9.75" customHeight="1" x14ac:dyDescent="0.1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</row>
    <row r="155" spans="1:62" ht="9.75" customHeight="1" x14ac:dyDescent="0.1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</row>
    <row r="156" spans="1:62" ht="9.75" customHeight="1" x14ac:dyDescent="0.1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</row>
    <row r="157" spans="1:62" ht="9.75" customHeight="1" x14ac:dyDescent="0.1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</row>
    <row r="158" spans="1:62" ht="9.75" customHeight="1" x14ac:dyDescent="0.1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</row>
    <row r="159" spans="1:62" ht="9.75" customHeight="1" x14ac:dyDescent="0.1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</row>
    <row r="160" spans="1:62" ht="9.75" customHeight="1" x14ac:dyDescent="0.1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</row>
    <row r="161" spans="1:62" ht="9.75" customHeight="1" x14ac:dyDescent="0.1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</row>
    <row r="162" spans="1:62" ht="9.75" customHeight="1" x14ac:dyDescent="0.1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</row>
    <row r="163" spans="1:62" ht="9.75" customHeight="1" x14ac:dyDescent="0.1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</row>
    <row r="164" spans="1:62" ht="9.75" customHeight="1" x14ac:dyDescent="0.1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</row>
    <row r="165" spans="1:62" ht="9.75" customHeight="1" x14ac:dyDescent="0.1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</row>
    <row r="166" spans="1:62" ht="9.75" customHeight="1" x14ac:dyDescent="0.1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</row>
    <row r="167" spans="1:62" ht="9.75" customHeight="1" x14ac:dyDescent="0.1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</row>
    <row r="168" spans="1:62" ht="9.75" customHeight="1" x14ac:dyDescent="0.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</row>
    <row r="169" spans="1:62" ht="9.75" customHeight="1" x14ac:dyDescent="0.1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</row>
    <row r="170" spans="1:62" ht="9.75" customHeight="1" x14ac:dyDescent="0.1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</row>
    <row r="171" spans="1:62" ht="9.75" customHeight="1" x14ac:dyDescent="0.1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</row>
    <row r="172" spans="1:62" ht="9.75" customHeight="1" x14ac:dyDescent="0.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</row>
    <row r="173" spans="1:62" ht="9.75" customHeight="1" x14ac:dyDescent="0.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</row>
    <row r="174" spans="1:62" ht="9.75" customHeight="1" x14ac:dyDescent="0.1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</row>
    <row r="175" spans="1:62" ht="9.75" customHeight="1" x14ac:dyDescent="0.1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</row>
    <row r="176" spans="1:62" ht="9.75" customHeight="1" x14ac:dyDescent="0.1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</row>
    <row r="177" spans="1:62" ht="9.75" customHeight="1" x14ac:dyDescent="0.1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</row>
    <row r="178" spans="1:62" ht="9.75" customHeight="1" x14ac:dyDescent="0.1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</row>
    <row r="179" spans="1:62" ht="9.75" customHeight="1" x14ac:dyDescent="0.1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</row>
    <row r="180" spans="1:62" ht="9.75" customHeight="1" x14ac:dyDescent="0.1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</row>
    <row r="181" spans="1:62" ht="9.75" customHeight="1" x14ac:dyDescent="0.1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</row>
    <row r="182" spans="1:62" ht="9.75" customHeight="1" x14ac:dyDescent="0.1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</row>
    <row r="183" spans="1:62" ht="9.75" customHeight="1" x14ac:dyDescent="0.1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</row>
    <row r="184" spans="1:62" ht="9.75" customHeight="1" x14ac:dyDescent="0.1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</row>
    <row r="185" spans="1:62" ht="9.75" customHeight="1" x14ac:dyDescent="0.1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</row>
    <row r="186" spans="1:62" ht="9.75" customHeight="1" x14ac:dyDescent="0.1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</row>
    <row r="187" spans="1:62" ht="9.75" customHeight="1" x14ac:dyDescent="0.1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</row>
    <row r="188" spans="1:62" ht="9.75" customHeight="1" x14ac:dyDescent="0.1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</row>
    <row r="189" spans="1:62" ht="9.75" customHeight="1" x14ac:dyDescent="0.1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</row>
    <row r="190" spans="1:62" ht="9.75" customHeight="1" x14ac:dyDescent="0.1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</row>
    <row r="191" spans="1:62" ht="9.75" customHeight="1" x14ac:dyDescent="0.1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</row>
    <row r="192" spans="1:62" ht="9.75" customHeight="1" x14ac:dyDescent="0.1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</row>
    <row r="193" spans="1:62" ht="9.75" customHeight="1" x14ac:dyDescent="0.1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</row>
    <row r="194" spans="1:62" ht="9.75" customHeight="1" x14ac:dyDescent="0.1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</row>
    <row r="195" spans="1:62" ht="9.75" customHeight="1" x14ac:dyDescent="0.1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</row>
    <row r="196" spans="1:62" ht="9.75" customHeight="1" x14ac:dyDescent="0.1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</row>
    <row r="197" spans="1:62" ht="9.75" customHeight="1" x14ac:dyDescent="0.1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</row>
    <row r="198" spans="1:62" ht="9.75" customHeight="1" x14ac:dyDescent="0.1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</row>
    <row r="199" spans="1:62" ht="9.75" customHeight="1" x14ac:dyDescent="0.1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</row>
    <row r="200" spans="1:62" ht="9.75" customHeight="1" x14ac:dyDescent="0.1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</row>
    <row r="201" spans="1:62" ht="9.75" customHeight="1" x14ac:dyDescent="0.1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</row>
    <row r="202" spans="1:62" ht="9.75" customHeight="1" x14ac:dyDescent="0.1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</row>
    <row r="203" spans="1:62" ht="9.75" customHeight="1" x14ac:dyDescent="0.1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</row>
    <row r="204" spans="1:62" ht="9.75" customHeight="1" x14ac:dyDescent="0.1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</row>
    <row r="205" spans="1:62" ht="9.75" customHeight="1" x14ac:dyDescent="0.1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</row>
    <row r="206" spans="1:62" ht="9.75" customHeight="1" x14ac:dyDescent="0.1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</row>
    <row r="207" spans="1:62" ht="9.75" customHeight="1" x14ac:dyDescent="0.1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</row>
    <row r="208" spans="1:62" ht="9.75" customHeight="1" x14ac:dyDescent="0.1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</row>
    <row r="209" spans="1:62" ht="9.75" customHeight="1" x14ac:dyDescent="0.1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</row>
    <row r="210" spans="1:62" ht="9.75" customHeight="1" x14ac:dyDescent="0.1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</row>
    <row r="211" spans="1:62" ht="9.75" customHeight="1" x14ac:dyDescent="0.1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</row>
    <row r="212" spans="1:62" ht="9.75" customHeight="1" x14ac:dyDescent="0.1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</row>
    <row r="213" spans="1:62" ht="9.75" customHeight="1" x14ac:dyDescent="0.1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</row>
    <row r="214" spans="1:62" ht="9.75" customHeight="1" x14ac:dyDescent="0.1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</row>
    <row r="215" spans="1:62" ht="9.75" customHeight="1" x14ac:dyDescent="0.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</row>
    <row r="216" spans="1:62" ht="9.75" customHeight="1" x14ac:dyDescent="0.1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</row>
    <row r="217" spans="1:62" ht="9.75" customHeight="1" x14ac:dyDescent="0.1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</row>
    <row r="218" spans="1:62" ht="9.75" customHeight="1" x14ac:dyDescent="0.1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</row>
    <row r="219" spans="1:62" ht="9.75" customHeight="1" x14ac:dyDescent="0.1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</row>
    <row r="220" spans="1:62" ht="9.75" customHeight="1" x14ac:dyDescent="0.1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</row>
    <row r="221" spans="1:62" ht="15.75" customHeight="1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ht="15.75" customHeight="1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ht="15.75" customHeight="1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</row>
    <row r="224" spans="1:62" ht="15.75" customHeight="1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J1029"/>
  <sheetViews>
    <sheetView showGridLines="0" topLeftCell="A3" workbookViewId="0"/>
  </sheetViews>
  <sheetFormatPr baseColWidth="10" defaultColWidth="12.6640625" defaultRowHeight="15" customHeight="1" outlineLevelCol="1" x14ac:dyDescent="0.15"/>
  <cols>
    <col min="1" max="1" width="1.5" customWidth="1"/>
    <col min="2" max="2" width="32.6640625" customWidth="1"/>
    <col min="3" max="3" width="3.33203125" customWidth="1"/>
    <col min="4" max="11" width="9.5" hidden="1" customWidth="1" outlineLevel="1"/>
    <col min="12" max="12" width="9.5" hidden="1" customWidth="1"/>
    <col min="13" max="16" width="9.5" hidden="1" customWidth="1" outlineLevel="1"/>
    <col min="17" max="17" width="9.5" customWidth="1" collapsed="1"/>
    <col min="18" max="21" width="9.5" hidden="1" customWidth="1" outlineLevel="1"/>
    <col min="22" max="22" width="9.5" customWidth="1" collapsed="1"/>
    <col min="23" max="26" width="9.5" hidden="1" customWidth="1" outlineLevel="1"/>
    <col min="27" max="27" width="9.5" customWidth="1" collapsed="1"/>
    <col min="28" max="31" width="9.5" hidden="1" customWidth="1" outlineLevel="1"/>
    <col min="32" max="32" width="9.5" customWidth="1" collapsed="1"/>
    <col min="33" max="36" width="9.5" hidden="1" customWidth="1" outlineLevel="1"/>
    <col min="37" max="37" width="9.5" customWidth="1" collapsed="1"/>
    <col min="38" max="41" width="9.5" hidden="1" customWidth="1" outlineLevel="1"/>
    <col min="42" max="42" width="9.5" customWidth="1" collapsed="1"/>
    <col min="43" max="46" width="9.5" hidden="1" customWidth="1" outlineLevel="1"/>
    <col min="47" max="47" width="9.5" customWidth="1" collapsed="1"/>
    <col min="48" max="51" width="9.5" hidden="1" customWidth="1" outlineLevel="1"/>
    <col min="52" max="52" width="9.5" customWidth="1" collapsed="1"/>
    <col min="53" max="56" width="9.5" hidden="1" customWidth="1" outlineLevel="1"/>
    <col min="57" max="57" width="9.5" customWidth="1" collapsed="1"/>
    <col min="58" max="62" width="8" customWidth="1"/>
  </cols>
  <sheetData>
    <row r="1" spans="1:62" ht="9.75" customHeight="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</row>
    <row r="2" spans="1:62" ht="15" customHeight="1" x14ac:dyDescent="0.2">
      <c r="A2" s="10"/>
      <c r="B2" s="11"/>
      <c r="C2" s="192"/>
      <c r="D2" s="13"/>
      <c r="E2" s="14"/>
      <c r="F2" s="15"/>
      <c r="G2" s="16"/>
      <c r="H2" s="13"/>
      <c r="I2" s="14"/>
      <c r="J2" s="15"/>
      <c r="K2" s="16"/>
      <c r="L2" s="17"/>
      <c r="M2" s="13"/>
      <c r="N2" s="14"/>
      <c r="O2" s="15"/>
      <c r="P2" s="16"/>
      <c r="Q2" s="17"/>
      <c r="R2" s="13"/>
      <c r="S2" s="14"/>
      <c r="T2" s="15"/>
      <c r="U2" s="16"/>
      <c r="V2" s="17"/>
      <c r="W2" s="13"/>
      <c r="X2" s="14"/>
      <c r="Y2" s="15"/>
      <c r="Z2" s="16"/>
      <c r="AA2" s="17"/>
      <c r="AB2" s="13"/>
      <c r="AC2" s="14"/>
      <c r="AD2" s="15"/>
      <c r="AE2" s="16"/>
      <c r="AF2" s="17"/>
      <c r="AG2" s="13"/>
      <c r="AH2" s="14"/>
      <c r="AI2" s="15"/>
      <c r="AJ2" s="16"/>
      <c r="AK2" s="17"/>
      <c r="AL2" s="13"/>
      <c r="AM2" s="14"/>
      <c r="AN2" s="15"/>
      <c r="AO2" s="16"/>
      <c r="AP2" s="17"/>
      <c r="AQ2" s="13"/>
      <c r="AR2" s="14"/>
      <c r="AS2" s="15"/>
      <c r="AT2" s="16"/>
      <c r="AU2" s="17"/>
      <c r="AV2" s="13"/>
      <c r="AW2" s="14"/>
      <c r="AX2" s="15"/>
      <c r="AY2" s="16"/>
      <c r="AZ2" s="17"/>
      <c r="BA2" s="13"/>
      <c r="BB2" s="14"/>
      <c r="BC2" s="15"/>
      <c r="BD2" s="16"/>
      <c r="BE2" s="17"/>
      <c r="BF2" s="10"/>
      <c r="BG2" s="10"/>
      <c r="BH2" s="10"/>
      <c r="BI2" s="10"/>
      <c r="BJ2" s="10"/>
    </row>
    <row r="3" spans="1:62" ht="33.75" customHeight="1" x14ac:dyDescent="0.2">
      <c r="A3" s="10"/>
      <c r="B3" s="18"/>
      <c r="C3" s="193"/>
      <c r="D3" s="20"/>
      <c r="E3" s="21"/>
      <c r="F3" s="22"/>
      <c r="G3" s="23"/>
      <c r="H3" s="20"/>
      <c r="I3" s="21"/>
      <c r="J3" s="22"/>
      <c r="K3" s="23"/>
      <c r="L3" s="24"/>
      <c r="M3" s="20"/>
      <c r="N3" s="21"/>
      <c r="O3" s="22"/>
      <c r="P3" s="23"/>
      <c r="Q3" s="24"/>
      <c r="R3" s="20"/>
      <c r="S3" s="21"/>
      <c r="T3" s="22"/>
      <c r="U3" s="23"/>
      <c r="V3" s="24"/>
      <c r="W3" s="20"/>
      <c r="X3" s="21"/>
      <c r="Y3" s="22"/>
      <c r="Z3" s="23"/>
      <c r="AA3" s="24"/>
      <c r="AB3" s="20"/>
      <c r="AC3" s="21"/>
      <c r="AD3" s="22"/>
      <c r="AE3" s="23"/>
      <c r="AF3" s="24"/>
      <c r="AG3" s="20"/>
      <c r="AH3" s="21"/>
      <c r="AI3" s="22"/>
      <c r="AJ3" s="23"/>
      <c r="AK3" s="24"/>
      <c r="AL3" s="20"/>
      <c r="AM3" s="21"/>
      <c r="AN3" s="22"/>
      <c r="AO3" s="23"/>
      <c r="AP3" s="24"/>
      <c r="AQ3" s="20"/>
      <c r="AR3" s="21"/>
      <c r="AS3" s="22"/>
      <c r="AT3" s="23"/>
      <c r="AU3" s="24"/>
      <c r="AV3" s="20"/>
      <c r="AW3" s="21"/>
      <c r="AX3" s="22"/>
      <c r="AY3" s="23"/>
      <c r="AZ3" s="24"/>
      <c r="BA3" s="20"/>
      <c r="BB3" s="21"/>
      <c r="BC3" s="22"/>
      <c r="BD3" s="23"/>
      <c r="BE3" s="24"/>
      <c r="BF3" s="25"/>
      <c r="BG3" s="26"/>
      <c r="BH3" s="26"/>
      <c r="BI3" s="26"/>
      <c r="BJ3" s="26"/>
    </row>
    <row r="4" spans="1:62" ht="15" customHeight="1" x14ac:dyDescent="0.2">
      <c r="A4" s="10"/>
      <c r="B4" s="27" t="str">
        <f>'Balance Sheet'!B4</f>
        <v>American Tower</v>
      </c>
      <c r="C4" s="193"/>
      <c r="D4" s="28" t="e">
        <f t="shared" ref="D4:G4" si="0">#REF!</f>
        <v>#REF!</v>
      </c>
      <c r="E4" s="29" t="e">
        <f t="shared" si="0"/>
        <v>#REF!</v>
      </c>
      <c r="F4" s="30" t="e">
        <f t="shared" si="0"/>
        <v>#REF!</v>
      </c>
      <c r="G4" s="31" t="e">
        <f t="shared" si="0"/>
        <v>#REF!</v>
      </c>
      <c r="H4" s="28">
        <f t="shared" ref="H4:K4" si="1">$L$4</f>
        <v>2017</v>
      </c>
      <c r="I4" s="29">
        <f t="shared" si="1"/>
        <v>2017</v>
      </c>
      <c r="J4" s="30">
        <f t="shared" si="1"/>
        <v>2017</v>
      </c>
      <c r="K4" s="31">
        <f t="shared" si="1"/>
        <v>2017</v>
      </c>
      <c r="L4" s="32">
        <f>'CapEx + D&amp;A'!L4</f>
        <v>2017</v>
      </c>
      <c r="M4" s="28">
        <f t="shared" ref="M4:P4" si="2">$Q$4</f>
        <v>2018</v>
      </c>
      <c r="N4" s="29">
        <f t="shared" si="2"/>
        <v>2018</v>
      </c>
      <c r="O4" s="30">
        <f t="shared" si="2"/>
        <v>2018</v>
      </c>
      <c r="P4" s="31">
        <f t="shared" si="2"/>
        <v>2018</v>
      </c>
      <c r="Q4" s="32">
        <f>L4+1</f>
        <v>2018</v>
      </c>
      <c r="R4" s="28">
        <f t="shared" ref="R4:U4" si="3">$V$4</f>
        <v>2019</v>
      </c>
      <c r="S4" s="29">
        <f t="shared" si="3"/>
        <v>2019</v>
      </c>
      <c r="T4" s="30">
        <f t="shared" si="3"/>
        <v>2019</v>
      </c>
      <c r="U4" s="31">
        <f t="shared" si="3"/>
        <v>2019</v>
      </c>
      <c r="V4" s="32">
        <f>Q4+1</f>
        <v>2019</v>
      </c>
      <c r="W4" s="28">
        <f t="shared" ref="W4:Z4" si="4">$AA$4</f>
        <v>2020</v>
      </c>
      <c r="X4" s="29">
        <f t="shared" si="4"/>
        <v>2020</v>
      </c>
      <c r="Y4" s="30">
        <f t="shared" si="4"/>
        <v>2020</v>
      </c>
      <c r="Z4" s="31">
        <f t="shared" si="4"/>
        <v>2020</v>
      </c>
      <c r="AA4" s="32">
        <f>V4+1</f>
        <v>2020</v>
      </c>
      <c r="AB4" s="28">
        <f t="shared" ref="AB4:AE4" si="5">$AF$4</f>
        <v>2021</v>
      </c>
      <c r="AC4" s="29">
        <f t="shared" si="5"/>
        <v>2021</v>
      </c>
      <c r="AD4" s="30">
        <f t="shared" si="5"/>
        <v>2021</v>
      </c>
      <c r="AE4" s="31">
        <f t="shared" si="5"/>
        <v>2021</v>
      </c>
      <c r="AF4" s="34">
        <f>AA4+1</f>
        <v>2021</v>
      </c>
      <c r="AG4" s="28">
        <f t="shared" ref="AG4:AJ4" si="6">$AK$4</f>
        <v>2022</v>
      </c>
      <c r="AH4" s="29">
        <f t="shared" si="6"/>
        <v>2022</v>
      </c>
      <c r="AI4" s="30">
        <f t="shared" si="6"/>
        <v>2022</v>
      </c>
      <c r="AJ4" s="31">
        <f t="shared" si="6"/>
        <v>2022</v>
      </c>
      <c r="AK4" s="34">
        <f>AF4+1</f>
        <v>2022</v>
      </c>
      <c r="AL4" s="28">
        <f t="shared" ref="AL4:AO4" si="7">$AP$4</f>
        <v>2023</v>
      </c>
      <c r="AM4" s="29">
        <f t="shared" si="7"/>
        <v>2023</v>
      </c>
      <c r="AN4" s="30">
        <f t="shared" si="7"/>
        <v>2023</v>
      </c>
      <c r="AO4" s="31">
        <f t="shared" si="7"/>
        <v>2023</v>
      </c>
      <c r="AP4" s="34">
        <f>$AK$4+1</f>
        <v>2023</v>
      </c>
      <c r="AQ4" s="28">
        <f t="shared" ref="AQ4:AT4" si="8">$AU$4</f>
        <v>2024</v>
      </c>
      <c r="AR4" s="29">
        <f t="shared" si="8"/>
        <v>2024</v>
      </c>
      <c r="AS4" s="30">
        <f t="shared" si="8"/>
        <v>2024</v>
      </c>
      <c r="AT4" s="31">
        <f t="shared" si="8"/>
        <v>2024</v>
      </c>
      <c r="AU4" s="34">
        <f>AP4+1</f>
        <v>2024</v>
      </c>
      <c r="AV4" s="28">
        <f t="shared" ref="AV4:AY4" si="9">$AZ$4</f>
        <v>2025</v>
      </c>
      <c r="AW4" s="29">
        <f t="shared" si="9"/>
        <v>2025</v>
      </c>
      <c r="AX4" s="30">
        <f t="shared" si="9"/>
        <v>2025</v>
      </c>
      <c r="AY4" s="31">
        <f t="shared" si="9"/>
        <v>2025</v>
      </c>
      <c r="AZ4" s="34">
        <f>AU4+1</f>
        <v>2025</v>
      </c>
      <c r="BA4" s="28">
        <f t="shared" ref="BA4:BD4" si="10">$BE$4</f>
        <v>2026</v>
      </c>
      <c r="BB4" s="29">
        <f t="shared" si="10"/>
        <v>2026</v>
      </c>
      <c r="BC4" s="30">
        <f t="shared" si="10"/>
        <v>2026</v>
      </c>
      <c r="BD4" s="31">
        <f t="shared" si="10"/>
        <v>2026</v>
      </c>
      <c r="BE4" s="34">
        <f>AZ4+1</f>
        <v>2026</v>
      </c>
      <c r="BF4" s="35"/>
      <c r="BG4" s="113"/>
      <c r="BH4" s="113"/>
      <c r="BI4" s="113"/>
      <c r="BJ4" s="113"/>
    </row>
    <row r="5" spans="1:62" ht="12.75" customHeight="1" x14ac:dyDescent="0.2">
      <c r="A5" s="10"/>
      <c r="B5" s="36" t="str">
        <f ca="1">MID(CELL("filename",A1),FIND("]",CELL("filename",A1))+1,255)&amp;" "&amp;MID('Balance Sheet'!B5,FIND("(",'Balance Sheet'!B5),1000)</f>
        <v>Δ NWC ($USD in Millions)</v>
      </c>
      <c r="C5" s="193"/>
      <c r="D5" s="38" t="e">
        <f>EOMONTH(#REF!,3)</f>
        <v>#REF!</v>
      </c>
      <c r="E5" s="39" t="e">
        <f t="shared" ref="E5:G5" si="11">EOMONTH(D5,3)</f>
        <v>#REF!</v>
      </c>
      <c r="F5" s="39" t="e">
        <f t="shared" si="11"/>
        <v>#REF!</v>
      </c>
      <c r="G5" s="40" t="e">
        <f t="shared" si="11"/>
        <v>#REF!</v>
      </c>
      <c r="H5" s="41" t="e">
        <f>'Balance Sheet'!H5</f>
        <v>#REF!</v>
      </c>
      <c r="I5" s="41" t="e">
        <f>'Balance Sheet'!I5</f>
        <v>#REF!</v>
      </c>
      <c r="J5" s="41" t="e">
        <f>'Balance Sheet'!J5</f>
        <v>#REF!</v>
      </c>
      <c r="K5" s="41" t="e">
        <f>'Balance Sheet'!K5</f>
        <v>#REF!</v>
      </c>
      <c r="L5" s="38">
        <f>'Balance Sheet'!L5</f>
        <v>43100</v>
      </c>
      <c r="M5" s="239">
        <f>'Balance Sheet'!M5</f>
        <v>43190</v>
      </c>
      <c r="N5" s="41">
        <f>'Balance Sheet'!N5</f>
        <v>43281</v>
      </c>
      <c r="O5" s="41">
        <f>'Balance Sheet'!O5</f>
        <v>43373</v>
      </c>
      <c r="P5" s="38">
        <f>'Balance Sheet'!P5</f>
        <v>43465</v>
      </c>
      <c r="Q5" s="239">
        <f>'Balance Sheet'!Q5</f>
        <v>43465</v>
      </c>
      <c r="R5" s="40">
        <f>'Balance Sheet'!R5</f>
        <v>43555</v>
      </c>
      <c r="S5" s="41">
        <f>'Balance Sheet'!S5</f>
        <v>43646</v>
      </c>
      <c r="T5" s="41">
        <f>'Balance Sheet'!T5</f>
        <v>43738</v>
      </c>
      <c r="U5" s="38">
        <f>'Balance Sheet'!U5</f>
        <v>43830</v>
      </c>
      <c r="V5" s="239">
        <f>'Balance Sheet'!V5</f>
        <v>43830</v>
      </c>
      <c r="W5" s="40">
        <f>'Balance Sheet'!W5</f>
        <v>43921</v>
      </c>
      <c r="X5" s="41">
        <f>'Balance Sheet'!X5</f>
        <v>44012</v>
      </c>
      <c r="Y5" s="41">
        <f>'Balance Sheet'!Y5</f>
        <v>44104</v>
      </c>
      <c r="Z5" s="38">
        <f>'Balance Sheet'!Z5</f>
        <v>44196</v>
      </c>
      <c r="AA5" s="239">
        <f>'Balance Sheet'!AA5</f>
        <v>44196</v>
      </c>
      <c r="AB5" s="40">
        <f>'Balance Sheet'!AB5</f>
        <v>44286</v>
      </c>
      <c r="AC5" s="41">
        <f>'Balance Sheet'!AC5</f>
        <v>44377</v>
      </c>
      <c r="AD5" s="41">
        <f>'Balance Sheet'!AD5</f>
        <v>44469</v>
      </c>
      <c r="AE5" s="38">
        <f>'Balance Sheet'!AE5</f>
        <v>44561</v>
      </c>
      <c r="AF5" s="239">
        <f>'Balance Sheet'!AF5</f>
        <v>44561</v>
      </c>
      <c r="AG5" s="40">
        <f>'Balance Sheet'!AG5</f>
        <v>44651</v>
      </c>
      <c r="AH5" s="41">
        <f>'Balance Sheet'!AH5</f>
        <v>44742</v>
      </c>
      <c r="AI5" s="41">
        <f>'Balance Sheet'!AI5</f>
        <v>44834</v>
      </c>
      <c r="AJ5" s="38">
        <f>'Balance Sheet'!AJ5</f>
        <v>44926</v>
      </c>
      <c r="AK5" s="239">
        <f>'Balance Sheet'!AK5</f>
        <v>44926</v>
      </c>
      <c r="AL5" s="40">
        <f>'Balance Sheet'!AL5</f>
        <v>45016</v>
      </c>
      <c r="AM5" s="41">
        <f>'Balance Sheet'!AM5</f>
        <v>45107</v>
      </c>
      <c r="AN5" s="41">
        <f>'Balance Sheet'!AN5</f>
        <v>45199</v>
      </c>
      <c r="AO5" s="38">
        <f>'Balance Sheet'!AO5</f>
        <v>45291</v>
      </c>
      <c r="AP5" s="239">
        <f>'Balance Sheet'!AP5</f>
        <v>45291</v>
      </c>
      <c r="AQ5" s="40">
        <f>'Balance Sheet'!AQ5</f>
        <v>45382</v>
      </c>
      <c r="AR5" s="41">
        <f>'Balance Sheet'!AR5</f>
        <v>45473</v>
      </c>
      <c r="AS5" s="41">
        <f>'Balance Sheet'!AS5</f>
        <v>45565</v>
      </c>
      <c r="AT5" s="38">
        <f>'Balance Sheet'!AT5</f>
        <v>45657</v>
      </c>
      <c r="AU5" s="239">
        <f>'Balance Sheet'!AU5</f>
        <v>45657</v>
      </c>
      <c r="AV5" s="40">
        <f>'Balance Sheet'!AV5</f>
        <v>45747</v>
      </c>
      <c r="AW5" s="41">
        <f>'Balance Sheet'!AW5</f>
        <v>45838</v>
      </c>
      <c r="AX5" s="41">
        <f>'Balance Sheet'!AX5</f>
        <v>45930</v>
      </c>
      <c r="AY5" s="38">
        <f>'Balance Sheet'!AY5</f>
        <v>46022</v>
      </c>
      <c r="AZ5" s="239">
        <f>'Balance Sheet'!AZ5</f>
        <v>46022</v>
      </c>
      <c r="BA5" s="40">
        <f>'Balance Sheet'!BA5</f>
        <v>46112</v>
      </c>
      <c r="BB5" s="41">
        <f>'Balance Sheet'!BB5</f>
        <v>46203</v>
      </c>
      <c r="BC5" s="41">
        <f>'Balance Sheet'!BC5</f>
        <v>46295</v>
      </c>
      <c r="BD5" s="38">
        <f>'Balance Sheet'!BD5</f>
        <v>46387</v>
      </c>
      <c r="BE5" s="239">
        <f>'Balance Sheet'!BE5</f>
        <v>46387</v>
      </c>
      <c r="BF5" s="113"/>
      <c r="BG5" s="113"/>
      <c r="BH5" s="113"/>
      <c r="BI5" s="113"/>
      <c r="BJ5" s="113"/>
    </row>
    <row r="6" spans="1:62" ht="4.5" customHeight="1" x14ac:dyDescent="0.1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45"/>
      <c r="N6" s="10"/>
      <c r="O6" s="10"/>
      <c r="P6" s="10"/>
      <c r="Q6" s="47"/>
      <c r="R6" s="10"/>
      <c r="S6" s="10"/>
      <c r="T6" s="10"/>
      <c r="U6" s="10"/>
      <c r="V6" s="47"/>
      <c r="W6" s="10"/>
      <c r="X6" s="10"/>
      <c r="Y6" s="10"/>
      <c r="Z6" s="10"/>
      <c r="AA6" s="47"/>
      <c r="AB6" s="10"/>
      <c r="AC6" s="10"/>
      <c r="AD6" s="10"/>
      <c r="AE6" s="10"/>
      <c r="AF6" s="47"/>
      <c r="AG6" s="10"/>
      <c r="AH6" s="10"/>
      <c r="AI6" s="10"/>
      <c r="AJ6" s="10"/>
      <c r="AK6" s="47"/>
      <c r="AL6" s="10"/>
      <c r="AM6" s="10"/>
      <c r="AN6" s="10"/>
      <c r="AO6" s="10"/>
      <c r="AP6" s="47"/>
      <c r="AQ6" s="10"/>
      <c r="AR6" s="10"/>
      <c r="AS6" s="10"/>
      <c r="AT6" s="10"/>
      <c r="AU6" s="47"/>
      <c r="AV6" s="10"/>
      <c r="AW6" s="10"/>
      <c r="AX6" s="10"/>
      <c r="AY6" s="10"/>
      <c r="AZ6" s="47"/>
      <c r="BA6" s="10"/>
      <c r="BB6" s="10"/>
      <c r="BC6" s="10"/>
      <c r="BD6" s="10"/>
      <c r="BE6" s="47"/>
      <c r="BF6" s="10"/>
      <c r="BG6" s="10"/>
      <c r="BH6" s="10"/>
      <c r="BI6" s="10"/>
      <c r="BJ6" s="10"/>
    </row>
    <row r="7" spans="1:62" ht="14" x14ac:dyDescent="0.1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45"/>
      <c r="N7" s="10"/>
      <c r="O7" s="10"/>
      <c r="P7" s="10"/>
      <c r="Q7" s="47"/>
      <c r="R7" s="10"/>
      <c r="S7" s="10"/>
      <c r="T7" s="10"/>
      <c r="U7" s="10"/>
      <c r="V7" s="47"/>
      <c r="W7" s="10"/>
      <c r="X7" s="10"/>
      <c r="Y7" s="10"/>
      <c r="Z7" s="10"/>
      <c r="AA7" s="47"/>
      <c r="AB7" s="10"/>
      <c r="AC7" s="10"/>
      <c r="AD7" s="10"/>
      <c r="AE7" s="10"/>
      <c r="AF7" s="47"/>
      <c r="AG7" s="10"/>
      <c r="AH7" s="10"/>
      <c r="AI7" s="10"/>
      <c r="AJ7" s="10"/>
      <c r="AK7" s="47"/>
      <c r="AL7" s="10"/>
      <c r="AM7" s="10"/>
      <c r="AN7" s="10"/>
      <c r="AO7" s="10"/>
      <c r="AP7" s="47"/>
      <c r="AQ7" s="10"/>
      <c r="AR7" s="10"/>
      <c r="AS7" s="10"/>
      <c r="AT7" s="10"/>
      <c r="AU7" s="47"/>
      <c r="AV7" s="10"/>
      <c r="AW7" s="10"/>
      <c r="AX7" s="10"/>
      <c r="AY7" s="10"/>
      <c r="AZ7" s="47"/>
      <c r="BA7" s="10"/>
      <c r="BB7" s="10"/>
      <c r="BC7" s="10"/>
      <c r="BD7" s="10"/>
      <c r="BE7" s="47"/>
      <c r="BF7" s="10"/>
      <c r="BG7" s="10"/>
      <c r="BH7" s="10"/>
      <c r="BI7" s="10"/>
      <c r="BJ7" s="10"/>
    </row>
    <row r="8" spans="1:62" ht="14" x14ac:dyDescent="0.15">
      <c r="A8" s="10"/>
      <c r="B8" s="10" t="s">
        <v>245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61">
        <f>'Balance Sheet'!M13</f>
        <v>557.9</v>
      </c>
      <c r="N8" s="60">
        <f>'Balance Sheet'!N13</f>
        <v>506.9</v>
      </c>
      <c r="O8" s="60">
        <f>'Balance Sheet'!O13</f>
        <v>511.1</v>
      </c>
      <c r="P8" s="60">
        <f>Q8</f>
        <v>459.4</v>
      </c>
      <c r="Q8" s="63">
        <f>'Balance Sheet'!Q13</f>
        <v>459.4</v>
      </c>
      <c r="R8" s="60">
        <f>'Balance Sheet'!R13</f>
        <v>473</v>
      </c>
      <c r="S8" s="60">
        <f>'Balance Sheet'!S13</f>
        <v>459.5</v>
      </c>
      <c r="T8" s="60">
        <f>'Balance Sheet'!T13</f>
        <v>441.7</v>
      </c>
      <c r="U8" s="60">
        <f>V8</f>
        <v>462.2</v>
      </c>
      <c r="V8" s="63">
        <f>'Balance Sheet'!V13</f>
        <v>462.2</v>
      </c>
      <c r="W8" s="60">
        <f>'Balance Sheet'!W13</f>
        <v>623.9</v>
      </c>
      <c r="X8" s="60">
        <f>'Balance Sheet'!X13</f>
        <v>585.20000000000005</v>
      </c>
      <c r="Y8" s="60">
        <f>'Balance Sheet'!Y13</f>
        <v>573.6</v>
      </c>
      <c r="Z8" s="60">
        <f>AA8</f>
        <v>511.6</v>
      </c>
      <c r="AA8" s="63">
        <f>'Balance Sheet'!AA13</f>
        <v>511.6</v>
      </c>
      <c r="AB8" s="60">
        <f>'Balance Sheet'!AB13</f>
        <v>537.70000000000005</v>
      </c>
      <c r="AC8" s="60">
        <f>'Balance Sheet'!AC13</f>
        <v>739.6</v>
      </c>
      <c r="AD8" s="60">
        <f>'Balance Sheet'!AD13</f>
        <v>750.6</v>
      </c>
      <c r="AE8" s="240">
        <f>(AE9*AE10)/ (365/4)</f>
        <v>620.1369073972603</v>
      </c>
      <c r="AF8" s="241">
        <f>AE8</f>
        <v>620.1369073972603</v>
      </c>
      <c r="AG8" s="240">
        <f t="shared" ref="AG8:AJ8" si="12">(AG9*AG10)/ (365/4)</f>
        <v>670.54816438356158</v>
      </c>
      <c r="AH8" s="240">
        <f t="shared" si="12"/>
        <v>713.53558904109582</v>
      </c>
      <c r="AI8" s="240">
        <f t="shared" si="12"/>
        <v>762.72605479452068</v>
      </c>
      <c r="AJ8" s="242">
        <f t="shared" si="12"/>
        <v>723.99114131506849</v>
      </c>
      <c r="AK8" s="242">
        <f>AJ8</f>
        <v>723.99114131506849</v>
      </c>
      <c r="AL8" s="240">
        <f t="shared" ref="AL8:AO8" si="13">(AL9*AL10)/ (365/4)</f>
        <v>798.57926486356166</v>
      </c>
      <c r="AM8" s="240">
        <f t="shared" si="13"/>
        <v>852.18854351123298</v>
      </c>
      <c r="AN8" s="240">
        <f t="shared" si="13"/>
        <v>916.1712992810958</v>
      </c>
      <c r="AO8" s="242">
        <f t="shared" si="13"/>
        <v>858.34016258494694</v>
      </c>
      <c r="AP8" s="242">
        <f>AO8</f>
        <v>858.34016258494694</v>
      </c>
      <c r="AQ8" s="58"/>
      <c r="AR8" s="58"/>
      <c r="AS8" s="58"/>
      <c r="AT8" s="243"/>
      <c r="AU8" s="242">
        <f t="shared" ref="AU8:BE8" si="14">(AU9*AU10)/365</f>
        <v>921.85420940719382</v>
      </c>
      <c r="AV8" s="242">
        <f t="shared" si="14"/>
        <v>0</v>
      </c>
      <c r="AW8" s="242">
        <f t="shared" si="14"/>
        <v>0</v>
      </c>
      <c r="AX8" s="242">
        <f t="shared" si="14"/>
        <v>0</v>
      </c>
      <c r="AY8" s="242">
        <f t="shared" si="14"/>
        <v>0</v>
      </c>
      <c r="AZ8" s="242">
        <f t="shared" si="14"/>
        <v>822.52551731321125</v>
      </c>
      <c r="BA8" s="242">
        <f t="shared" si="14"/>
        <v>0</v>
      </c>
      <c r="BB8" s="242">
        <f t="shared" si="14"/>
        <v>0</v>
      </c>
      <c r="BC8" s="242">
        <f t="shared" si="14"/>
        <v>0</v>
      </c>
      <c r="BD8" s="242">
        <f t="shared" si="14"/>
        <v>0</v>
      </c>
      <c r="BE8" s="242">
        <f t="shared" si="14"/>
        <v>772.93969936533404</v>
      </c>
      <c r="BF8" s="10"/>
      <c r="BG8" s="10"/>
      <c r="BH8" s="10"/>
      <c r="BI8" s="10"/>
      <c r="BJ8" s="10"/>
    </row>
    <row r="9" spans="1:62" ht="14" x14ac:dyDescent="0.15">
      <c r="A9" s="10"/>
      <c r="B9" s="10" t="s">
        <v>71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66">
        <f>'Income Statement'!M10</f>
        <v>1741.8000000000002</v>
      </c>
      <c r="N9" s="97">
        <f>'Income Statement'!N10</f>
        <v>1780.9</v>
      </c>
      <c r="O9" s="97">
        <f>'Income Statement'!O10</f>
        <v>1785.5</v>
      </c>
      <c r="P9" s="244">
        <f>'Income Statement'!P10</f>
        <v>2131.9</v>
      </c>
      <c r="Q9" s="97">
        <f>'Income Statement'!Q10</f>
        <v>7440.0999999999995</v>
      </c>
      <c r="R9" s="166">
        <f>'Income Statement'!R10</f>
        <v>1813.4</v>
      </c>
      <c r="S9" s="97">
        <f>'Income Statement'!S10</f>
        <v>1888.7</v>
      </c>
      <c r="T9" s="97">
        <f>'Income Statement'!T10</f>
        <v>1953.6</v>
      </c>
      <c r="U9" s="244">
        <f>'Income Statement'!U10</f>
        <v>1924.5999999999992</v>
      </c>
      <c r="V9" s="97">
        <f>'Income Statement'!V10</f>
        <v>7580.2999999999993</v>
      </c>
      <c r="W9" s="166">
        <f>'Income Statement'!W10</f>
        <v>1992.9</v>
      </c>
      <c r="X9" s="97">
        <f>'Income Statement'!X10</f>
        <v>1913</v>
      </c>
      <c r="Y9" s="97">
        <f>'Income Statement'!Y10</f>
        <v>2012.8999999999999</v>
      </c>
      <c r="Z9" s="244">
        <f>'Income Statement'!Z10</f>
        <v>2122.7000000000012</v>
      </c>
      <c r="AA9" s="97">
        <f>'Income Statement'!AA10</f>
        <v>8041.5</v>
      </c>
      <c r="AB9" s="166">
        <f>'Income Statement'!AB10</f>
        <v>2159.5</v>
      </c>
      <c r="AC9" s="97">
        <f>'Income Statement'!AC10</f>
        <v>2298.9</v>
      </c>
      <c r="AD9" s="97">
        <f>'Income Statement'!AD10</f>
        <v>2454.3000000000002</v>
      </c>
      <c r="AE9" s="97">
        <f>'Income Statement'!AE10</f>
        <v>2357.8122000000003</v>
      </c>
      <c r="AF9" s="245">
        <f>'Income Statement'!AF10</f>
        <v>9269.2121999999999</v>
      </c>
      <c r="AG9" s="97">
        <f>'Income Statement'!AG10</f>
        <v>2447.5007999999998</v>
      </c>
      <c r="AH9" s="97">
        <f>'Income Statement'!AH10</f>
        <v>2604.4049</v>
      </c>
      <c r="AI9" s="97">
        <f>'Income Statement'!AI10</f>
        <v>2783.9501000000005</v>
      </c>
      <c r="AJ9" s="97">
        <f>'Income Statement'!AJ10</f>
        <v>2642.5676658000002</v>
      </c>
      <c r="AK9" s="245">
        <f>'Income Statement'!AK10</f>
        <v>10478.423465799999</v>
      </c>
      <c r="AL9" s="97">
        <f>'Income Statement'!AL10</f>
        <v>2802.7060738</v>
      </c>
      <c r="AM9" s="97">
        <f>'Income Statement'!AM10</f>
        <v>2990.8540229</v>
      </c>
      <c r="AN9" s="97">
        <f>'Income Statement'!AN10</f>
        <v>3215.4088868999997</v>
      </c>
      <c r="AO9" s="97">
        <f>'Income Statement'!AO10</f>
        <v>3012.4438398414004</v>
      </c>
      <c r="AP9" s="245">
        <f>'Income Statement'!AP10</f>
        <v>12021.4128234414</v>
      </c>
      <c r="AQ9" s="55">
        <f>'Income Statement'!AQ10</f>
        <v>12941.41486283176</v>
      </c>
      <c r="AR9" s="55">
        <f>'Income Statement'!AR10</f>
        <v>13646.446082696459</v>
      </c>
      <c r="AS9" s="55">
        <f>'Income Statement'!AS10</f>
        <v>14106.149513417346</v>
      </c>
      <c r="AT9" s="55">
        <f>'Income Statement'!AT10</f>
        <v>0</v>
      </c>
      <c r="AU9" s="245">
        <f>'Income Statement'!AQ10</f>
        <v>12941.41486283176</v>
      </c>
      <c r="AV9" s="245">
        <f>'Income Statement'!AV10</f>
        <v>0</v>
      </c>
      <c r="AW9" s="245">
        <f>'Income Statement'!AW10</f>
        <v>0</v>
      </c>
      <c r="AX9" s="245">
        <f>'Income Statement'!AX10</f>
        <v>0</v>
      </c>
      <c r="AY9" s="245">
        <f>'Income Statement'!AY10</f>
        <v>0</v>
      </c>
      <c r="AZ9" s="245">
        <f>'Income Statement'!AR10</f>
        <v>13646.446082696459</v>
      </c>
      <c r="BA9" s="245">
        <f>'Income Statement'!BA10</f>
        <v>0</v>
      </c>
      <c r="BB9" s="245">
        <f>'Income Statement'!BB10</f>
        <v>0</v>
      </c>
      <c r="BC9" s="245">
        <f>'Income Statement'!BC10</f>
        <v>0</v>
      </c>
      <c r="BD9" s="245">
        <f>'Income Statement'!BD10</f>
        <v>0</v>
      </c>
      <c r="BE9" s="245">
        <f>'Income Statement'!AS10</f>
        <v>14106.149513417346</v>
      </c>
      <c r="BF9" s="10"/>
      <c r="BG9" s="10"/>
      <c r="BH9" s="10"/>
      <c r="BI9" s="10"/>
      <c r="BJ9" s="10"/>
    </row>
    <row r="10" spans="1:62" ht="14" x14ac:dyDescent="0.15">
      <c r="A10" s="10"/>
      <c r="B10" s="246" t="s">
        <v>246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30">
        <f t="shared" ref="M10:P10" si="15">(M8/M9)*(365/4)</f>
        <v>29.227451486967503</v>
      </c>
      <c r="N10" s="131">
        <f t="shared" si="15"/>
        <v>25.972612162389801</v>
      </c>
      <c r="O10" s="131">
        <f t="shared" si="15"/>
        <v>26.120344441332961</v>
      </c>
      <c r="P10" s="247">
        <f t="shared" si="15"/>
        <v>19.663328486326748</v>
      </c>
      <c r="Q10" s="247">
        <f>(Q8/Q9)*365</f>
        <v>22.537465894275613</v>
      </c>
      <c r="R10" s="130">
        <f t="shared" ref="R10:U10" si="16">(R8/R9)*(365/4)</f>
        <v>23.80128487923238</v>
      </c>
      <c r="S10" s="131">
        <f t="shared" si="16"/>
        <v>22.200124424207125</v>
      </c>
      <c r="T10" s="131">
        <f t="shared" si="16"/>
        <v>20.631206490581491</v>
      </c>
      <c r="U10" s="247">
        <f t="shared" si="16"/>
        <v>21.914034085004683</v>
      </c>
      <c r="V10" s="247">
        <f>(V8/V9)*365</f>
        <v>22.255451631201932</v>
      </c>
      <c r="W10" s="130">
        <f t="shared" ref="W10:Z10" si="17">(W8/W9)*(365/4)</f>
        <v>28.566849816849818</v>
      </c>
      <c r="X10" s="131">
        <f t="shared" si="17"/>
        <v>27.914009409304757</v>
      </c>
      <c r="Y10" s="131">
        <f t="shared" si="17"/>
        <v>26.002782055740475</v>
      </c>
      <c r="Z10" s="247">
        <f t="shared" si="17"/>
        <v>21.992509539737117</v>
      </c>
      <c r="AA10" s="247">
        <f>(AA8/AA9)*365</f>
        <v>23.221289560405399</v>
      </c>
      <c r="AB10" s="130">
        <f t="shared" ref="AB10:AD10" si="18">(AB8/AB9)*(365/4)</f>
        <v>22.720595045149341</v>
      </c>
      <c r="AC10" s="131">
        <f t="shared" si="18"/>
        <v>29.356866327373961</v>
      </c>
      <c r="AD10" s="131">
        <f t="shared" si="18"/>
        <v>27.907040704070404</v>
      </c>
      <c r="AE10" s="134">
        <v>24</v>
      </c>
      <c r="AF10" s="132">
        <f>(AF8/AF9)*365</f>
        <v>24.419547887791371</v>
      </c>
      <c r="AG10" s="134">
        <v>25</v>
      </c>
      <c r="AH10" s="134">
        <v>25</v>
      </c>
      <c r="AI10" s="134">
        <v>25</v>
      </c>
      <c r="AJ10" s="134">
        <v>25</v>
      </c>
      <c r="AK10" s="132">
        <f>(AK8/AK9)*365</f>
        <v>25.219134103760396</v>
      </c>
      <c r="AL10" s="134">
        <v>26</v>
      </c>
      <c r="AM10" s="134">
        <v>26</v>
      </c>
      <c r="AN10" s="134">
        <v>26</v>
      </c>
      <c r="AO10" s="248">
        <v>26</v>
      </c>
      <c r="AP10" s="247">
        <f>(AP8/AP9)*365</f>
        <v>26.061342701133373</v>
      </c>
      <c r="AQ10" s="249"/>
      <c r="AR10" s="134"/>
      <c r="AS10" s="134"/>
      <c r="AT10" s="248"/>
      <c r="AU10" s="248">
        <v>26</v>
      </c>
      <c r="AV10" s="248"/>
      <c r="AW10" s="248"/>
      <c r="AX10" s="248"/>
      <c r="AY10" s="248"/>
      <c r="AZ10" s="250">
        <v>22</v>
      </c>
      <c r="BA10" s="248"/>
      <c r="BB10" s="248"/>
      <c r="BC10" s="248"/>
      <c r="BD10" s="248"/>
      <c r="BE10" s="250">
        <v>20</v>
      </c>
      <c r="BF10" s="10"/>
      <c r="BG10" s="10"/>
      <c r="BH10" s="10"/>
      <c r="BI10" s="10"/>
      <c r="BJ10" s="10"/>
    </row>
    <row r="11" spans="1:62" ht="14" x14ac:dyDescent="0.1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45"/>
      <c r="N11" s="10"/>
      <c r="O11" s="10"/>
      <c r="P11" s="10"/>
      <c r="Q11" s="47"/>
      <c r="R11" s="10"/>
      <c r="S11" s="10"/>
      <c r="T11" s="10"/>
      <c r="U11" s="10"/>
      <c r="V11" s="47"/>
      <c r="W11" s="10"/>
      <c r="X11" s="10"/>
      <c r="Y11" s="10"/>
      <c r="Z11" s="10"/>
      <c r="AA11" s="47"/>
      <c r="AB11" s="10"/>
      <c r="AC11" s="10"/>
      <c r="AD11" s="10"/>
      <c r="AE11" s="10"/>
      <c r="AF11" s="47"/>
      <c r="AG11" s="10"/>
      <c r="AH11" s="10"/>
      <c r="AI11" s="10"/>
      <c r="AJ11" s="10"/>
      <c r="AK11" s="47"/>
      <c r="AL11" s="10"/>
      <c r="AM11" s="10"/>
      <c r="AN11" s="10"/>
      <c r="AO11" s="10"/>
      <c r="AP11" s="47"/>
      <c r="AQ11" s="10"/>
      <c r="AR11" s="10"/>
      <c r="AS11" s="10"/>
      <c r="AT11" s="10"/>
      <c r="AU11" s="47"/>
      <c r="AV11" s="10"/>
      <c r="AW11" s="10"/>
      <c r="AX11" s="10"/>
      <c r="AY11" s="10"/>
      <c r="AZ11" s="47"/>
      <c r="BA11" s="10"/>
      <c r="BB11" s="10"/>
      <c r="BC11" s="10"/>
      <c r="BD11" s="10"/>
      <c r="BE11" s="47"/>
      <c r="BF11" s="10"/>
      <c r="BG11" s="10"/>
      <c r="BH11" s="10"/>
      <c r="BI11" s="10"/>
      <c r="BJ11" s="10"/>
    </row>
    <row r="12" spans="1:62" ht="14" x14ac:dyDescent="0.15">
      <c r="A12" s="10"/>
      <c r="B12" s="10" t="s">
        <v>247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61">
        <f>'Balance Sheet'!M14</f>
        <v>571.20000000000005</v>
      </c>
      <c r="N12" s="60">
        <f>'Balance Sheet'!N14</f>
        <v>569.29999999999995</v>
      </c>
      <c r="O12" s="60">
        <f>'Balance Sheet'!O14</f>
        <v>564.4</v>
      </c>
      <c r="P12" s="62">
        <f>Q12</f>
        <v>621.20000000000005</v>
      </c>
      <c r="Q12" s="60">
        <f>'Balance Sheet'!Q14</f>
        <v>621.20000000000005</v>
      </c>
      <c r="R12" s="61">
        <f>'Balance Sheet'!R14</f>
        <v>471.2</v>
      </c>
      <c r="S12" s="60">
        <f>'Balance Sheet'!S14</f>
        <v>486.9</v>
      </c>
      <c r="T12" s="60">
        <f>'Balance Sheet'!T14</f>
        <v>472</v>
      </c>
      <c r="U12" s="62">
        <f>V12</f>
        <v>513.6</v>
      </c>
      <c r="V12" s="60">
        <f>'Balance Sheet'!V14</f>
        <v>513.6</v>
      </c>
      <c r="W12" s="61">
        <f>'Balance Sheet'!W14</f>
        <v>480.7</v>
      </c>
      <c r="X12" s="60">
        <f>'Balance Sheet'!X14</f>
        <v>535.29999999999995</v>
      </c>
      <c r="Y12" s="60">
        <f>'Balance Sheet'!Y14</f>
        <v>548.70000000000005</v>
      </c>
      <c r="Z12" s="62">
        <f>AA12</f>
        <v>532.6</v>
      </c>
      <c r="AA12" s="60">
        <f>'Balance Sheet'!AA14</f>
        <v>532.6</v>
      </c>
      <c r="AB12" s="61">
        <f>'Balance Sheet'!AB14</f>
        <v>490.6</v>
      </c>
      <c r="AC12" s="60">
        <f>'Balance Sheet'!AC14</f>
        <v>615.6</v>
      </c>
      <c r="AD12" s="60">
        <f>'Balance Sheet'!AD14</f>
        <v>592</v>
      </c>
      <c r="AE12" s="240">
        <f>(AE13*AE14)*4</f>
        <v>580.96492608000005</v>
      </c>
      <c r="AF12" s="241">
        <f>AE12</f>
        <v>580.96492608000005</v>
      </c>
      <c r="AG12" s="240">
        <f t="shared" ref="AG12:AJ12" si="19">(AG13*AG14)*4</f>
        <v>593.17264445406795</v>
      </c>
      <c r="AH12" s="240">
        <f t="shared" si="19"/>
        <v>671.84315923346628</v>
      </c>
      <c r="AI12" s="240">
        <f t="shared" si="19"/>
        <v>669.54559122454805</v>
      </c>
      <c r="AJ12" s="240">
        <f t="shared" si="19"/>
        <v>665.92705178159997</v>
      </c>
      <c r="AK12" s="241">
        <f>AJ12</f>
        <v>665.92705178159997</v>
      </c>
      <c r="AL12" s="240">
        <f t="shared" ref="AL12:AO12" si="20">(AL13*AL14)*4</f>
        <v>677.29142423476799</v>
      </c>
      <c r="AM12" s="240">
        <f t="shared" si="20"/>
        <v>768.76604249751426</v>
      </c>
      <c r="AN12" s="240">
        <f t="shared" si="20"/>
        <v>771.13950616499289</v>
      </c>
      <c r="AO12" s="240">
        <f t="shared" si="20"/>
        <v>756.60539481456613</v>
      </c>
      <c r="AP12" s="241">
        <f>AO12</f>
        <v>756.60539481456613</v>
      </c>
      <c r="AQ12" s="64"/>
      <c r="AR12" s="58"/>
      <c r="AS12" s="58"/>
      <c r="AT12" s="58"/>
      <c r="AU12" s="242">
        <f>AU13*AU14</f>
        <v>880.01621067255985</v>
      </c>
      <c r="AV12" s="242"/>
      <c r="AW12" s="242"/>
      <c r="AX12" s="242"/>
      <c r="AY12" s="242"/>
      <c r="AZ12" s="242">
        <f>AZ13*AZ14</f>
        <v>859.7261032098769</v>
      </c>
      <c r="BA12" s="242"/>
      <c r="BB12" s="242"/>
      <c r="BC12" s="242"/>
      <c r="BD12" s="242"/>
      <c r="BE12" s="242">
        <f>BE13*BE14</f>
        <v>846.36897080504082</v>
      </c>
      <c r="BF12" s="10"/>
      <c r="BG12" s="10"/>
      <c r="BH12" s="10"/>
      <c r="BI12" s="10"/>
      <c r="BJ12" s="10"/>
    </row>
    <row r="13" spans="1:62" ht="14" x14ac:dyDescent="0.15">
      <c r="A13" s="10"/>
      <c r="B13" s="10" t="s">
        <v>139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30">
        <f>'Income Statement'!M17</f>
        <v>204.9</v>
      </c>
      <c r="N13" s="131">
        <f>'Income Statement'!N17</f>
        <v>157.9</v>
      </c>
      <c r="O13" s="131">
        <f>'Income Statement'!O17</f>
        <v>177.9</v>
      </c>
      <c r="P13" s="247">
        <f>'Income Statement'!P17</f>
        <v>192.5</v>
      </c>
      <c r="Q13" s="131">
        <f>'Income Statement'!Q17</f>
        <v>733.2</v>
      </c>
      <c r="R13" s="130">
        <f>'Income Statement'!R17</f>
        <v>198.1</v>
      </c>
      <c r="S13" s="131">
        <f>'Income Statement'!S17</f>
        <v>164.8</v>
      </c>
      <c r="T13" s="131">
        <f>'Income Statement'!T17</f>
        <v>187.9</v>
      </c>
      <c r="U13" s="247">
        <f>'Income Statement'!U17</f>
        <v>179.60000000000002</v>
      </c>
      <c r="V13" s="131">
        <f>'Income Statement'!V17</f>
        <v>730.4</v>
      </c>
      <c r="W13" s="130">
        <f>'Income Statement'!W17</f>
        <v>217.8</v>
      </c>
      <c r="X13" s="131">
        <f>'Income Statement'!X17</f>
        <v>188.6</v>
      </c>
      <c r="Y13" s="131">
        <f>'Income Statement'!Y17</f>
        <v>176</v>
      </c>
      <c r="Z13" s="247">
        <f>'Income Statement'!Z17</f>
        <v>196.30000000000007</v>
      </c>
      <c r="AA13" s="131">
        <f>'Income Statement'!AA17</f>
        <v>778.7</v>
      </c>
      <c r="AB13" s="130">
        <f>'Income Statement'!AB17</f>
        <v>182.6</v>
      </c>
      <c r="AC13" s="131">
        <f>'Income Statement'!AC17</f>
        <v>207.2</v>
      </c>
      <c r="AD13" s="131">
        <f>'Income Statement'!AD17</f>
        <v>205.9</v>
      </c>
      <c r="AE13" s="131">
        <f>'Income Statement'!AE17</f>
        <v>207.48747360000002</v>
      </c>
      <c r="AF13" s="132">
        <f>'Income Statement'!AF17</f>
        <v>803.18747359999998</v>
      </c>
      <c r="AG13" s="131">
        <f>'Income Statement'!AG17</f>
        <v>211.84737301931</v>
      </c>
      <c r="AH13" s="131">
        <f>'Income Statement'!AH17</f>
        <v>239.9439854405237</v>
      </c>
      <c r="AI13" s="131">
        <f>'Income Statement'!AI17</f>
        <v>239.1234254373386</v>
      </c>
      <c r="AJ13" s="131">
        <f>'Income Statement'!AJ17</f>
        <v>237.83108992200002</v>
      </c>
      <c r="AK13" s="245">
        <f>'Income Statement'!AK17</f>
        <v>928.7458738191724</v>
      </c>
      <c r="AL13" s="131">
        <f>'Income Statement'!AL17</f>
        <v>245.39544356332175</v>
      </c>
      <c r="AM13" s="131">
        <f>'Income Statement'!AM17</f>
        <v>278.53842119475155</v>
      </c>
      <c r="AN13" s="131">
        <f>'Income Statement'!AN17</f>
        <v>279.39837179891049</v>
      </c>
      <c r="AO13" s="131">
        <f>'Income Statement'!AO17</f>
        <v>274.13238942556745</v>
      </c>
      <c r="AP13" s="245">
        <f>'Income Statement'!AP17</f>
        <v>1077.4646259825513</v>
      </c>
      <c r="AQ13" s="131">
        <f>'Income Statement'!AQ17</f>
        <v>1294.1414862831762</v>
      </c>
      <c r="AR13" s="131">
        <f>'Income Statement'!AR17</f>
        <v>1364.6446082696459</v>
      </c>
      <c r="AS13" s="131">
        <f>'Income Statement'!AS17</f>
        <v>1410.6149513417347</v>
      </c>
      <c r="AT13" s="131">
        <f>'Income Statement'!AT17</f>
        <v>0</v>
      </c>
      <c r="AU13" s="245">
        <f>'Income Statement'!AQ17</f>
        <v>1294.1414862831762</v>
      </c>
      <c r="AV13" s="245">
        <f>'Income Statement'!AV17</f>
        <v>0</v>
      </c>
      <c r="AW13" s="245">
        <f>'Income Statement'!AW17</f>
        <v>0</v>
      </c>
      <c r="AX13" s="245">
        <f>'Income Statement'!AX17</f>
        <v>0</v>
      </c>
      <c r="AY13" s="245">
        <f>'Income Statement'!AY17</f>
        <v>0</v>
      </c>
      <c r="AZ13" s="245">
        <f>'Income Statement'!AR17</f>
        <v>1364.6446082696459</v>
      </c>
      <c r="BA13" s="245">
        <f>'Income Statement'!BA17</f>
        <v>0</v>
      </c>
      <c r="BB13" s="245">
        <f>'Income Statement'!BB17</f>
        <v>0</v>
      </c>
      <c r="BC13" s="245">
        <f>'Income Statement'!BC17</f>
        <v>0</v>
      </c>
      <c r="BD13" s="245">
        <f>'Income Statement'!BD17</f>
        <v>0</v>
      </c>
      <c r="BE13" s="245">
        <f>'Income Statement'!AS17</f>
        <v>1410.6149513417347</v>
      </c>
      <c r="BF13" s="10"/>
      <c r="BG13" s="10"/>
      <c r="BH13" s="10"/>
      <c r="BI13" s="10"/>
      <c r="BJ13" s="10"/>
    </row>
    <row r="14" spans="1:62" ht="14" x14ac:dyDescent="0.15">
      <c r="A14" s="10"/>
      <c r="B14" s="246" t="s">
        <v>248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251">
        <f t="shared" ref="M14:P14" si="21">(M12/M13)/4</f>
        <v>0.69692532942898977</v>
      </c>
      <c r="N14" s="174">
        <f t="shared" si="21"/>
        <v>0.90136162127929054</v>
      </c>
      <c r="O14" s="174">
        <f t="shared" si="21"/>
        <v>0.79314221472737489</v>
      </c>
      <c r="P14" s="252">
        <f t="shared" si="21"/>
        <v>0.80675324675324678</v>
      </c>
      <c r="Q14" s="252">
        <f>Q12/Q13</f>
        <v>0.8472449536279324</v>
      </c>
      <c r="R14" s="251">
        <f t="shared" ref="R14:U14" si="22">(R12/R13)/4</f>
        <v>0.59464916708732962</v>
      </c>
      <c r="S14" s="174">
        <f t="shared" si="22"/>
        <v>0.7386225728155339</v>
      </c>
      <c r="T14" s="174">
        <f t="shared" si="22"/>
        <v>0.6279936136242682</v>
      </c>
      <c r="U14" s="252">
        <f t="shared" si="22"/>
        <v>0.71492204899777279</v>
      </c>
      <c r="V14" s="252">
        <f>V12/V13</f>
        <v>0.70317634173055865</v>
      </c>
      <c r="W14" s="251">
        <f t="shared" ref="W14:Z14" si="23">(W12/W13)/4</f>
        <v>0.55176767676767668</v>
      </c>
      <c r="X14" s="174">
        <f t="shared" si="23"/>
        <v>0.70957051961823958</v>
      </c>
      <c r="Y14" s="174">
        <f t="shared" si="23"/>
        <v>0.77940340909090911</v>
      </c>
      <c r="Z14" s="252">
        <f t="shared" si="23"/>
        <v>0.6782985226693834</v>
      </c>
      <c r="AA14" s="252">
        <f>AA12/AA13</f>
        <v>0.6839604468986773</v>
      </c>
      <c r="AB14" s="251">
        <f t="shared" ref="AB14:AD14" si="24">(AB12/AB13)/4</f>
        <v>0.67168674698795183</v>
      </c>
      <c r="AC14" s="174">
        <f t="shared" si="24"/>
        <v>0.74276061776061786</v>
      </c>
      <c r="AD14" s="174">
        <f t="shared" si="24"/>
        <v>0.71879553181155897</v>
      </c>
      <c r="AE14" s="156">
        <v>0.7</v>
      </c>
      <c r="AF14" s="253">
        <f>AF12/AF13</f>
        <v>0.72332418666346099</v>
      </c>
      <c r="AG14" s="156">
        <v>0.7</v>
      </c>
      <c r="AH14" s="156">
        <v>0.7</v>
      </c>
      <c r="AI14" s="156">
        <v>0.7</v>
      </c>
      <c r="AJ14" s="156">
        <v>0.7</v>
      </c>
      <c r="AK14" s="253">
        <f>AK12/AK13</f>
        <v>0.71701750775288664</v>
      </c>
      <c r="AL14" s="156">
        <v>0.69</v>
      </c>
      <c r="AM14" s="156">
        <v>0.69</v>
      </c>
      <c r="AN14" s="156">
        <v>0.69</v>
      </c>
      <c r="AO14" s="156">
        <v>0.69</v>
      </c>
      <c r="AP14" s="253">
        <f>AP12/AP13</f>
        <v>0.70220903458859241</v>
      </c>
      <c r="AQ14" s="251"/>
      <c r="AR14" s="174"/>
      <c r="AS14" s="174"/>
      <c r="AT14" s="156"/>
      <c r="AU14" s="254">
        <v>0.68</v>
      </c>
      <c r="AV14" s="156"/>
      <c r="AW14" s="156"/>
      <c r="AX14" s="156"/>
      <c r="AY14" s="156"/>
      <c r="AZ14" s="157">
        <v>0.63</v>
      </c>
      <c r="BA14" s="156"/>
      <c r="BB14" s="156"/>
      <c r="BC14" s="156"/>
      <c r="BD14" s="156"/>
      <c r="BE14" s="157">
        <v>0.6</v>
      </c>
      <c r="BF14" s="10"/>
      <c r="BG14" s="10"/>
      <c r="BH14" s="10"/>
      <c r="BI14" s="10"/>
      <c r="BJ14" s="10"/>
    </row>
    <row r="15" spans="1:62" ht="14" x14ac:dyDescent="0.1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45"/>
      <c r="N15" s="10"/>
      <c r="O15" s="10"/>
      <c r="P15" s="10"/>
      <c r="Q15" s="47"/>
      <c r="R15" s="10"/>
      <c r="S15" s="10"/>
      <c r="T15" s="10"/>
      <c r="U15" s="10"/>
      <c r="V15" s="47"/>
      <c r="W15" s="10"/>
      <c r="X15" s="10"/>
      <c r="Y15" s="10"/>
      <c r="Z15" s="10"/>
      <c r="AA15" s="47"/>
      <c r="AB15" s="10"/>
      <c r="AC15" s="10"/>
      <c r="AD15" s="10"/>
      <c r="AE15" s="10"/>
      <c r="AF15" s="47"/>
      <c r="AG15" s="10"/>
      <c r="AH15" s="10"/>
      <c r="AI15" s="10"/>
      <c r="AJ15" s="10"/>
      <c r="AK15" s="47"/>
      <c r="AL15" s="10"/>
      <c r="AM15" s="10"/>
      <c r="AN15" s="10"/>
      <c r="AO15" s="10"/>
      <c r="AP15" s="47"/>
      <c r="AQ15" s="10"/>
      <c r="AR15" s="10"/>
      <c r="AS15" s="10"/>
      <c r="AT15" s="10"/>
      <c r="AU15" s="47"/>
      <c r="AV15" s="10"/>
      <c r="AW15" s="10"/>
      <c r="AX15" s="10"/>
      <c r="AY15" s="10"/>
      <c r="AZ15" s="47"/>
      <c r="BA15" s="10"/>
      <c r="BB15" s="10"/>
      <c r="BC15" s="10"/>
      <c r="BD15" s="10"/>
      <c r="BE15" s="47"/>
      <c r="BF15" s="10"/>
      <c r="BG15" s="10"/>
      <c r="BH15" s="10"/>
      <c r="BI15" s="10"/>
      <c r="BJ15" s="10"/>
    </row>
    <row r="16" spans="1:62" ht="9.75" customHeight="1" x14ac:dyDescent="0.15">
      <c r="A16" s="10"/>
      <c r="B16" s="255" t="s">
        <v>249</v>
      </c>
      <c r="C16" s="226"/>
      <c r="D16" s="226"/>
      <c r="E16" s="226"/>
      <c r="F16" s="226"/>
      <c r="G16" s="226"/>
      <c r="H16" s="226"/>
      <c r="I16" s="226"/>
      <c r="J16" s="226"/>
      <c r="K16" s="226"/>
      <c r="L16" s="221"/>
      <c r="M16" s="225">
        <f t="shared" ref="M16:BE16" si="25">SUM(M8,M12)</f>
        <v>1129.0999999999999</v>
      </c>
      <c r="N16" s="221">
        <f t="shared" si="25"/>
        <v>1076.1999999999998</v>
      </c>
      <c r="O16" s="221">
        <f t="shared" si="25"/>
        <v>1075.5</v>
      </c>
      <c r="P16" s="256">
        <f t="shared" si="25"/>
        <v>1080.5999999999999</v>
      </c>
      <c r="Q16" s="256">
        <f t="shared" si="25"/>
        <v>1080.5999999999999</v>
      </c>
      <c r="R16" s="225">
        <f t="shared" si="25"/>
        <v>944.2</v>
      </c>
      <c r="S16" s="221">
        <f t="shared" si="25"/>
        <v>946.4</v>
      </c>
      <c r="T16" s="221">
        <f t="shared" si="25"/>
        <v>913.7</v>
      </c>
      <c r="U16" s="256">
        <f t="shared" si="25"/>
        <v>975.8</v>
      </c>
      <c r="V16" s="256">
        <f t="shared" si="25"/>
        <v>975.8</v>
      </c>
      <c r="W16" s="225">
        <f t="shared" si="25"/>
        <v>1104.5999999999999</v>
      </c>
      <c r="X16" s="221">
        <f t="shared" si="25"/>
        <v>1120.5</v>
      </c>
      <c r="Y16" s="221">
        <f t="shared" si="25"/>
        <v>1122.3000000000002</v>
      </c>
      <c r="Z16" s="256">
        <f t="shared" si="25"/>
        <v>1044.2</v>
      </c>
      <c r="AA16" s="256">
        <f t="shared" si="25"/>
        <v>1044.2</v>
      </c>
      <c r="AB16" s="225">
        <f t="shared" si="25"/>
        <v>1028.3000000000002</v>
      </c>
      <c r="AC16" s="221">
        <f t="shared" si="25"/>
        <v>1355.2</v>
      </c>
      <c r="AD16" s="221">
        <f t="shared" si="25"/>
        <v>1342.6</v>
      </c>
      <c r="AE16" s="256">
        <f t="shared" si="25"/>
        <v>1201.1018334772602</v>
      </c>
      <c r="AF16" s="256">
        <f t="shared" si="25"/>
        <v>1201.1018334772602</v>
      </c>
      <c r="AG16" s="225">
        <f t="shared" si="25"/>
        <v>1263.7208088376296</v>
      </c>
      <c r="AH16" s="221">
        <f t="shared" si="25"/>
        <v>1385.378748274562</v>
      </c>
      <c r="AI16" s="221">
        <f t="shared" si="25"/>
        <v>1432.2716460190686</v>
      </c>
      <c r="AJ16" s="256">
        <f t="shared" si="25"/>
        <v>1389.9181930966683</v>
      </c>
      <c r="AK16" s="256">
        <f t="shared" si="25"/>
        <v>1389.9181930966683</v>
      </c>
      <c r="AL16" s="225">
        <f t="shared" si="25"/>
        <v>1475.8706890983296</v>
      </c>
      <c r="AM16" s="221">
        <f t="shared" si="25"/>
        <v>1620.9545860087474</v>
      </c>
      <c r="AN16" s="221">
        <f t="shared" si="25"/>
        <v>1687.3108054460886</v>
      </c>
      <c r="AO16" s="256">
        <f t="shared" si="25"/>
        <v>1614.9455573995131</v>
      </c>
      <c r="AP16" s="256">
        <f t="shared" si="25"/>
        <v>1614.9455573995131</v>
      </c>
      <c r="AQ16" s="225">
        <f t="shared" si="25"/>
        <v>0</v>
      </c>
      <c r="AR16" s="221">
        <f t="shared" si="25"/>
        <v>0</v>
      </c>
      <c r="AS16" s="221">
        <f t="shared" si="25"/>
        <v>0</v>
      </c>
      <c r="AT16" s="256">
        <f t="shared" si="25"/>
        <v>0</v>
      </c>
      <c r="AU16" s="256">
        <f t="shared" si="25"/>
        <v>1801.8704200797538</v>
      </c>
      <c r="AV16" s="225">
        <f t="shared" si="25"/>
        <v>0</v>
      </c>
      <c r="AW16" s="221">
        <f t="shared" si="25"/>
        <v>0</v>
      </c>
      <c r="AX16" s="221">
        <f t="shared" si="25"/>
        <v>0</v>
      </c>
      <c r="AY16" s="256">
        <f t="shared" si="25"/>
        <v>0</v>
      </c>
      <c r="AZ16" s="256">
        <f t="shared" si="25"/>
        <v>1682.2516205230881</v>
      </c>
      <c r="BA16" s="225">
        <f t="shared" si="25"/>
        <v>0</v>
      </c>
      <c r="BB16" s="221">
        <f t="shared" si="25"/>
        <v>0</v>
      </c>
      <c r="BC16" s="221">
        <f t="shared" si="25"/>
        <v>0</v>
      </c>
      <c r="BD16" s="256">
        <f t="shared" si="25"/>
        <v>0</v>
      </c>
      <c r="BE16" s="256">
        <f t="shared" si="25"/>
        <v>1619.3086701703749</v>
      </c>
      <c r="BF16" s="10"/>
      <c r="BG16" s="10"/>
      <c r="BH16" s="10"/>
      <c r="BI16" s="10"/>
      <c r="BJ16" s="10"/>
    </row>
    <row r="17" spans="1:62" ht="14" x14ac:dyDescent="0.15">
      <c r="A17" s="10"/>
      <c r="B17" s="58"/>
      <c r="C17" s="10"/>
      <c r="D17" s="10"/>
      <c r="E17" s="10"/>
      <c r="F17" s="10"/>
      <c r="G17" s="10"/>
      <c r="H17" s="10"/>
      <c r="I17" s="10"/>
      <c r="J17" s="10"/>
      <c r="K17" s="10"/>
      <c r="L17" s="55"/>
      <c r="M17" s="54"/>
      <c r="N17" s="55"/>
      <c r="O17" s="55"/>
      <c r="P17" s="55"/>
      <c r="Q17" s="257"/>
      <c r="R17" s="55"/>
      <c r="S17" s="55"/>
      <c r="T17" s="55"/>
      <c r="U17" s="258"/>
      <c r="V17" s="56"/>
      <c r="W17" s="55"/>
      <c r="X17" s="55"/>
      <c r="Y17" s="55"/>
      <c r="Z17" s="258"/>
      <c r="AA17" s="56"/>
      <c r="AB17" s="55"/>
      <c r="AC17" s="55"/>
      <c r="AD17" s="55"/>
      <c r="AE17" s="55"/>
      <c r="AF17" s="257"/>
      <c r="AG17" s="55"/>
      <c r="AH17" s="55"/>
      <c r="AI17" s="55"/>
      <c r="AJ17" s="55"/>
      <c r="AK17" s="257"/>
      <c r="AL17" s="55"/>
      <c r="AM17" s="55"/>
      <c r="AN17" s="55"/>
      <c r="AO17" s="55"/>
      <c r="AP17" s="257"/>
      <c r="AQ17" s="55"/>
      <c r="AR17" s="55"/>
      <c r="AS17" s="55"/>
      <c r="AT17" s="55"/>
      <c r="AU17" s="257"/>
      <c r="AV17" s="55"/>
      <c r="AW17" s="55"/>
      <c r="AX17" s="55"/>
      <c r="AY17" s="55"/>
      <c r="AZ17" s="257"/>
      <c r="BA17" s="55"/>
      <c r="BB17" s="55"/>
      <c r="BC17" s="55"/>
      <c r="BD17" s="55"/>
      <c r="BE17" s="257"/>
      <c r="BF17" s="10"/>
      <c r="BG17" s="10"/>
      <c r="BH17" s="10"/>
      <c r="BI17" s="10"/>
      <c r="BJ17" s="10"/>
    </row>
    <row r="18" spans="1:62" ht="14" x14ac:dyDescent="0.15">
      <c r="A18" s="10"/>
      <c r="B18" s="10" t="s">
        <v>250</v>
      </c>
      <c r="C18" s="10"/>
      <c r="D18" s="10"/>
      <c r="E18" s="10"/>
      <c r="F18" s="10"/>
      <c r="G18" s="10"/>
      <c r="H18" s="10"/>
      <c r="I18" s="10"/>
      <c r="J18" s="10"/>
      <c r="K18" s="10"/>
      <c r="L18" s="55"/>
      <c r="M18" s="61">
        <f>'Balance Sheet'!M28</f>
        <v>118.7</v>
      </c>
      <c r="N18" s="60">
        <f>'Balance Sheet'!N28</f>
        <v>137</v>
      </c>
      <c r="O18" s="60">
        <f>'Balance Sheet'!O28</f>
        <v>122.9</v>
      </c>
      <c r="P18" s="60">
        <f>Q18</f>
        <v>130.80000000000001</v>
      </c>
      <c r="Q18" s="63">
        <f>'Balance Sheet'!Q28</f>
        <v>130.80000000000001</v>
      </c>
      <c r="R18" s="60">
        <f>'Balance Sheet'!R28</f>
        <v>130</v>
      </c>
      <c r="S18" s="60">
        <f>'Balance Sheet'!S28</f>
        <v>144.9</v>
      </c>
      <c r="T18" s="60">
        <f>'Balance Sheet'!T28</f>
        <v>136.19999999999999</v>
      </c>
      <c r="U18" s="62">
        <f>V18</f>
        <v>148.1</v>
      </c>
      <c r="V18" s="63">
        <f>'Balance Sheet'!V28</f>
        <v>148.1</v>
      </c>
      <c r="W18" s="61">
        <f>'Balance Sheet'!W28</f>
        <v>120.6</v>
      </c>
      <c r="X18" s="60">
        <f>'Balance Sheet'!X28</f>
        <v>108.2</v>
      </c>
      <c r="Y18" s="60">
        <f>'Balance Sheet'!Y28</f>
        <v>117</v>
      </c>
      <c r="Z18" s="62">
        <f>AA18</f>
        <v>139.1</v>
      </c>
      <c r="AA18" s="63">
        <f>'Balance Sheet'!AA28</f>
        <v>139.1</v>
      </c>
      <c r="AB18" s="61">
        <f>'Balance Sheet'!AB28</f>
        <v>130.1</v>
      </c>
      <c r="AC18" s="60">
        <f>'Balance Sheet'!AC28</f>
        <v>193.8</v>
      </c>
      <c r="AD18" s="60">
        <f>'Balance Sheet'!AD28</f>
        <v>217.4</v>
      </c>
      <c r="AE18" s="240">
        <f>(AE19*AE20)/ (365/4)</f>
        <v>194.82634507397262</v>
      </c>
      <c r="AF18" s="241">
        <f>AE18</f>
        <v>194.82634507397262</v>
      </c>
      <c r="AG18" s="240">
        <f t="shared" ref="AG18:AJ18" si="26">(AG19*AG20)/ (365/4)</f>
        <v>192.14497877073774</v>
      </c>
      <c r="AH18" s="240">
        <f t="shared" si="26"/>
        <v>212.6801503151994</v>
      </c>
      <c r="AI18" s="240">
        <f t="shared" si="26"/>
        <v>237.07622867892385</v>
      </c>
      <c r="AJ18" s="240">
        <f t="shared" si="26"/>
        <v>206.77186995958354</v>
      </c>
      <c r="AK18" s="241">
        <f>AJ18</f>
        <v>206.77186995958354</v>
      </c>
      <c r="AL18" s="259">
        <f t="shared" ref="AL18:AO18" si="27">(AL19*AL20)/ (365/4)</f>
        <v>201.12012623078883</v>
      </c>
      <c r="AM18" s="240">
        <f t="shared" si="27"/>
        <v>223.38390229520627</v>
      </c>
      <c r="AN18" s="240">
        <f t="shared" si="27"/>
        <v>250.59534121463614</v>
      </c>
      <c r="AO18" s="240">
        <f t="shared" si="27"/>
        <v>215.4433808088217</v>
      </c>
      <c r="AP18" s="241">
        <f>AO18</f>
        <v>215.4433808088217</v>
      </c>
      <c r="AQ18" s="240"/>
      <c r="AR18" s="240"/>
      <c r="AS18" s="240"/>
      <c r="AT18" s="240"/>
      <c r="AU18" s="241">
        <f t="shared" ref="AU18:BE18" si="28">(AU19*AU20)/365</f>
        <v>239.68209444587043</v>
      </c>
      <c r="AV18" s="241">
        <f t="shared" si="28"/>
        <v>0</v>
      </c>
      <c r="AW18" s="241">
        <f t="shared" si="28"/>
        <v>0</v>
      </c>
      <c r="AX18" s="241">
        <f t="shared" si="28"/>
        <v>0</v>
      </c>
      <c r="AY18" s="241">
        <f t="shared" si="28"/>
        <v>0</v>
      </c>
      <c r="AZ18" s="241">
        <f t="shared" si="28"/>
        <v>297.23081193818314</v>
      </c>
      <c r="BA18" s="241">
        <f t="shared" si="28"/>
        <v>0</v>
      </c>
      <c r="BB18" s="241">
        <f t="shared" si="28"/>
        <v>0</v>
      </c>
      <c r="BC18" s="241">
        <f t="shared" si="28"/>
        <v>0</v>
      </c>
      <c r="BD18" s="241">
        <f t="shared" si="28"/>
        <v>0</v>
      </c>
      <c r="BE18" s="241">
        <f t="shared" si="28"/>
        <v>333.90995012582431</v>
      </c>
      <c r="BF18" s="10"/>
      <c r="BG18" s="10"/>
      <c r="BH18" s="10"/>
      <c r="BI18" s="10"/>
      <c r="BJ18" s="10"/>
    </row>
    <row r="19" spans="1:62" ht="14" x14ac:dyDescent="0.15">
      <c r="A19" s="10"/>
      <c r="B19" s="10" t="s">
        <v>251</v>
      </c>
      <c r="C19" s="10"/>
      <c r="D19" s="10"/>
      <c r="E19" s="10"/>
      <c r="F19" s="10"/>
      <c r="G19" s="10"/>
      <c r="H19" s="10"/>
      <c r="I19" s="10"/>
      <c r="J19" s="10"/>
      <c r="K19" s="10"/>
      <c r="L19" s="55"/>
      <c r="M19" s="130">
        <f>SUM('Income Statement'!M14,'Income Statement'!M15)</f>
        <v>519.9</v>
      </c>
      <c r="N19" s="131">
        <f>SUM('Income Statement'!N14,'Income Statement'!N15)</f>
        <v>560.30000000000007</v>
      </c>
      <c r="O19" s="131">
        <f>SUM('Income Statement'!O14,'Income Statement'!O15)</f>
        <v>556.70000000000005</v>
      </c>
      <c r="P19" s="131">
        <f>SUM('Income Statement'!P14,'Income Statement'!P15)</f>
        <v>540.9</v>
      </c>
      <c r="Q19" s="132">
        <f>SUM('Income Statement'!Q14,'Income Statement'!Q15)</f>
        <v>2177.7999999999997</v>
      </c>
      <c r="R19" s="131">
        <f>SUM('Income Statement'!R14,'Income Statement'!R15)</f>
        <v>543.4</v>
      </c>
      <c r="S19" s="131">
        <f>SUM('Income Statement'!S14,'Income Statement'!S15)</f>
        <v>563.29999999999995</v>
      </c>
      <c r="T19" s="131">
        <f>SUM('Income Statement'!T14,'Income Statement'!T15)</f>
        <v>559.9</v>
      </c>
      <c r="U19" s="247">
        <f>SUM('Income Statement'!U14,'Income Statement'!U15)</f>
        <v>550.1999999999997</v>
      </c>
      <c r="V19" s="132">
        <f>SUM('Income Statement'!V14,'Income Statement'!V15)</f>
        <v>2216.7999999999997</v>
      </c>
      <c r="W19" s="130">
        <f>SUM('Income Statement'!W14,'Income Statement'!W15)</f>
        <v>552</v>
      </c>
      <c r="X19" s="131">
        <f>SUM('Income Statement'!X14,'Income Statement'!X15)</f>
        <v>540</v>
      </c>
      <c r="Y19" s="131">
        <f>SUM('Income Statement'!Y14,'Income Statement'!Y15)</f>
        <v>562.6</v>
      </c>
      <c r="Z19" s="247">
        <f>SUM('Income Statement'!Z14,'Income Statement'!Z15)</f>
        <v>572.59999999999991</v>
      </c>
      <c r="AA19" s="132">
        <f>SUM('Income Statement'!AA14,'Income Statement'!AA15)</f>
        <v>2227.1999999999998</v>
      </c>
      <c r="AB19" s="130">
        <f>SUM('Income Statement'!AB14,'Income Statement'!AB15)</f>
        <v>574.29999999999995</v>
      </c>
      <c r="AC19" s="131">
        <f>SUM('Income Statement'!AC14,'Income Statement'!AC15)</f>
        <v>647.9</v>
      </c>
      <c r="AD19" s="131">
        <f>SUM('Income Statement'!AD14,'Income Statement'!AD15)</f>
        <v>724.3</v>
      </c>
      <c r="AE19" s="131">
        <f>SUM('Income Statement'!AE14,'Income Statement'!AE15)</f>
        <v>613.03117200000008</v>
      </c>
      <c r="AF19" s="132">
        <f>SUM('Income Statement'!AF14,'Income Statement'!AF15)</f>
        <v>2559.531172</v>
      </c>
      <c r="AG19" s="131">
        <f>SUM('Income Statement'!AG14,'Income Statement'!AG15)</f>
        <v>626.18676117249356</v>
      </c>
      <c r="AH19" s="131">
        <f>SUM('Income Statement'!AH14,'Income Statement'!AH15)</f>
        <v>693.10941843792671</v>
      </c>
      <c r="AI19" s="131">
        <f>SUM('Income Statement'!AI14,'Income Statement'!AI15)</f>
        <v>772.61449524827856</v>
      </c>
      <c r="AJ19" s="131">
        <f>SUM('Income Statement'!AJ14,'Income Statement'!AJ15)</f>
        <v>673.85475477900002</v>
      </c>
      <c r="AK19" s="132">
        <f>SUM('Income Statement'!AK14,'Income Statement'!AK15)</f>
        <v>2765.7654296376986</v>
      </c>
      <c r="AL19" s="131">
        <f>SUM('Income Statement'!AL14,'Income Statement'!AL15)</f>
        <v>705.85428917536467</v>
      </c>
      <c r="AM19" s="131">
        <f>SUM('Income Statement'!AM14,'Income Statement'!AM15)</f>
        <v>783.99158017067577</v>
      </c>
      <c r="AN19" s="131">
        <f>SUM('Income Statement'!AN14,'Income Statement'!AN15)</f>
        <v>879.49326483982873</v>
      </c>
      <c r="AO19" s="131">
        <f>SUM('Income Statement'!AO14,'Income Statement'!AO15)</f>
        <v>756.12340380019145</v>
      </c>
      <c r="AP19" s="132">
        <f>SUM('Income Statement'!AP14,'Income Statement'!AP15)</f>
        <v>3125.4625379860609</v>
      </c>
      <c r="AQ19" s="131">
        <f>SUM('Income Statement'!AQ14,'Income Statement'!AQ15)</f>
        <v>3364.7678643362578</v>
      </c>
      <c r="AR19" s="131">
        <f>SUM('Income Statement'!AR14,'Income Statement'!AR15)</f>
        <v>3616.3082119145615</v>
      </c>
      <c r="AS19" s="131">
        <f>SUM('Income Statement'!AS14,'Income Statement'!AS15)</f>
        <v>3808.6603686226836</v>
      </c>
      <c r="AT19" s="131">
        <f>SUM('Income Statement'!AT14,'Income Statement'!AT15)</f>
        <v>0</v>
      </c>
      <c r="AU19" s="132">
        <f>SUM('Income Statement'!AQ14,'Income Statement'!AQ15)</f>
        <v>3364.7678643362578</v>
      </c>
      <c r="AV19" s="131">
        <f>SUM('Income Statement'!AV14,'Income Statement'!AV15)</f>
        <v>0</v>
      </c>
      <c r="AW19" s="131">
        <f>SUM('Income Statement'!AW14,'Income Statement'!AW15)</f>
        <v>0</v>
      </c>
      <c r="AX19" s="131">
        <f>SUM('Income Statement'!AX14,'Income Statement'!AX15)</f>
        <v>0</v>
      </c>
      <c r="AY19" s="131">
        <f>SUM('Income Statement'!AY14,'Income Statement'!AY15)</f>
        <v>0</v>
      </c>
      <c r="AZ19" s="132">
        <f>SUM('Income Statement'!AR14,'Income Statement'!AR15)</f>
        <v>3616.3082119145615</v>
      </c>
      <c r="BA19" s="131">
        <f>SUM('Income Statement'!BA14,'Income Statement'!BA15)</f>
        <v>0</v>
      </c>
      <c r="BB19" s="131">
        <f>SUM('Income Statement'!BB14,'Income Statement'!BB15)</f>
        <v>0</v>
      </c>
      <c r="BC19" s="131">
        <f>SUM('Income Statement'!BC14,'Income Statement'!BC15)</f>
        <v>0</v>
      </c>
      <c r="BD19" s="131">
        <f>SUM('Income Statement'!BD14,'Income Statement'!BD15)</f>
        <v>0</v>
      </c>
      <c r="BE19" s="132">
        <f>SUM('Income Statement'!AS14,'Income Statement'!AS15)</f>
        <v>3808.6603686226836</v>
      </c>
      <c r="BF19" s="10"/>
      <c r="BG19" s="10"/>
      <c r="BH19" s="10"/>
      <c r="BI19" s="10"/>
      <c r="BJ19" s="10"/>
    </row>
    <row r="20" spans="1:62" ht="14" x14ac:dyDescent="0.15">
      <c r="A20" s="10"/>
      <c r="B20" s="246" t="s">
        <v>252</v>
      </c>
      <c r="C20" s="10"/>
      <c r="D20" s="10"/>
      <c r="E20" s="10"/>
      <c r="F20" s="10"/>
      <c r="G20" s="10"/>
      <c r="H20" s="10"/>
      <c r="I20" s="10"/>
      <c r="J20" s="10"/>
      <c r="K20" s="10"/>
      <c r="L20" s="55"/>
      <c r="M20" s="130">
        <f t="shared" ref="M20:P20" si="29">(M18/M19)*(365/4)</f>
        <v>20.833573764185424</v>
      </c>
      <c r="N20" s="131">
        <f t="shared" si="29"/>
        <v>22.311708013564157</v>
      </c>
      <c r="O20" s="131">
        <f t="shared" si="29"/>
        <v>20.144826657086401</v>
      </c>
      <c r="P20" s="131">
        <f t="shared" si="29"/>
        <v>22.066001109262345</v>
      </c>
      <c r="Q20" s="132">
        <f>(Q18/Q19)*365</f>
        <v>21.922123243640378</v>
      </c>
      <c r="R20" s="131">
        <f t="shared" ref="R20:U20" si="30">(R18/R19)*(365/4)</f>
        <v>21.830143540669855</v>
      </c>
      <c r="S20" s="131">
        <f t="shared" si="30"/>
        <v>23.472616722883014</v>
      </c>
      <c r="T20" s="131">
        <f t="shared" si="30"/>
        <v>22.197267369173066</v>
      </c>
      <c r="U20" s="247">
        <f t="shared" si="30"/>
        <v>24.56220465285352</v>
      </c>
      <c r="V20" s="132">
        <f>(V18/V19)*365</f>
        <v>24.384924215084808</v>
      </c>
      <c r="W20" s="130">
        <f t="shared" ref="W20:Z20" si="31">(W18/W19)*(365/4)</f>
        <v>19.936141304347824</v>
      </c>
      <c r="X20" s="131">
        <f t="shared" si="31"/>
        <v>18.283796296296295</v>
      </c>
      <c r="Y20" s="131">
        <f t="shared" si="31"/>
        <v>18.976626377532881</v>
      </c>
      <c r="Z20" s="247">
        <f t="shared" si="31"/>
        <v>22.16708871812784</v>
      </c>
      <c r="AA20" s="132">
        <f>(AA18/AA19)*365</f>
        <v>22.796111709770116</v>
      </c>
      <c r="AB20" s="130">
        <f t="shared" ref="AB20:AD20" si="32">(AB18/AB19)*(365/4)</f>
        <v>20.671469615183703</v>
      </c>
      <c r="AC20" s="131">
        <f t="shared" si="32"/>
        <v>27.294721407624635</v>
      </c>
      <c r="AD20" s="131">
        <f t="shared" si="32"/>
        <v>27.388858207924898</v>
      </c>
      <c r="AE20" s="260">
        <v>29</v>
      </c>
      <c r="AF20" s="132">
        <f>(AF18/AF19)*365</f>
        <v>27.78306305854985</v>
      </c>
      <c r="AG20" s="134">
        <v>28</v>
      </c>
      <c r="AH20" s="134">
        <v>28</v>
      </c>
      <c r="AI20" s="134">
        <v>28</v>
      </c>
      <c r="AJ20" s="134">
        <v>28</v>
      </c>
      <c r="AK20" s="132">
        <f>(AK18/AK19)*365</f>
        <v>27.287828434942298</v>
      </c>
      <c r="AL20" s="134">
        <v>26</v>
      </c>
      <c r="AM20" s="134">
        <v>26</v>
      </c>
      <c r="AN20" s="134">
        <v>26</v>
      </c>
      <c r="AO20" s="134">
        <v>26</v>
      </c>
      <c r="AP20" s="132">
        <f>(AP18/AP19)*365</f>
        <v>25.160062883329505</v>
      </c>
      <c r="AQ20" s="134"/>
      <c r="AR20" s="134"/>
      <c r="AS20" s="134"/>
      <c r="AT20" s="134"/>
      <c r="AU20" s="248">
        <v>26</v>
      </c>
      <c r="AV20" s="134"/>
      <c r="AW20" s="134"/>
      <c r="AX20" s="134"/>
      <c r="AY20" s="134"/>
      <c r="AZ20" s="250">
        <v>30</v>
      </c>
      <c r="BA20" s="134"/>
      <c r="BB20" s="134"/>
      <c r="BC20" s="134"/>
      <c r="BD20" s="134"/>
      <c r="BE20" s="250">
        <v>32</v>
      </c>
      <c r="BF20" s="10"/>
      <c r="BG20" s="10"/>
      <c r="BH20" s="10"/>
      <c r="BI20" s="10"/>
      <c r="BJ20" s="10"/>
    </row>
    <row r="21" spans="1:62" ht="14" x14ac:dyDescent="0.1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55"/>
      <c r="M21" s="54"/>
      <c r="N21" s="55"/>
      <c r="O21" s="55"/>
      <c r="P21" s="55"/>
      <c r="Q21" s="57"/>
      <c r="R21" s="55"/>
      <c r="S21" s="55"/>
      <c r="T21" s="55"/>
      <c r="U21" s="56"/>
      <c r="V21" s="57"/>
      <c r="W21" s="55"/>
      <c r="X21" s="55"/>
      <c r="Y21" s="55"/>
      <c r="Z21" s="56"/>
      <c r="AA21" s="57"/>
      <c r="AB21" s="55"/>
      <c r="AC21" s="55"/>
      <c r="AD21" s="55"/>
      <c r="AE21" s="55"/>
      <c r="AF21" s="57"/>
      <c r="AG21" s="55"/>
      <c r="AH21" s="55"/>
      <c r="AI21" s="55"/>
      <c r="AJ21" s="55"/>
      <c r="AK21" s="57"/>
      <c r="AL21" s="55"/>
      <c r="AM21" s="55"/>
      <c r="AN21" s="55"/>
      <c r="AO21" s="55"/>
      <c r="AP21" s="57"/>
      <c r="AQ21" s="55"/>
      <c r="AR21" s="55"/>
      <c r="AS21" s="55"/>
      <c r="AT21" s="55"/>
      <c r="AU21" s="57"/>
      <c r="AV21" s="55"/>
      <c r="AW21" s="55"/>
      <c r="AX21" s="55"/>
      <c r="AY21" s="55"/>
      <c r="AZ21" s="57"/>
      <c r="BA21" s="55"/>
      <c r="BB21" s="55"/>
      <c r="BC21" s="55"/>
      <c r="BD21" s="55"/>
      <c r="BE21" s="57"/>
      <c r="BF21" s="10"/>
      <c r="BG21" s="10"/>
      <c r="BH21" s="10"/>
      <c r="BI21" s="10"/>
      <c r="BJ21" s="10"/>
    </row>
    <row r="22" spans="1:62" ht="14" x14ac:dyDescent="0.15">
      <c r="A22" s="10"/>
      <c r="B22" s="10" t="s">
        <v>253</v>
      </c>
      <c r="C22" s="10"/>
      <c r="D22" s="10"/>
      <c r="E22" s="10"/>
      <c r="F22" s="10"/>
      <c r="G22" s="10"/>
      <c r="H22" s="10"/>
      <c r="I22" s="10"/>
      <c r="J22" s="10"/>
      <c r="K22" s="10"/>
      <c r="L22" s="55"/>
      <c r="M22" s="61">
        <f>'Balance Sheet'!M33</f>
        <v>2803.2</v>
      </c>
      <c r="N22" s="60">
        <f>'Balance Sheet'!N33</f>
        <v>2791.8</v>
      </c>
      <c r="O22" s="60">
        <f>'Balance Sheet'!O33</f>
        <v>2841.3</v>
      </c>
      <c r="P22" s="60">
        <f>Q22</f>
        <v>2755</v>
      </c>
      <c r="Q22" s="63">
        <f>'Balance Sheet'!Q33</f>
        <v>2755</v>
      </c>
      <c r="R22" s="60">
        <f>'Balance Sheet'!R33</f>
        <v>2097.1999999999998</v>
      </c>
      <c r="S22" s="60">
        <f>'Balance Sheet'!S33</f>
        <v>2442.1999999999998</v>
      </c>
      <c r="T22" s="60">
        <f>'Balance Sheet'!T33</f>
        <v>2443.6</v>
      </c>
      <c r="U22" s="62">
        <f>V22</f>
        <v>2928.2</v>
      </c>
      <c r="V22" s="63">
        <f>'Balance Sheet'!V33</f>
        <v>2928.2</v>
      </c>
      <c r="W22" s="61">
        <f>'Balance Sheet'!W33</f>
        <v>2640</v>
      </c>
      <c r="X22" s="60">
        <f>'Balance Sheet'!X33</f>
        <v>3366</v>
      </c>
      <c r="Y22" s="60">
        <f>'Balance Sheet'!Y33</f>
        <v>771.3</v>
      </c>
      <c r="Z22" s="62">
        <f>AA22</f>
        <v>789.8</v>
      </c>
      <c r="AA22" s="63">
        <f>'Balance Sheet'!AA33</f>
        <v>789.8</v>
      </c>
      <c r="AB22" s="61">
        <f>'Balance Sheet'!AB33</f>
        <v>1336.5</v>
      </c>
      <c r="AC22" s="60">
        <f>'Balance Sheet'!AC33</f>
        <v>2636</v>
      </c>
      <c r="AD22" s="60">
        <f>'Balance Sheet'!AD33</f>
        <v>2106.4</v>
      </c>
      <c r="AE22" s="240">
        <f>(AE23*AE24)/ (365/4)</f>
        <v>1813.9004541369866</v>
      </c>
      <c r="AF22" s="241">
        <f>AE22</f>
        <v>1813.9004541369866</v>
      </c>
      <c r="AG22" s="240">
        <f t="shared" ref="AG22:AJ22" si="33">(AG23*AG24)/ (365/4)</f>
        <v>2230.2542178746344</v>
      </c>
      <c r="AH22" s="240">
        <f t="shared" si="33"/>
        <v>2468.608887587136</v>
      </c>
      <c r="AI22" s="240">
        <f t="shared" si="33"/>
        <v>2963.4528584865475</v>
      </c>
      <c r="AJ22" s="240">
        <f t="shared" si="33"/>
        <v>2584.6483744947946</v>
      </c>
      <c r="AK22" s="241">
        <f>AJ22</f>
        <v>2584.6483744947946</v>
      </c>
      <c r="AL22" s="259">
        <f t="shared" ref="AL22:AO22" si="34">(AL23*AL24)/ (365/4)</f>
        <v>2900.771051405608</v>
      </c>
      <c r="AM22" s="240">
        <f t="shared" si="34"/>
        <v>3221.8832061808594</v>
      </c>
      <c r="AN22" s="240">
        <f t="shared" si="34"/>
        <v>3614.3558829034059</v>
      </c>
      <c r="AO22" s="240">
        <f t="shared" si="34"/>
        <v>3107.3564539733898</v>
      </c>
      <c r="AP22" s="241">
        <f>AO22</f>
        <v>3107.3564539733898</v>
      </c>
      <c r="AQ22" s="240"/>
      <c r="AR22" s="240"/>
      <c r="AS22" s="240"/>
      <c r="AT22" s="240"/>
      <c r="AU22" s="241">
        <f t="shared" ref="AU22:BE22" si="35">(AU23*AU24)/365</f>
        <v>3917.8803899805744</v>
      </c>
      <c r="AV22" s="241">
        <f t="shared" si="35"/>
        <v>0</v>
      </c>
      <c r="AW22" s="241">
        <f t="shared" si="35"/>
        <v>0</v>
      </c>
      <c r="AX22" s="241">
        <f t="shared" si="35"/>
        <v>0</v>
      </c>
      <c r="AY22" s="241">
        <f t="shared" si="35"/>
        <v>0</v>
      </c>
      <c r="AZ22" s="241">
        <f t="shared" si="35"/>
        <v>4706.1545223545663</v>
      </c>
      <c r="BA22" s="241">
        <f t="shared" si="35"/>
        <v>0</v>
      </c>
      <c r="BB22" s="241">
        <f t="shared" si="35"/>
        <v>0</v>
      </c>
      <c r="BC22" s="241">
        <f t="shared" si="35"/>
        <v>0</v>
      </c>
      <c r="BD22" s="241">
        <f t="shared" si="35"/>
        <v>0</v>
      </c>
      <c r="BE22" s="241">
        <f t="shared" si="35"/>
        <v>5739.0772677876057</v>
      </c>
      <c r="BF22" s="10"/>
      <c r="BG22" s="10"/>
      <c r="BH22" s="10"/>
      <c r="BI22" s="10"/>
      <c r="BJ22" s="10"/>
    </row>
    <row r="23" spans="1:62" ht="14" x14ac:dyDescent="0.15">
      <c r="A23" s="10"/>
      <c r="B23" s="10" t="s">
        <v>75</v>
      </c>
      <c r="C23" s="10"/>
      <c r="D23" s="10"/>
      <c r="E23" s="10"/>
      <c r="F23" s="10"/>
      <c r="G23" s="10"/>
      <c r="H23" s="10"/>
      <c r="I23" s="10"/>
      <c r="J23" s="10"/>
      <c r="K23" s="10"/>
      <c r="L23" s="55"/>
      <c r="M23" s="130">
        <f t="shared" ref="M23:BE23" si="36">M19</f>
        <v>519.9</v>
      </c>
      <c r="N23" s="131">
        <f t="shared" si="36"/>
        <v>560.30000000000007</v>
      </c>
      <c r="O23" s="131">
        <f t="shared" si="36"/>
        <v>556.70000000000005</v>
      </c>
      <c r="P23" s="131">
        <f t="shared" si="36"/>
        <v>540.9</v>
      </c>
      <c r="Q23" s="132">
        <f t="shared" si="36"/>
        <v>2177.7999999999997</v>
      </c>
      <c r="R23" s="131">
        <f t="shared" si="36"/>
        <v>543.4</v>
      </c>
      <c r="S23" s="131">
        <f t="shared" si="36"/>
        <v>563.29999999999995</v>
      </c>
      <c r="T23" s="131">
        <f t="shared" si="36"/>
        <v>559.9</v>
      </c>
      <c r="U23" s="247">
        <f t="shared" si="36"/>
        <v>550.1999999999997</v>
      </c>
      <c r="V23" s="132">
        <f t="shared" si="36"/>
        <v>2216.7999999999997</v>
      </c>
      <c r="W23" s="130">
        <f t="shared" si="36"/>
        <v>552</v>
      </c>
      <c r="X23" s="131">
        <f t="shared" si="36"/>
        <v>540</v>
      </c>
      <c r="Y23" s="131">
        <f t="shared" si="36"/>
        <v>562.6</v>
      </c>
      <c r="Z23" s="247">
        <f t="shared" si="36"/>
        <v>572.59999999999991</v>
      </c>
      <c r="AA23" s="132">
        <f t="shared" si="36"/>
        <v>2227.1999999999998</v>
      </c>
      <c r="AB23" s="130">
        <f t="shared" si="36"/>
        <v>574.29999999999995</v>
      </c>
      <c r="AC23" s="131">
        <f t="shared" si="36"/>
        <v>647.9</v>
      </c>
      <c r="AD23" s="131">
        <f t="shared" si="36"/>
        <v>724.3</v>
      </c>
      <c r="AE23" s="131">
        <f t="shared" si="36"/>
        <v>613.03117200000008</v>
      </c>
      <c r="AF23" s="132">
        <f t="shared" si="36"/>
        <v>2559.531172</v>
      </c>
      <c r="AG23" s="131">
        <f t="shared" si="36"/>
        <v>626.18676117249356</v>
      </c>
      <c r="AH23" s="131">
        <f t="shared" si="36"/>
        <v>693.10941843792671</v>
      </c>
      <c r="AI23" s="131">
        <f t="shared" si="36"/>
        <v>772.61449524827856</v>
      </c>
      <c r="AJ23" s="131">
        <f t="shared" si="36"/>
        <v>673.85475477900002</v>
      </c>
      <c r="AK23" s="132">
        <f t="shared" si="36"/>
        <v>2765.7654296376986</v>
      </c>
      <c r="AL23" s="131">
        <f t="shared" si="36"/>
        <v>705.85428917536467</v>
      </c>
      <c r="AM23" s="131">
        <f t="shared" si="36"/>
        <v>783.99158017067577</v>
      </c>
      <c r="AN23" s="131">
        <f t="shared" si="36"/>
        <v>879.49326483982873</v>
      </c>
      <c r="AO23" s="131">
        <f t="shared" si="36"/>
        <v>756.12340380019145</v>
      </c>
      <c r="AP23" s="132">
        <f t="shared" si="36"/>
        <v>3125.4625379860609</v>
      </c>
      <c r="AQ23" s="131">
        <f t="shared" si="36"/>
        <v>3364.7678643362578</v>
      </c>
      <c r="AR23" s="131">
        <f t="shared" si="36"/>
        <v>3616.3082119145615</v>
      </c>
      <c r="AS23" s="131">
        <f t="shared" si="36"/>
        <v>3808.6603686226836</v>
      </c>
      <c r="AT23" s="131">
        <f t="shared" si="36"/>
        <v>0</v>
      </c>
      <c r="AU23" s="132">
        <f t="shared" si="36"/>
        <v>3364.7678643362578</v>
      </c>
      <c r="AV23" s="131">
        <f t="shared" si="36"/>
        <v>0</v>
      </c>
      <c r="AW23" s="131">
        <f t="shared" si="36"/>
        <v>0</v>
      </c>
      <c r="AX23" s="131">
        <f t="shared" si="36"/>
        <v>0</v>
      </c>
      <c r="AY23" s="131">
        <f t="shared" si="36"/>
        <v>0</v>
      </c>
      <c r="AZ23" s="132">
        <f t="shared" si="36"/>
        <v>3616.3082119145615</v>
      </c>
      <c r="BA23" s="131">
        <f t="shared" si="36"/>
        <v>0</v>
      </c>
      <c r="BB23" s="131">
        <f t="shared" si="36"/>
        <v>0</v>
      </c>
      <c r="BC23" s="131">
        <f t="shared" si="36"/>
        <v>0</v>
      </c>
      <c r="BD23" s="131">
        <f t="shared" si="36"/>
        <v>0</v>
      </c>
      <c r="BE23" s="132">
        <f t="shared" si="36"/>
        <v>3808.6603686226836</v>
      </c>
      <c r="BF23" s="10"/>
      <c r="BG23" s="10"/>
      <c r="BH23" s="10"/>
      <c r="BI23" s="10"/>
      <c r="BJ23" s="10"/>
    </row>
    <row r="24" spans="1:62" ht="14" x14ac:dyDescent="0.15">
      <c r="A24" s="10"/>
      <c r="B24" s="246" t="s">
        <v>254</v>
      </c>
      <c r="C24" s="10"/>
      <c r="D24" s="10"/>
      <c r="E24" s="10"/>
      <c r="F24" s="10"/>
      <c r="G24" s="10"/>
      <c r="H24" s="10"/>
      <c r="I24" s="10"/>
      <c r="J24" s="10"/>
      <c r="K24" s="10"/>
      <c r="L24" s="55"/>
      <c r="M24" s="130">
        <f t="shared" ref="M24:P24" si="37">(M22/M23)*(365/4)</f>
        <v>492.00230813618003</v>
      </c>
      <c r="N24" s="131">
        <f t="shared" si="37"/>
        <v>454.67026592896661</v>
      </c>
      <c r="O24" s="131">
        <f t="shared" si="37"/>
        <v>465.72413328543206</v>
      </c>
      <c r="P24" s="131">
        <f t="shared" si="37"/>
        <v>464.76936587169536</v>
      </c>
      <c r="Q24" s="132">
        <f>(Q22/Q23)*365</f>
        <v>461.73891082744063</v>
      </c>
      <c r="R24" s="131">
        <f t="shared" ref="R24:U24" si="38">(R22/R23)*(365/4)</f>
        <v>352.1705925653294</v>
      </c>
      <c r="S24" s="131">
        <f t="shared" si="38"/>
        <v>395.61645659506479</v>
      </c>
      <c r="T24" s="131">
        <f t="shared" si="38"/>
        <v>398.24700839435616</v>
      </c>
      <c r="U24" s="247">
        <f t="shared" si="38"/>
        <v>485.63840421664878</v>
      </c>
      <c r="V24" s="132">
        <f>(V22/V23)*365</f>
        <v>482.13325514254785</v>
      </c>
      <c r="W24" s="130">
        <f t="shared" ref="W24:Z24" si="39">(W22/W23)*(365/4)</f>
        <v>436.41304347826087</v>
      </c>
      <c r="X24" s="131">
        <f t="shared" si="39"/>
        <v>568.79166666666663</v>
      </c>
      <c r="Y24" s="131">
        <f t="shared" si="39"/>
        <v>125.09976004265907</v>
      </c>
      <c r="Z24" s="247">
        <f t="shared" si="39"/>
        <v>125.86316800558855</v>
      </c>
      <c r="AA24" s="132">
        <f>(AA22/AA23)*365</f>
        <v>129.43471623563218</v>
      </c>
      <c r="AB24" s="130">
        <f t="shared" ref="AB24:AD24" si="40">(AB22/AB23)*(365/4)</f>
        <v>212.35525857565736</v>
      </c>
      <c r="AC24" s="131">
        <f t="shared" si="40"/>
        <v>371.25327982713378</v>
      </c>
      <c r="AD24" s="131">
        <f t="shared" si="40"/>
        <v>265.37208339086021</v>
      </c>
      <c r="AE24" s="260">
        <v>270</v>
      </c>
      <c r="AF24" s="132">
        <f>(AF22/AF23)*365</f>
        <v>258.66989744167108</v>
      </c>
      <c r="AG24" s="260">
        <v>325</v>
      </c>
      <c r="AH24" s="260">
        <v>325</v>
      </c>
      <c r="AI24" s="260">
        <v>350</v>
      </c>
      <c r="AJ24" s="260">
        <v>350</v>
      </c>
      <c r="AK24" s="132">
        <f>(AK22/AK23)*365</f>
        <v>341.09785543677873</v>
      </c>
      <c r="AL24" s="260">
        <v>375</v>
      </c>
      <c r="AM24" s="260">
        <v>375</v>
      </c>
      <c r="AN24" s="260">
        <v>375</v>
      </c>
      <c r="AO24" s="260">
        <v>375</v>
      </c>
      <c r="AP24" s="132">
        <f>(AP22/AP23)*365</f>
        <v>362.88552235571399</v>
      </c>
      <c r="AQ24" s="134"/>
      <c r="AR24" s="134"/>
      <c r="AS24" s="134"/>
      <c r="AT24" s="134"/>
      <c r="AU24" s="248">
        <v>425</v>
      </c>
      <c r="AV24" s="134"/>
      <c r="AW24" s="134"/>
      <c r="AX24" s="134"/>
      <c r="AY24" s="134"/>
      <c r="AZ24" s="250">
        <v>475</v>
      </c>
      <c r="BA24" s="134"/>
      <c r="BB24" s="134"/>
      <c r="BC24" s="134"/>
      <c r="BD24" s="134"/>
      <c r="BE24" s="250">
        <v>550</v>
      </c>
      <c r="BF24" s="10"/>
      <c r="BG24" s="10"/>
      <c r="BH24" s="10"/>
      <c r="BI24" s="10"/>
      <c r="BJ24" s="10"/>
    </row>
    <row r="25" spans="1:62" ht="14" x14ac:dyDescent="0.1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55"/>
      <c r="M25" s="166"/>
      <c r="N25" s="97"/>
      <c r="O25" s="97"/>
      <c r="P25" s="97"/>
      <c r="Q25" s="245"/>
      <c r="R25" s="97"/>
      <c r="S25" s="97"/>
      <c r="T25" s="97"/>
      <c r="U25" s="97"/>
      <c r="V25" s="245"/>
      <c r="W25" s="97"/>
      <c r="X25" s="97"/>
      <c r="Y25" s="97"/>
      <c r="Z25" s="97"/>
      <c r="AA25" s="245"/>
      <c r="AB25" s="97"/>
      <c r="AC25" s="97"/>
      <c r="AD25" s="97"/>
      <c r="AE25" s="97"/>
      <c r="AF25" s="245"/>
      <c r="AG25" s="55"/>
      <c r="AH25" s="55"/>
      <c r="AI25" s="55"/>
      <c r="AJ25" s="55"/>
      <c r="AK25" s="245"/>
      <c r="AL25" s="55"/>
      <c r="AM25" s="55"/>
      <c r="AN25" s="55"/>
      <c r="AO25" s="55"/>
      <c r="AP25" s="245"/>
      <c r="AQ25" s="55"/>
      <c r="AR25" s="55"/>
      <c r="AS25" s="55"/>
      <c r="AT25" s="55"/>
      <c r="AU25" s="245"/>
      <c r="AV25" s="55"/>
      <c r="AW25" s="55"/>
      <c r="AX25" s="55"/>
      <c r="AY25" s="55"/>
      <c r="AZ25" s="245"/>
      <c r="BA25" s="55"/>
      <c r="BB25" s="55"/>
      <c r="BC25" s="55"/>
      <c r="BD25" s="55"/>
      <c r="BE25" s="245"/>
      <c r="BF25" s="10"/>
      <c r="BG25" s="10"/>
      <c r="BH25" s="10"/>
      <c r="BI25" s="10"/>
      <c r="BJ25" s="10"/>
    </row>
    <row r="26" spans="1:62" ht="14" x14ac:dyDescent="0.15">
      <c r="A26" s="10"/>
      <c r="B26" s="10" t="s">
        <v>255</v>
      </c>
      <c r="C26" s="10"/>
      <c r="D26" s="10"/>
      <c r="E26" s="10"/>
      <c r="F26" s="10"/>
      <c r="G26" s="10"/>
      <c r="H26" s="10"/>
      <c r="I26" s="10"/>
      <c r="J26" s="10"/>
      <c r="K26" s="10"/>
      <c r="L26" s="55"/>
      <c r="M26" s="61">
        <f>'Balance Sheet'!M30</f>
        <v>335</v>
      </c>
      <c r="N26" s="60">
        <f>'Balance Sheet'!N30</f>
        <v>344.9</v>
      </c>
      <c r="O26" s="60">
        <f>'Balance Sheet'!O30</f>
        <v>354.2</v>
      </c>
      <c r="P26" s="59">
        <f>'Balance Sheet'!P30</f>
        <v>377.4</v>
      </c>
      <c r="Q26" s="63">
        <f>'Balance Sheet'!Q30</f>
        <v>377.4</v>
      </c>
      <c r="R26" s="60">
        <f>'Balance Sheet'!R30</f>
        <v>403.1</v>
      </c>
      <c r="S26" s="60">
        <f>'Balance Sheet'!S30</f>
        <v>413</v>
      </c>
      <c r="T26" s="60">
        <f>'Balance Sheet'!T30</f>
        <v>427.5</v>
      </c>
      <c r="U26" s="62">
        <f>'Balance Sheet'!U30</f>
        <v>455</v>
      </c>
      <c r="V26" s="63">
        <f>'Balance Sheet'!V30</f>
        <v>455</v>
      </c>
      <c r="W26" s="61">
        <f>'Balance Sheet'!W30</f>
        <v>483.9</v>
      </c>
      <c r="X26" s="60">
        <f>'Balance Sheet'!X30</f>
        <v>493.4</v>
      </c>
      <c r="Y26" s="60">
        <f>'Balance Sheet'!Y30</f>
        <v>512.6</v>
      </c>
      <c r="Z26" s="62">
        <f>'Balance Sheet'!Z30</f>
        <v>544.6</v>
      </c>
      <c r="AA26" s="63">
        <f>'Balance Sheet'!AA30</f>
        <v>544.6</v>
      </c>
      <c r="AB26" s="61">
        <f>'Balance Sheet'!AB30</f>
        <v>555.79999999999995</v>
      </c>
      <c r="AC26" s="60">
        <f>'Balance Sheet'!AC30</f>
        <v>582.70000000000005</v>
      </c>
      <c r="AD26" s="60">
        <f>'Balance Sheet'!AD30</f>
        <v>602.20000000000005</v>
      </c>
      <c r="AE26" s="240">
        <f>(AE27*AE28)/ (365/4)</f>
        <v>470.27048810958911</v>
      </c>
      <c r="AF26" s="241">
        <f>AE26</f>
        <v>470.27048810958911</v>
      </c>
      <c r="AG26" s="240">
        <f t="shared" ref="AG26:AJ26" si="41">(AG27*AG28)/ (365/4)</f>
        <v>514.6740502787618</v>
      </c>
      <c r="AH26" s="240">
        <f t="shared" si="41"/>
        <v>569.67897405856991</v>
      </c>
      <c r="AI26" s="240">
        <f t="shared" si="41"/>
        <v>635.0256125328317</v>
      </c>
      <c r="AJ26" s="240">
        <f t="shared" si="41"/>
        <v>553.85322310602737</v>
      </c>
      <c r="AK26" s="241">
        <f>AJ26</f>
        <v>553.85322310602737</v>
      </c>
      <c r="AL26" s="259">
        <f t="shared" ref="AL26:AO26" si="42">(AL27*AL28)/ (365/4)</f>
        <v>595.62498922195164</v>
      </c>
      <c r="AM26" s="240">
        <f t="shared" si="42"/>
        <v>661.56001833580308</v>
      </c>
      <c r="AN26" s="240">
        <f t="shared" si="42"/>
        <v>742.14774128949932</v>
      </c>
      <c r="AO26" s="240">
        <f t="shared" si="42"/>
        <v>638.0438585492027</v>
      </c>
      <c r="AP26" s="241">
        <f>AO26</f>
        <v>638.0438585492027</v>
      </c>
      <c r="AQ26" s="259" t="s">
        <v>145</v>
      </c>
      <c r="AR26" s="240" t="s">
        <v>145</v>
      </c>
      <c r="AS26" s="240" t="s">
        <v>145</v>
      </c>
      <c r="AT26" s="242" t="s">
        <v>145</v>
      </c>
      <c r="AU26" s="241">
        <f t="shared" ref="AU26:BE26" si="43">(AU27*AU28)/365</f>
        <v>719.04628333761138</v>
      </c>
      <c r="AV26" s="241">
        <f t="shared" si="43"/>
        <v>0</v>
      </c>
      <c r="AW26" s="241">
        <f t="shared" si="43"/>
        <v>0</v>
      </c>
      <c r="AX26" s="241">
        <f t="shared" si="43"/>
        <v>0</v>
      </c>
      <c r="AY26" s="241">
        <f t="shared" si="43"/>
        <v>0</v>
      </c>
      <c r="AZ26" s="241">
        <f t="shared" si="43"/>
        <v>792.61549850182166</v>
      </c>
      <c r="BA26" s="241">
        <f t="shared" si="43"/>
        <v>0</v>
      </c>
      <c r="BB26" s="241">
        <f t="shared" si="43"/>
        <v>0</v>
      </c>
      <c r="BC26" s="241">
        <f t="shared" si="43"/>
        <v>0</v>
      </c>
      <c r="BD26" s="241">
        <f t="shared" si="43"/>
        <v>0</v>
      </c>
      <c r="BE26" s="241">
        <f t="shared" si="43"/>
        <v>855.64424719742487</v>
      </c>
      <c r="BF26" s="10"/>
      <c r="BG26" s="10"/>
      <c r="BH26" s="10"/>
      <c r="BI26" s="10"/>
      <c r="BJ26" s="10"/>
    </row>
    <row r="27" spans="1:62" ht="14" x14ac:dyDescent="0.15">
      <c r="A27" s="10"/>
      <c r="B27" s="10" t="s">
        <v>75</v>
      </c>
      <c r="C27" s="10"/>
      <c r="D27" s="10"/>
      <c r="E27" s="10"/>
      <c r="F27" s="10"/>
      <c r="G27" s="10"/>
      <c r="H27" s="10"/>
      <c r="I27" s="10"/>
      <c r="J27" s="10"/>
      <c r="K27" s="10"/>
      <c r="L27" s="55"/>
      <c r="M27" s="130">
        <f t="shared" ref="M27:BE27" si="44">M23</f>
        <v>519.9</v>
      </c>
      <c r="N27" s="131">
        <f t="shared" si="44"/>
        <v>560.30000000000007</v>
      </c>
      <c r="O27" s="131">
        <f t="shared" si="44"/>
        <v>556.70000000000005</v>
      </c>
      <c r="P27" s="131">
        <f t="shared" si="44"/>
        <v>540.9</v>
      </c>
      <c r="Q27" s="132">
        <f t="shared" si="44"/>
        <v>2177.7999999999997</v>
      </c>
      <c r="R27" s="131">
        <f t="shared" si="44"/>
        <v>543.4</v>
      </c>
      <c r="S27" s="131">
        <f t="shared" si="44"/>
        <v>563.29999999999995</v>
      </c>
      <c r="T27" s="131">
        <f t="shared" si="44"/>
        <v>559.9</v>
      </c>
      <c r="U27" s="247">
        <f t="shared" si="44"/>
        <v>550.1999999999997</v>
      </c>
      <c r="V27" s="132">
        <f t="shared" si="44"/>
        <v>2216.7999999999997</v>
      </c>
      <c r="W27" s="130">
        <f t="shared" si="44"/>
        <v>552</v>
      </c>
      <c r="X27" s="131">
        <f t="shared" si="44"/>
        <v>540</v>
      </c>
      <c r="Y27" s="131">
        <f t="shared" si="44"/>
        <v>562.6</v>
      </c>
      <c r="Z27" s="247">
        <f t="shared" si="44"/>
        <v>572.59999999999991</v>
      </c>
      <c r="AA27" s="132">
        <f t="shared" si="44"/>
        <v>2227.1999999999998</v>
      </c>
      <c r="AB27" s="130">
        <f t="shared" si="44"/>
        <v>574.29999999999995</v>
      </c>
      <c r="AC27" s="131">
        <f t="shared" si="44"/>
        <v>647.9</v>
      </c>
      <c r="AD27" s="131">
        <f t="shared" si="44"/>
        <v>724.3</v>
      </c>
      <c r="AE27" s="131">
        <f t="shared" si="44"/>
        <v>613.03117200000008</v>
      </c>
      <c r="AF27" s="132">
        <f t="shared" si="44"/>
        <v>2559.531172</v>
      </c>
      <c r="AG27" s="131">
        <f t="shared" si="44"/>
        <v>626.18676117249356</v>
      </c>
      <c r="AH27" s="131">
        <f t="shared" si="44"/>
        <v>693.10941843792671</v>
      </c>
      <c r="AI27" s="131">
        <f t="shared" si="44"/>
        <v>772.61449524827856</v>
      </c>
      <c r="AJ27" s="131">
        <f t="shared" si="44"/>
        <v>673.85475477900002</v>
      </c>
      <c r="AK27" s="132">
        <f t="shared" si="44"/>
        <v>2765.7654296376986</v>
      </c>
      <c r="AL27" s="130">
        <f t="shared" si="44"/>
        <v>705.85428917536467</v>
      </c>
      <c r="AM27" s="131">
        <f t="shared" si="44"/>
        <v>783.99158017067577</v>
      </c>
      <c r="AN27" s="131">
        <f t="shared" si="44"/>
        <v>879.49326483982873</v>
      </c>
      <c r="AO27" s="131">
        <f t="shared" si="44"/>
        <v>756.12340380019145</v>
      </c>
      <c r="AP27" s="132">
        <f t="shared" si="44"/>
        <v>3125.4625379860609</v>
      </c>
      <c r="AQ27" s="130">
        <f t="shared" si="44"/>
        <v>3364.7678643362578</v>
      </c>
      <c r="AR27" s="131">
        <f t="shared" si="44"/>
        <v>3616.3082119145615</v>
      </c>
      <c r="AS27" s="131">
        <f t="shared" si="44"/>
        <v>3808.6603686226836</v>
      </c>
      <c r="AT27" s="247">
        <f t="shared" si="44"/>
        <v>0</v>
      </c>
      <c r="AU27" s="132">
        <f t="shared" si="44"/>
        <v>3364.7678643362578</v>
      </c>
      <c r="AV27" s="130">
        <f t="shared" si="44"/>
        <v>0</v>
      </c>
      <c r="AW27" s="131">
        <f t="shared" si="44"/>
        <v>0</v>
      </c>
      <c r="AX27" s="131">
        <f t="shared" si="44"/>
        <v>0</v>
      </c>
      <c r="AY27" s="247">
        <f t="shared" si="44"/>
        <v>0</v>
      </c>
      <c r="AZ27" s="132">
        <f t="shared" si="44"/>
        <v>3616.3082119145615</v>
      </c>
      <c r="BA27" s="130">
        <f t="shared" si="44"/>
        <v>0</v>
      </c>
      <c r="BB27" s="131">
        <f t="shared" si="44"/>
        <v>0</v>
      </c>
      <c r="BC27" s="131">
        <f t="shared" si="44"/>
        <v>0</v>
      </c>
      <c r="BD27" s="247">
        <f t="shared" si="44"/>
        <v>0</v>
      </c>
      <c r="BE27" s="132">
        <f t="shared" si="44"/>
        <v>3808.6603686226836</v>
      </c>
      <c r="BF27" s="10"/>
      <c r="BG27" s="10"/>
      <c r="BH27" s="10"/>
      <c r="BI27" s="10"/>
      <c r="BJ27" s="10"/>
    </row>
    <row r="28" spans="1:62" ht="14" x14ac:dyDescent="0.15">
      <c r="A28" s="10"/>
      <c r="B28" s="246" t="s">
        <v>254</v>
      </c>
      <c r="C28" s="10"/>
      <c r="D28" s="10"/>
      <c r="E28" s="10"/>
      <c r="F28" s="10"/>
      <c r="G28" s="10"/>
      <c r="H28" s="10"/>
      <c r="I28" s="10"/>
      <c r="J28" s="10"/>
      <c r="K28" s="10"/>
      <c r="L28" s="55"/>
      <c r="M28" s="130">
        <f t="shared" ref="M28:P28" si="45">(M26/M27)*(365/4)</f>
        <v>58.797364877861128</v>
      </c>
      <c r="N28" s="131">
        <f t="shared" si="45"/>
        <v>56.170132072104224</v>
      </c>
      <c r="O28" s="131">
        <f t="shared" si="45"/>
        <v>58.057751032872282</v>
      </c>
      <c r="P28" s="131">
        <f t="shared" si="45"/>
        <v>63.667498613422069</v>
      </c>
      <c r="Q28" s="132">
        <f>(Q26/Q27)*365</f>
        <v>63.252364771788052</v>
      </c>
      <c r="R28" s="131">
        <f t="shared" ref="R28:U28" si="46">(R26/R27)*(365/4)</f>
        <v>67.690237394184777</v>
      </c>
      <c r="S28" s="131">
        <f t="shared" si="46"/>
        <v>66.902627374400865</v>
      </c>
      <c r="T28" s="131">
        <f t="shared" si="46"/>
        <v>69.672039649937489</v>
      </c>
      <c r="U28" s="247">
        <f t="shared" si="46"/>
        <v>75.461195928753227</v>
      </c>
      <c r="V28" s="132">
        <f>(V26/V27)*365</f>
        <v>74.916546373150496</v>
      </c>
      <c r="W28" s="130">
        <f t="shared" ref="W28:Z28" si="47">(W26/W27)*(365/4)</f>
        <v>79.992527173913032</v>
      </c>
      <c r="X28" s="131">
        <f t="shared" si="47"/>
        <v>83.375462962962956</v>
      </c>
      <c r="Y28" s="131">
        <f t="shared" si="47"/>
        <v>83.140330607891926</v>
      </c>
      <c r="Z28" s="247">
        <f t="shared" si="47"/>
        <v>86.787897310513472</v>
      </c>
      <c r="AA28" s="132">
        <f>(AA26/AA27)*365</f>
        <v>89.25062859195404</v>
      </c>
      <c r="AB28" s="130">
        <f t="shared" ref="AB28:AD28" si="48">(AB26/AB27)*(365/4)</f>
        <v>88.310551976319005</v>
      </c>
      <c r="AC28" s="131">
        <f t="shared" si="48"/>
        <v>82.067255749344042</v>
      </c>
      <c r="AD28" s="131">
        <f t="shared" si="48"/>
        <v>75.867389203368788</v>
      </c>
      <c r="AE28" s="260">
        <v>70</v>
      </c>
      <c r="AF28" s="132">
        <f>(AF26/AF27)*365</f>
        <v>67.062566003396199</v>
      </c>
      <c r="AG28" s="134">
        <v>75</v>
      </c>
      <c r="AH28" s="134">
        <v>75</v>
      </c>
      <c r="AI28" s="134">
        <v>75</v>
      </c>
      <c r="AJ28" s="134">
        <v>75</v>
      </c>
      <c r="AK28" s="132">
        <f>(AK26/AK27)*365</f>
        <v>73.09239759359545</v>
      </c>
      <c r="AL28" s="134">
        <v>77</v>
      </c>
      <c r="AM28" s="134">
        <v>77</v>
      </c>
      <c r="AN28" s="134">
        <v>77</v>
      </c>
      <c r="AO28" s="134">
        <v>77</v>
      </c>
      <c r="AP28" s="132">
        <f>(AP26/AP27)*365</f>
        <v>74.512493923706614</v>
      </c>
      <c r="AQ28" s="130"/>
      <c r="AR28" s="131"/>
      <c r="AS28" s="131"/>
      <c r="AT28" s="247"/>
      <c r="AU28" s="248">
        <v>78</v>
      </c>
      <c r="AV28" s="134"/>
      <c r="AW28" s="134"/>
      <c r="AX28" s="134"/>
      <c r="AY28" s="134"/>
      <c r="AZ28" s="250">
        <v>80</v>
      </c>
      <c r="BA28" s="134"/>
      <c r="BB28" s="134"/>
      <c r="BC28" s="134"/>
      <c r="BD28" s="134"/>
      <c r="BE28" s="250">
        <v>82</v>
      </c>
      <c r="BF28" s="10"/>
      <c r="BG28" s="10"/>
      <c r="BH28" s="10"/>
      <c r="BI28" s="10"/>
      <c r="BJ28" s="10"/>
    </row>
    <row r="29" spans="1:62" ht="14" x14ac:dyDescent="0.15">
      <c r="A29" s="10"/>
      <c r="B29" s="246"/>
      <c r="C29" s="10"/>
      <c r="D29" s="10"/>
      <c r="E29" s="10"/>
      <c r="F29" s="10"/>
      <c r="G29" s="10"/>
      <c r="H29" s="10"/>
      <c r="I29" s="10"/>
      <c r="J29" s="10"/>
      <c r="K29" s="10"/>
      <c r="L29" s="55"/>
      <c r="M29" s="54"/>
      <c r="N29" s="55"/>
      <c r="O29" s="55"/>
      <c r="P29" s="55"/>
      <c r="Q29" s="57"/>
      <c r="R29" s="55"/>
      <c r="S29" s="55"/>
      <c r="T29" s="55"/>
      <c r="U29" s="55"/>
      <c r="V29" s="57"/>
      <c r="W29" s="55"/>
      <c r="X29" s="55"/>
      <c r="Y29" s="55"/>
      <c r="Z29" s="55"/>
      <c r="AA29" s="57"/>
      <c r="AB29" s="55"/>
      <c r="AC29" s="55"/>
      <c r="AD29" s="55"/>
      <c r="AE29" s="55"/>
      <c r="AF29" s="57"/>
      <c r="AG29" s="55"/>
      <c r="AH29" s="55"/>
      <c r="AI29" s="55"/>
      <c r="AJ29" s="55"/>
      <c r="AK29" s="57"/>
      <c r="AL29" s="55"/>
      <c r="AM29" s="55"/>
      <c r="AN29" s="55"/>
      <c r="AO29" s="55"/>
      <c r="AP29" s="57"/>
      <c r="AQ29" s="55"/>
      <c r="AR29" s="55"/>
      <c r="AS29" s="55"/>
      <c r="AT29" s="55"/>
      <c r="AU29" s="57"/>
      <c r="AV29" s="55"/>
      <c r="AW29" s="55"/>
      <c r="AX29" s="55"/>
      <c r="AY29" s="55"/>
      <c r="AZ29" s="57"/>
      <c r="BA29" s="55"/>
      <c r="BB29" s="55"/>
      <c r="BC29" s="55"/>
      <c r="BD29" s="55"/>
      <c r="BE29" s="57"/>
      <c r="BF29" s="10"/>
      <c r="BG29" s="10"/>
      <c r="BH29" s="10"/>
      <c r="BI29" s="10"/>
      <c r="BJ29" s="10"/>
    </row>
    <row r="30" spans="1:62" ht="14" x14ac:dyDescent="0.15">
      <c r="A30" s="10"/>
      <c r="B30" s="10" t="s">
        <v>256</v>
      </c>
      <c r="C30" s="10"/>
      <c r="D30" s="10"/>
      <c r="E30" s="10"/>
      <c r="F30" s="10"/>
      <c r="G30" s="10"/>
      <c r="H30" s="10"/>
      <c r="I30" s="10"/>
      <c r="J30" s="10"/>
      <c r="K30" s="10"/>
      <c r="L30" s="55"/>
      <c r="M30" s="61">
        <f>'Balance Sheet'!M29</f>
        <v>825.4</v>
      </c>
      <c r="N30" s="60">
        <f>'Balance Sheet'!N29</f>
        <v>782.5</v>
      </c>
      <c r="O30" s="60">
        <f>'Balance Sheet'!O29</f>
        <v>863.1</v>
      </c>
      <c r="P30" s="60">
        <f>Q30</f>
        <v>948.3</v>
      </c>
      <c r="Q30" s="63">
        <f>'Balance Sheet'!Q29</f>
        <v>948.3</v>
      </c>
      <c r="R30" s="60">
        <f>'Balance Sheet'!R29</f>
        <v>863.7</v>
      </c>
      <c r="S30" s="60">
        <f>'Balance Sheet'!S29</f>
        <v>835.6</v>
      </c>
      <c r="T30" s="60">
        <f>'Balance Sheet'!T29</f>
        <v>856.7</v>
      </c>
      <c r="U30" s="62">
        <f>V30</f>
        <v>958.2</v>
      </c>
      <c r="V30" s="63">
        <f>'Balance Sheet'!V29</f>
        <v>958.2</v>
      </c>
      <c r="W30" s="61">
        <f>'Balance Sheet'!W29</f>
        <v>876.4</v>
      </c>
      <c r="X30" s="60">
        <f>'Balance Sheet'!X29</f>
        <v>879.2</v>
      </c>
      <c r="Y30" s="60">
        <f>'Balance Sheet'!Y29</f>
        <v>914.1</v>
      </c>
      <c r="Z30" s="62">
        <f>AA30</f>
        <v>1043.7</v>
      </c>
      <c r="AA30" s="63">
        <f>'Balance Sheet'!AA29</f>
        <v>1043.7</v>
      </c>
      <c r="AB30" s="61">
        <f>'Balance Sheet'!AB29</f>
        <v>944.8</v>
      </c>
      <c r="AC30" s="60">
        <f>'Balance Sheet'!AC29</f>
        <v>1044.5999999999999</v>
      </c>
      <c r="AD30" s="60">
        <f>'Balance Sheet'!AD29</f>
        <v>1165.4000000000001</v>
      </c>
      <c r="AE30" s="240">
        <f>(AE31*AE32)*4</f>
        <v>995.93987328000003</v>
      </c>
      <c r="AF30" s="241">
        <f>AE30</f>
        <v>995.93987328000003</v>
      </c>
      <c r="AG30" s="240">
        <f t="shared" ref="AG30:AJ30" si="49">(AG31*AG32)*4</f>
        <v>1101.606339700412</v>
      </c>
      <c r="AH30" s="240">
        <f t="shared" si="49"/>
        <v>1247.7087242907232</v>
      </c>
      <c r="AI30" s="240">
        <f t="shared" si="49"/>
        <v>1243.4418122741608</v>
      </c>
      <c r="AJ30" s="240">
        <f t="shared" si="49"/>
        <v>1236.7216675944001</v>
      </c>
      <c r="AK30" s="241">
        <f>AJ30</f>
        <v>1236.7216675944001</v>
      </c>
      <c r="AL30" s="240">
        <f t="shared" ref="AL30:AO30" si="50">(AL31*AL32)*4</f>
        <v>1285.8721242718061</v>
      </c>
      <c r="AM30" s="240">
        <f t="shared" si="50"/>
        <v>1459.5413270604981</v>
      </c>
      <c r="AN30" s="240">
        <f t="shared" si="50"/>
        <v>1464.0474682262911</v>
      </c>
      <c r="AO30" s="240">
        <f t="shared" si="50"/>
        <v>1436.4537205899735</v>
      </c>
      <c r="AP30" s="241">
        <f>AO30</f>
        <v>1436.4537205899735</v>
      </c>
      <c r="AQ30" s="240"/>
      <c r="AR30" s="240"/>
      <c r="AS30" s="240"/>
      <c r="AT30" s="240"/>
      <c r="AU30" s="241">
        <f>AU31*AU32</f>
        <v>1695.3253470309608</v>
      </c>
      <c r="AV30" s="259"/>
      <c r="AW30" s="240"/>
      <c r="AX30" s="240"/>
      <c r="AY30" s="240"/>
      <c r="AZ30" s="241">
        <f>AZ31*AZ32</f>
        <v>1787.6844368332363</v>
      </c>
      <c r="BA30" s="259"/>
      <c r="BB30" s="240"/>
      <c r="BC30" s="240"/>
      <c r="BD30" s="240"/>
      <c r="BE30" s="241">
        <f>BE31*BE32</f>
        <v>1946.6486328515937</v>
      </c>
      <c r="BF30" s="10"/>
      <c r="BG30" s="10"/>
      <c r="BH30" s="10"/>
      <c r="BI30" s="10"/>
      <c r="BJ30" s="10"/>
    </row>
    <row r="31" spans="1:62" ht="14" x14ac:dyDescent="0.15">
      <c r="A31" s="10"/>
      <c r="B31" s="10" t="s">
        <v>139</v>
      </c>
      <c r="C31" s="10"/>
      <c r="D31" s="10"/>
      <c r="E31" s="10"/>
      <c r="F31" s="10"/>
      <c r="G31" s="10"/>
      <c r="H31" s="10"/>
      <c r="I31" s="10"/>
      <c r="J31" s="10"/>
      <c r="K31" s="10"/>
      <c r="L31" s="55"/>
      <c r="M31" s="130">
        <f>'Income Statement'!M17</f>
        <v>204.9</v>
      </c>
      <c r="N31" s="131">
        <f>'Income Statement'!N17</f>
        <v>157.9</v>
      </c>
      <c r="O31" s="131">
        <f>'Income Statement'!O17</f>
        <v>177.9</v>
      </c>
      <c r="P31" s="131">
        <f>'Income Statement'!P17</f>
        <v>192.5</v>
      </c>
      <c r="Q31" s="132">
        <f>'Income Statement'!Q17</f>
        <v>733.2</v>
      </c>
      <c r="R31" s="131">
        <f>'Income Statement'!R17</f>
        <v>198.1</v>
      </c>
      <c r="S31" s="131">
        <f>'Income Statement'!S17</f>
        <v>164.8</v>
      </c>
      <c r="T31" s="131">
        <f>'Income Statement'!T17</f>
        <v>187.9</v>
      </c>
      <c r="U31" s="247">
        <f>'Income Statement'!U17</f>
        <v>179.60000000000002</v>
      </c>
      <c r="V31" s="132">
        <f>'Income Statement'!V17</f>
        <v>730.4</v>
      </c>
      <c r="W31" s="130">
        <f>'Income Statement'!W17</f>
        <v>217.8</v>
      </c>
      <c r="X31" s="131">
        <f>'Income Statement'!X17</f>
        <v>188.6</v>
      </c>
      <c r="Y31" s="131">
        <f>'Income Statement'!Y17</f>
        <v>176</v>
      </c>
      <c r="Z31" s="247">
        <f>'Income Statement'!Z17</f>
        <v>196.30000000000007</v>
      </c>
      <c r="AA31" s="132">
        <f>'Income Statement'!AA17</f>
        <v>778.7</v>
      </c>
      <c r="AB31" s="130">
        <f>'Income Statement'!AB17</f>
        <v>182.6</v>
      </c>
      <c r="AC31" s="131">
        <f>'Income Statement'!AC17</f>
        <v>207.2</v>
      </c>
      <c r="AD31" s="131">
        <f>'Income Statement'!AD17</f>
        <v>205.9</v>
      </c>
      <c r="AE31" s="131">
        <f>'Income Statement'!AE17</f>
        <v>207.48747360000002</v>
      </c>
      <c r="AF31" s="132">
        <f>'Income Statement'!AF17</f>
        <v>803.18747359999998</v>
      </c>
      <c r="AG31" s="131">
        <f>'Income Statement'!AG17</f>
        <v>211.84737301931</v>
      </c>
      <c r="AH31" s="131">
        <f>'Income Statement'!AH17</f>
        <v>239.9439854405237</v>
      </c>
      <c r="AI31" s="131">
        <f>'Income Statement'!AI17</f>
        <v>239.1234254373386</v>
      </c>
      <c r="AJ31" s="131">
        <f>'Income Statement'!AJ17</f>
        <v>237.83108992200002</v>
      </c>
      <c r="AK31" s="132">
        <f>'Income Statement'!AK17</f>
        <v>928.7458738191724</v>
      </c>
      <c r="AL31" s="131">
        <f>'Income Statement'!AL17</f>
        <v>245.39544356332175</v>
      </c>
      <c r="AM31" s="131">
        <f>'Income Statement'!AM17</f>
        <v>278.53842119475155</v>
      </c>
      <c r="AN31" s="131">
        <f>'Income Statement'!AN17</f>
        <v>279.39837179891049</v>
      </c>
      <c r="AO31" s="131">
        <f>'Income Statement'!AO17</f>
        <v>274.13238942556745</v>
      </c>
      <c r="AP31" s="132">
        <f>'Income Statement'!AP17</f>
        <v>1077.4646259825513</v>
      </c>
      <c r="AQ31" s="131">
        <f>'Income Statement'!AQ17</f>
        <v>1294.1414862831762</v>
      </c>
      <c r="AR31" s="131">
        <f>'Income Statement'!AR17</f>
        <v>1364.6446082696459</v>
      </c>
      <c r="AS31" s="131">
        <f>'Income Statement'!AS17</f>
        <v>1410.6149513417347</v>
      </c>
      <c r="AT31" s="131">
        <f>'Income Statement'!AT17</f>
        <v>0</v>
      </c>
      <c r="AU31" s="132">
        <f>'Income Statement'!AQ17</f>
        <v>1294.1414862831762</v>
      </c>
      <c r="AV31" s="131">
        <f>'Income Statement'!AV17</f>
        <v>0</v>
      </c>
      <c r="AW31" s="131">
        <f>'Income Statement'!AW17</f>
        <v>0</v>
      </c>
      <c r="AX31" s="131">
        <f>'Income Statement'!AX17</f>
        <v>0</v>
      </c>
      <c r="AY31" s="131">
        <f>'Income Statement'!AY17</f>
        <v>0</v>
      </c>
      <c r="AZ31" s="132">
        <f>'Income Statement'!AR17</f>
        <v>1364.6446082696459</v>
      </c>
      <c r="BA31" s="131">
        <f>'Income Statement'!BA17</f>
        <v>0</v>
      </c>
      <c r="BB31" s="131">
        <f>'Income Statement'!BB17</f>
        <v>0</v>
      </c>
      <c r="BC31" s="131">
        <f>'Income Statement'!BC17</f>
        <v>0</v>
      </c>
      <c r="BD31" s="131">
        <f>'Income Statement'!BD17</f>
        <v>0</v>
      </c>
      <c r="BE31" s="132">
        <f>'Income Statement'!AS17</f>
        <v>1410.6149513417347</v>
      </c>
      <c r="BF31" s="10"/>
      <c r="BG31" s="10"/>
      <c r="BH31" s="10"/>
      <c r="BI31" s="10"/>
      <c r="BJ31" s="10"/>
    </row>
    <row r="32" spans="1:62" ht="14" x14ac:dyDescent="0.15">
      <c r="A32" s="10"/>
      <c r="B32" s="246" t="s">
        <v>248</v>
      </c>
      <c r="C32" s="10"/>
      <c r="D32" s="10"/>
      <c r="E32" s="10"/>
      <c r="F32" s="10"/>
      <c r="G32" s="10"/>
      <c r="H32" s="10"/>
      <c r="I32" s="10"/>
      <c r="J32" s="10"/>
      <c r="K32" s="10"/>
      <c r="L32" s="55"/>
      <c r="M32" s="251">
        <f t="shared" ref="M32:P32" si="51">(M30/M31)/4</f>
        <v>1.0070766227428014</v>
      </c>
      <c r="N32" s="174">
        <f t="shared" si="51"/>
        <v>1.2389170360987967</v>
      </c>
      <c r="O32" s="174">
        <f t="shared" si="51"/>
        <v>1.2129005059021922</v>
      </c>
      <c r="P32" s="174">
        <f t="shared" si="51"/>
        <v>1.2315584415584415</v>
      </c>
      <c r="Q32" s="253">
        <f>Q30/Q31</f>
        <v>1.2933715220949262</v>
      </c>
      <c r="R32" s="174">
        <f t="shared" ref="R32:U32" si="52">(R30/R31)/4</f>
        <v>1.0899798081776881</v>
      </c>
      <c r="S32" s="174">
        <f t="shared" si="52"/>
        <v>1.2675970873786406</v>
      </c>
      <c r="T32" s="174">
        <f t="shared" si="52"/>
        <v>1.1398350186269293</v>
      </c>
      <c r="U32" s="252">
        <f t="shared" si="52"/>
        <v>1.3337973273942092</v>
      </c>
      <c r="V32" s="253">
        <f>V30/V31</f>
        <v>1.3118838992332968</v>
      </c>
      <c r="W32" s="251">
        <f t="shared" ref="W32:Z32" si="53">(W30/W31)/4</f>
        <v>1.0059687786960514</v>
      </c>
      <c r="X32" s="174">
        <f t="shared" si="53"/>
        <v>1.1654294803817604</v>
      </c>
      <c r="Y32" s="174">
        <f t="shared" si="53"/>
        <v>1.2984375000000001</v>
      </c>
      <c r="Z32" s="252">
        <f t="shared" si="53"/>
        <v>1.3292154865002543</v>
      </c>
      <c r="AA32" s="253">
        <f>AA30/AA31</f>
        <v>1.3403107743675355</v>
      </c>
      <c r="AB32" s="251">
        <f t="shared" ref="AB32:AD32" si="54">(AB30/AB31)/4</f>
        <v>1.2935377875136911</v>
      </c>
      <c r="AC32" s="174">
        <f t="shared" si="54"/>
        <v>1.2603764478764479</v>
      </c>
      <c r="AD32" s="174">
        <f t="shared" si="54"/>
        <v>1.4150072850898494</v>
      </c>
      <c r="AE32" s="261">
        <v>1.2</v>
      </c>
      <c r="AF32" s="253">
        <f>AF30/AF31</f>
        <v>1.2399843199945044</v>
      </c>
      <c r="AG32" s="156">
        <v>1.3</v>
      </c>
      <c r="AH32" s="156">
        <v>1.3</v>
      </c>
      <c r="AI32" s="156">
        <v>1.3</v>
      </c>
      <c r="AJ32" s="156">
        <v>1.3</v>
      </c>
      <c r="AK32" s="253">
        <f>AK30/AK31</f>
        <v>1.3316039429696469</v>
      </c>
      <c r="AL32" s="156">
        <v>1.31</v>
      </c>
      <c r="AM32" s="156">
        <v>1.31</v>
      </c>
      <c r="AN32" s="156">
        <v>1.31</v>
      </c>
      <c r="AO32" s="156">
        <v>1.31</v>
      </c>
      <c r="AP32" s="253">
        <f>AP30/AP31</f>
        <v>1.3331794714652987</v>
      </c>
      <c r="AQ32" s="156"/>
      <c r="AR32" s="156"/>
      <c r="AS32" s="156"/>
      <c r="AT32" s="156"/>
      <c r="AU32" s="254">
        <v>1.31</v>
      </c>
      <c r="AV32" s="156"/>
      <c r="AW32" s="156"/>
      <c r="AX32" s="156"/>
      <c r="AY32" s="156"/>
      <c r="AZ32" s="262">
        <v>1.31</v>
      </c>
      <c r="BA32" s="156"/>
      <c r="BB32" s="156"/>
      <c r="BC32" s="156"/>
      <c r="BD32" s="156"/>
      <c r="BE32" s="262">
        <v>1.38</v>
      </c>
      <c r="BF32" s="10"/>
      <c r="BG32" s="10"/>
      <c r="BH32" s="10"/>
      <c r="BI32" s="10"/>
      <c r="BJ32" s="10"/>
    </row>
    <row r="33" spans="1:62" ht="14" x14ac:dyDescent="0.15">
      <c r="A33" s="10"/>
      <c r="B33" s="58"/>
      <c r="C33" s="10"/>
      <c r="D33" s="10"/>
      <c r="E33" s="10"/>
      <c r="F33" s="10"/>
      <c r="G33" s="10"/>
      <c r="H33" s="10"/>
      <c r="I33" s="10"/>
      <c r="J33" s="10"/>
      <c r="K33" s="10"/>
      <c r="L33" s="55"/>
      <c r="M33" s="54"/>
      <c r="N33" s="55"/>
      <c r="O33" s="55"/>
      <c r="P33" s="55"/>
      <c r="Q33" s="57"/>
      <c r="R33" s="55"/>
      <c r="S33" s="55"/>
      <c r="T33" s="55"/>
      <c r="U33" s="55"/>
      <c r="V33" s="57"/>
      <c r="W33" s="55"/>
      <c r="X33" s="55"/>
      <c r="Y33" s="55"/>
      <c r="Z33" s="55"/>
      <c r="AA33" s="57"/>
      <c r="AB33" s="55"/>
      <c r="AC33" s="55"/>
      <c r="AD33" s="55"/>
      <c r="AE33" s="55"/>
      <c r="AF33" s="57"/>
      <c r="AG33" s="55"/>
      <c r="AH33" s="55"/>
      <c r="AI33" s="55"/>
      <c r="AJ33" s="55"/>
      <c r="AK33" s="57"/>
      <c r="AL33" s="55"/>
      <c r="AM33" s="55"/>
      <c r="AN33" s="55"/>
      <c r="AO33" s="55"/>
      <c r="AP33" s="57"/>
      <c r="AQ33" s="55"/>
      <c r="AR33" s="55"/>
      <c r="AS33" s="55"/>
      <c r="AT33" s="55"/>
      <c r="AU33" s="57"/>
      <c r="AV33" s="55"/>
      <c r="AW33" s="55"/>
      <c r="AX33" s="55"/>
      <c r="AY33" s="55"/>
      <c r="AZ33" s="57"/>
      <c r="BA33" s="55"/>
      <c r="BB33" s="55"/>
      <c r="BC33" s="55"/>
      <c r="BD33" s="55"/>
      <c r="BE33" s="57"/>
      <c r="BF33" s="10"/>
      <c r="BG33" s="10"/>
      <c r="BH33" s="10"/>
      <c r="BI33" s="10"/>
      <c r="BJ33" s="10"/>
    </row>
    <row r="34" spans="1:62" ht="14" x14ac:dyDescent="0.15">
      <c r="A34" s="10"/>
      <c r="B34" s="10" t="s">
        <v>257</v>
      </c>
      <c r="C34" s="10"/>
      <c r="D34" s="10"/>
      <c r="E34" s="10"/>
      <c r="F34" s="10"/>
      <c r="G34" s="10"/>
      <c r="H34" s="10"/>
      <c r="I34" s="10"/>
      <c r="J34" s="10"/>
      <c r="K34" s="10"/>
      <c r="L34" s="55"/>
      <c r="M34" s="61">
        <f>'Balance Sheet'!M31</f>
        <v>131</v>
      </c>
      <c r="N34" s="60">
        <f>'Balance Sheet'!N31</f>
        <v>178.1</v>
      </c>
      <c r="O34" s="60">
        <f>'Balance Sheet'!O31</f>
        <v>121.6</v>
      </c>
      <c r="P34" s="59">
        <f>'Balance Sheet'!P31</f>
        <v>174.7</v>
      </c>
      <c r="Q34" s="63">
        <f>'Balance Sheet'!Q31</f>
        <v>174.7</v>
      </c>
      <c r="R34" s="60">
        <f>'Balance Sheet'!R31</f>
        <v>126.5</v>
      </c>
      <c r="S34" s="60">
        <f>'Balance Sheet'!S31</f>
        <v>154.19999999999999</v>
      </c>
      <c r="T34" s="60">
        <f>'Balance Sheet'!T31</f>
        <v>145.4</v>
      </c>
      <c r="U34" s="62">
        <f>'Balance Sheet'!U31</f>
        <v>209.4</v>
      </c>
      <c r="V34" s="63">
        <f>'Balance Sheet'!V31</f>
        <v>209.4</v>
      </c>
      <c r="W34" s="61">
        <f>'Balance Sheet'!W31</f>
        <v>148.19999999999999</v>
      </c>
      <c r="X34" s="60">
        <f>'Balance Sheet'!X31</f>
        <v>203.6</v>
      </c>
      <c r="Y34" s="60">
        <f>'Balance Sheet'!Y31</f>
        <v>139.4</v>
      </c>
      <c r="Z34" s="62">
        <f>'Balance Sheet'!Z31</f>
        <v>207.8</v>
      </c>
      <c r="AA34" s="63">
        <f>'Balance Sheet'!AA31</f>
        <v>207.8</v>
      </c>
      <c r="AB34" s="61">
        <f>'Balance Sheet'!AB31</f>
        <v>167.1</v>
      </c>
      <c r="AC34" s="60">
        <f>'Balance Sheet'!AC31</f>
        <v>221.8</v>
      </c>
      <c r="AD34" s="60">
        <f>'Balance Sheet'!AD31</f>
        <v>250.2</v>
      </c>
      <c r="AE34" s="240">
        <f>(AE35*AE36)*4</f>
        <v>182.58897676800001</v>
      </c>
      <c r="AF34" s="241">
        <f>AE34</f>
        <v>182.58897676800001</v>
      </c>
      <c r="AG34" s="240">
        <f t="shared" ref="AG34:AJ34" si="55">(AG35*AG36)*4</f>
        <v>211.84737301931</v>
      </c>
      <c r="AH34" s="240">
        <f t="shared" si="55"/>
        <v>239.9439854405237</v>
      </c>
      <c r="AI34" s="240">
        <f t="shared" si="55"/>
        <v>239.1234254373386</v>
      </c>
      <c r="AJ34" s="240">
        <f t="shared" si="55"/>
        <v>237.83108992200002</v>
      </c>
      <c r="AK34" s="241">
        <f>AJ34</f>
        <v>237.83108992200002</v>
      </c>
      <c r="AL34" s="240">
        <f t="shared" ref="AL34:AO34" si="56">(AL35*AL36)*4</f>
        <v>255.21126130585463</v>
      </c>
      <c r="AM34" s="240">
        <f t="shared" si="56"/>
        <v>289.67995804254161</v>
      </c>
      <c r="AN34" s="240">
        <f t="shared" si="56"/>
        <v>290.57430667086692</v>
      </c>
      <c r="AO34" s="240">
        <f t="shared" si="56"/>
        <v>285.09768500259014</v>
      </c>
      <c r="AP34" s="241">
        <f>AO34</f>
        <v>285.09768500259014</v>
      </c>
      <c r="AQ34" s="259" t="s">
        <v>145</v>
      </c>
      <c r="AR34" s="240" t="s">
        <v>145</v>
      </c>
      <c r="AS34" s="240" t="s">
        <v>145</v>
      </c>
      <c r="AT34" s="242" t="s">
        <v>145</v>
      </c>
      <c r="AU34" s="241">
        <f>AU35*AU36</f>
        <v>258.82829725663527</v>
      </c>
      <c r="AV34" s="259"/>
      <c r="AW34" s="240"/>
      <c r="AX34" s="240"/>
      <c r="AY34" s="240"/>
      <c r="AZ34" s="241">
        <f>AZ35*AZ36</f>
        <v>272.92892165392919</v>
      </c>
      <c r="BA34" s="259"/>
      <c r="BB34" s="240"/>
      <c r="BC34" s="240"/>
      <c r="BD34" s="240"/>
      <c r="BE34" s="241">
        <f>BE35*BE36</f>
        <v>310.33528929518161</v>
      </c>
      <c r="BF34" s="10"/>
      <c r="BG34" s="10"/>
      <c r="BH34" s="10"/>
      <c r="BI34" s="10"/>
      <c r="BJ34" s="10"/>
    </row>
    <row r="35" spans="1:62" ht="14" x14ac:dyDescent="0.15">
      <c r="A35" s="10"/>
      <c r="B35" s="10" t="s">
        <v>139</v>
      </c>
      <c r="C35" s="10"/>
      <c r="D35" s="10"/>
      <c r="E35" s="10"/>
      <c r="F35" s="10"/>
      <c r="G35" s="10"/>
      <c r="H35" s="10"/>
      <c r="I35" s="10"/>
      <c r="J35" s="10"/>
      <c r="K35" s="10"/>
      <c r="L35" s="55"/>
      <c r="M35" s="130">
        <f t="shared" ref="M35:BE35" si="57">M31</f>
        <v>204.9</v>
      </c>
      <c r="N35" s="131">
        <f t="shared" si="57"/>
        <v>157.9</v>
      </c>
      <c r="O35" s="131">
        <f t="shared" si="57"/>
        <v>177.9</v>
      </c>
      <c r="P35" s="131">
        <f t="shared" si="57"/>
        <v>192.5</v>
      </c>
      <c r="Q35" s="132">
        <f t="shared" si="57"/>
        <v>733.2</v>
      </c>
      <c r="R35" s="131">
        <f t="shared" si="57"/>
        <v>198.1</v>
      </c>
      <c r="S35" s="131">
        <f t="shared" si="57"/>
        <v>164.8</v>
      </c>
      <c r="T35" s="131">
        <f t="shared" si="57"/>
        <v>187.9</v>
      </c>
      <c r="U35" s="247">
        <f t="shared" si="57"/>
        <v>179.60000000000002</v>
      </c>
      <c r="V35" s="132">
        <f t="shared" si="57"/>
        <v>730.4</v>
      </c>
      <c r="W35" s="130">
        <f t="shared" si="57"/>
        <v>217.8</v>
      </c>
      <c r="X35" s="131">
        <f t="shared" si="57"/>
        <v>188.6</v>
      </c>
      <c r="Y35" s="131">
        <f t="shared" si="57"/>
        <v>176</v>
      </c>
      <c r="Z35" s="247">
        <f t="shared" si="57"/>
        <v>196.30000000000007</v>
      </c>
      <c r="AA35" s="132">
        <f t="shared" si="57"/>
        <v>778.7</v>
      </c>
      <c r="AB35" s="130">
        <f t="shared" si="57"/>
        <v>182.6</v>
      </c>
      <c r="AC35" s="131">
        <f t="shared" si="57"/>
        <v>207.2</v>
      </c>
      <c r="AD35" s="131">
        <f t="shared" si="57"/>
        <v>205.9</v>
      </c>
      <c r="AE35" s="131">
        <f t="shared" si="57"/>
        <v>207.48747360000002</v>
      </c>
      <c r="AF35" s="132">
        <f t="shared" si="57"/>
        <v>803.18747359999998</v>
      </c>
      <c r="AG35" s="131">
        <f t="shared" si="57"/>
        <v>211.84737301931</v>
      </c>
      <c r="AH35" s="131">
        <f t="shared" si="57"/>
        <v>239.9439854405237</v>
      </c>
      <c r="AI35" s="131">
        <f t="shared" si="57"/>
        <v>239.1234254373386</v>
      </c>
      <c r="AJ35" s="131">
        <f t="shared" si="57"/>
        <v>237.83108992200002</v>
      </c>
      <c r="AK35" s="132">
        <f t="shared" si="57"/>
        <v>928.7458738191724</v>
      </c>
      <c r="AL35" s="130">
        <f t="shared" si="57"/>
        <v>245.39544356332175</v>
      </c>
      <c r="AM35" s="131">
        <f t="shared" si="57"/>
        <v>278.53842119475155</v>
      </c>
      <c r="AN35" s="131">
        <f t="shared" si="57"/>
        <v>279.39837179891049</v>
      </c>
      <c r="AO35" s="131">
        <f t="shared" si="57"/>
        <v>274.13238942556745</v>
      </c>
      <c r="AP35" s="132">
        <f t="shared" si="57"/>
        <v>1077.4646259825513</v>
      </c>
      <c r="AQ35" s="130">
        <f t="shared" si="57"/>
        <v>1294.1414862831762</v>
      </c>
      <c r="AR35" s="131">
        <f t="shared" si="57"/>
        <v>1364.6446082696459</v>
      </c>
      <c r="AS35" s="131">
        <f t="shared" si="57"/>
        <v>1410.6149513417347</v>
      </c>
      <c r="AT35" s="247">
        <f t="shared" si="57"/>
        <v>0</v>
      </c>
      <c r="AU35" s="132">
        <f t="shared" si="57"/>
        <v>1294.1414862831762</v>
      </c>
      <c r="AV35" s="130">
        <f t="shared" si="57"/>
        <v>0</v>
      </c>
      <c r="AW35" s="131">
        <f t="shared" si="57"/>
        <v>0</v>
      </c>
      <c r="AX35" s="131">
        <f t="shared" si="57"/>
        <v>0</v>
      </c>
      <c r="AY35" s="247">
        <f t="shared" si="57"/>
        <v>0</v>
      </c>
      <c r="AZ35" s="132">
        <f t="shared" si="57"/>
        <v>1364.6446082696459</v>
      </c>
      <c r="BA35" s="130">
        <f t="shared" si="57"/>
        <v>0</v>
      </c>
      <c r="BB35" s="131">
        <f t="shared" si="57"/>
        <v>0</v>
      </c>
      <c r="BC35" s="131">
        <f t="shared" si="57"/>
        <v>0</v>
      </c>
      <c r="BD35" s="247">
        <f t="shared" si="57"/>
        <v>0</v>
      </c>
      <c r="BE35" s="132">
        <f t="shared" si="57"/>
        <v>1410.6149513417347</v>
      </c>
      <c r="BF35" s="10"/>
      <c r="BG35" s="10"/>
      <c r="BH35" s="10"/>
      <c r="BI35" s="10"/>
      <c r="BJ35" s="10"/>
    </row>
    <row r="36" spans="1:62" ht="14" x14ac:dyDescent="0.15">
      <c r="A36" s="10"/>
      <c r="B36" s="246" t="s">
        <v>248</v>
      </c>
      <c r="C36" s="10"/>
      <c r="D36" s="10"/>
      <c r="E36" s="10"/>
      <c r="F36" s="10"/>
      <c r="G36" s="10"/>
      <c r="H36" s="10"/>
      <c r="I36" s="10"/>
      <c r="J36" s="10"/>
      <c r="K36" s="10"/>
      <c r="L36" s="55"/>
      <c r="M36" s="251">
        <f t="shared" ref="M36:P36" si="58">(M34/M35)/4</f>
        <v>0.15983406539775499</v>
      </c>
      <c r="N36" s="174">
        <f t="shared" si="58"/>
        <v>0.28198226725775805</v>
      </c>
      <c r="O36" s="174">
        <f t="shared" si="58"/>
        <v>0.17088251826869028</v>
      </c>
      <c r="P36" s="174">
        <f t="shared" si="58"/>
        <v>0.22688311688311688</v>
      </c>
      <c r="Q36" s="253">
        <f>Q34/Q35</f>
        <v>0.23827059465357334</v>
      </c>
      <c r="R36" s="174">
        <f t="shared" ref="R36:U36" si="59">(R34/R35)/4</f>
        <v>0.15964159515396265</v>
      </c>
      <c r="S36" s="174">
        <f t="shared" si="59"/>
        <v>0.23391990291262132</v>
      </c>
      <c r="T36" s="174">
        <f t="shared" si="59"/>
        <v>0.19345396487493347</v>
      </c>
      <c r="U36" s="252">
        <f t="shared" si="59"/>
        <v>0.29148106904231624</v>
      </c>
      <c r="V36" s="253">
        <f>V34/V35</f>
        <v>0.28669222343921141</v>
      </c>
      <c r="W36" s="251">
        <f t="shared" ref="W36:Z36" si="60">(W34/W35)/4</f>
        <v>0.17011019283746553</v>
      </c>
      <c r="X36" s="174">
        <f t="shared" si="60"/>
        <v>0.26988335100742311</v>
      </c>
      <c r="Y36" s="174">
        <f t="shared" si="60"/>
        <v>0.19801136363636365</v>
      </c>
      <c r="Z36" s="252">
        <f t="shared" si="60"/>
        <v>0.26464595007641356</v>
      </c>
      <c r="AA36" s="253">
        <f>AA34/AA35</f>
        <v>0.26685501476820339</v>
      </c>
      <c r="AB36" s="251">
        <f t="shared" ref="AB36:AD36" si="61">(AB34/AB35)/4</f>
        <v>0.22877875136911283</v>
      </c>
      <c r="AC36" s="174">
        <f t="shared" si="61"/>
        <v>0.26761583011583012</v>
      </c>
      <c r="AD36" s="174">
        <f t="shared" si="61"/>
        <v>0.30378824672170957</v>
      </c>
      <c r="AE36" s="261">
        <v>0.22</v>
      </c>
      <c r="AF36" s="253">
        <f>AF34/AF35</f>
        <v>0.22733045866565918</v>
      </c>
      <c r="AG36" s="156">
        <v>0.25</v>
      </c>
      <c r="AH36" s="156">
        <v>0.25</v>
      </c>
      <c r="AI36" s="156">
        <v>0.25</v>
      </c>
      <c r="AJ36" s="156">
        <v>0.25</v>
      </c>
      <c r="AK36" s="253">
        <f>AK34/AK35</f>
        <v>0.25607768134031672</v>
      </c>
      <c r="AL36" s="156">
        <v>0.26</v>
      </c>
      <c r="AM36" s="156">
        <v>0.26</v>
      </c>
      <c r="AN36" s="156">
        <v>0.26</v>
      </c>
      <c r="AO36" s="156">
        <v>0.26</v>
      </c>
      <c r="AP36" s="253">
        <f>AP34/AP35</f>
        <v>0.26460050578700584</v>
      </c>
      <c r="AQ36" s="251"/>
      <c r="AR36" s="174"/>
      <c r="AS36" s="174"/>
      <c r="AT36" s="252"/>
      <c r="AU36" s="262">
        <v>0.2</v>
      </c>
      <c r="AV36" s="156"/>
      <c r="AW36" s="156"/>
      <c r="AX36" s="156"/>
      <c r="AY36" s="156"/>
      <c r="AZ36" s="262">
        <v>0.2</v>
      </c>
      <c r="BA36" s="156"/>
      <c r="BB36" s="156"/>
      <c r="BC36" s="156"/>
      <c r="BD36" s="156"/>
      <c r="BE36" s="262">
        <v>0.22</v>
      </c>
      <c r="BF36" s="10"/>
      <c r="BG36" s="10"/>
      <c r="BH36" s="10"/>
      <c r="BI36" s="10"/>
      <c r="BJ36" s="10"/>
    </row>
    <row r="37" spans="1:62" ht="14" x14ac:dyDescent="0.1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55"/>
      <c r="M37" s="54"/>
      <c r="N37" s="55"/>
      <c r="O37" s="55"/>
      <c r="P37" s="55"/>
      <c r="Q37" s="84"/>
      <c r="R37" s="55"/>
      <c r="S37" s="55"/>
      <c r="T37" s="55"/>
      <c r="U37" s="55"/>
      <c r="V37" s="84"/>
      <c r="W37" s="55"/>
      <c r="X37" s="55"/>
      <c r="Y37" s="55"/>
      <c r="Z37" s="55"/>
      <c r="AA37" s="84"/>
      <c r="AB37" s="55"/>
      <c r="AC37" s="55"/>
      <c r="AD37" s="55"/>
      <c r="AE37" s="55"/>
      <c r="AF37" s="84"/>
      <c r="AG37" s="55"/>
      <c r="AH37" s="55"/>
      <c r="AI37" s="55"/>
      <c r="AJ37" s="55"/>
      <c r="AK37" s="84"/>
      <c r="AL37" s="55"/>
      <c r="AM37" s="55"/>
      <c r="AN37" s="55"/>
      <c r="AO37" s="55"/>
      <c r="AP37" s="84"/>
      <c r="AQ37" s="55"/>
      <c r="AR37" s="55"/>
      <c r="AS37" s="55"/>
      <c r="AT37" s="55"/>
      <c r="AU37" s="84"/>
      <c r="AV37" s="55"/>
      <c r="AW37" s="55"/>
      <c r="AX37" s="55"/>
      <c r="AY37" s="55"/>
      <c r="AZ37" s="84"/>
      <c r="BA37" s="55"/>
      <c r="BB37" s="55"/>
      <c r="BC37" s="55"/>
      <c r="BD37" s="55"/>
      <c r="BE37" s="84"/>
      <c r="BF37" s="10"/>
      <c r="BG37" s="10"/>
      <c r="BH37" s="10"/>
      <c r="BI37" s="10"/>
      <c r="BJ37" s="10"/>
    </row>
    <row r="38" spans="1:62" ht="9.75" customHeight="1" x14ac:dyDescent="0.15">
      <c r="A38" s="10"/>
      <c r="B38" s="255" t="s">
        <v>87</v>
      </c>
      <c r="C38" s="255"/>
      <c r="D38" s="255"/>
      <c r="E38" s="255"/>
      <c r="F38" s="255"/>
      <c r="G38" s="255"/>
      <c r="H38" s="255"/>
      <c r="I38" s="255"/>
      <c r="J38" s="255"/>
      <c r="K38" s="255"/>
      <c r="L38" s="263"/>
      <c r="M38" s="264">
        <f t="shared" ref="M38:BE38" si="62">SUM(M18,M22,M26,M30,M34)</f>
        <v>4213.2999999999993</v>
      </c>
      <c r="N38" s="263">
        <f t="shared" si="62"/>
        <v>4234.3</v>
      </c>
      <c r="O38" s="263">
        <f t="shared" si="62"/>
        <v>4303.1000000000004</v>
      </c>
      <c r="P38" s="265">
        <f t="shared" si="62"/>
        <v>4386.2</v>
      </c>
      <c r="Q38" s="265">
        <f t="shared" si="62"/>
        <v>4386.2</v>
      </c>
      <c r="R38" s="264">
        <f t="shared" si="62"/>
        <v>3620.5</v>
      </c>
      <c r="S38" s="263">
        <f t="shared" si="62"/>
        <v>3989.8999999999996</v>
      </c>
      <c r="T38" s="263">
        <f t="shared" si="62"/>
        <v>4009.4</v>
      </c>
      <c r="U38" s="265">
        <f t="shared" si="62"/>
        <v>4698.8999999999996</v>
      </c>
      <c r="V38" s="265">
        <f t="shared" si="62"/>
        <v>4698.8999999999996</v>
      </c>
      <c r="W38" s="264">
        <f t="shared" si="62"/>
        <v>4269.0999999999995</v>
      </c>
      <c r="X38" s="263">
        <f t="shared" si="62"/>
        <v>5050.4000000000005</v>
      </c>
      <c r="Y38" s="263">
        <f t="shared" si="62"/>
        <v>2454.4</v>
      </c>
      <c r="Z38" s="265">
        <f t="shared" si="62"/>
        <v>2725</v>
      </c>
      <c r="AA38" s="265">
        <f t="shared" si="62"/>
        <v>2725</v>
      </c>
      <c r="AB38" s="264">
        <f t="shared" si="62"/>
        <v>3134.2999999999997</v>
      </c>
      <c r="AC38" s="263">
        <f t="shared" si="62"/>
        <v>4678.9000000000005</v>
      </c>
      <c r="AD38" s="263">
        <f t="shared" si="62"/>
        <v>4341.6000000000004</v>
      </c>
      <c r="AE38" s="265">
        <f t="shared" si="62"/>
        <v>3657.5261373685485</v>
      </c>
      <c r="AF38" s="265">
        <f t="shared" si="62"/>
        <v>3657.5261373685485</v>
      </c>
      <c r="AG38" s="264">
        <f t="shared" si="62"/>
        <v>4250.5269596438557</v>
      </c>
      <c r="AH38" s="263">
        <f t="shared" si="62"/>
        <v>4738.620721692153</v>
      </c>
      <c r="AI38" s="263">
        <f t="shared" si="62"/>
        <v>5318.1199374098023</v>
      </c>
      <c r="AJ38" s="265">
        <f t="shared" si="62"/>
        <v>4819.8262250768048</v>
      </c>
      <c r="AK38" s="265">
        <f t="shared" si="62"/>
        <v>4819.8262250768048</v>
      </c>
      <c r="AL38" s="264">
        <f t="shared" si="62"/>
        <v>5238.5995524360087</v>
      </c>
      <c r="AM38" s="263">
        <f t="shared" si="62"/>
        <v>5856.0484119149078</v>
      </c>
      <c r="AN38" s="263">
        <f t="shared" si="62"/>
        <v>6361.7207403046996</v>
      </c>
      <c r="AO38" s="265">
        <f t="shared" si="62"/>
        <v>5682.3950989239775</v>
      </c>
      <c r="AP38" s="265">
        <f t="shared" si="62"/>
        <v>5682.3950989239775</v>
      </c>
      <c r="AQ38" s="264">
        <f t="shared" si="62"/>
        <v>0</v>
      </c>
      <c r="AR38" s="263">
        <f t="shared" si="62"/>
        <v>0</v>
      </c>
      <c r="AS38" s="263">
        <f t="shared" si="62"/>
        <v>0</v>
      </c>
      <c r="AT38" s="265">
        <f t="shared" si="62"/>
        <v>0</v>
      </c>
      <c r="AU38" s="265">
        <f t="shared" si="62"/>
        <v>6830.7624120516521</v>
      </c>
      <c r="AV38" s="264">
        <f t="shared" si="62"/>
        <v>0</v>
      </c>
      <c r="AW38" s="263">
        <f t="shared" si="62"/>
        <v>0</v>
      </c>
      <c r="AX38" s="263">
        <f t="shared" si="62"/>
        <v>0</v>
      </c>
      <c r="AY38" s="265">
        <f t="shared" si="62"/>
        <v>0</v>
      </c>
      <c r="AZ38" s="265">
        <f t="shared" si="62"/>
        <v>7856.6141912817366</v>
      </c>
      <c r="BA38" s="264">
        <f t="shared" si="62"/>
        <v>0</v>
      </c>
      <c r="BB38" s="263">
        <f t="shared" si="62"/>
        <v>0</v>
      </c>
      <c r="BC38" s="263">
        <f t="shared" si="62"/>
        <v>0</v>
      </c>
      <c r="BD38" s="265">
        <f t="shared" si="62"/>
        <v>0</v>
      </c>
      <c r="BE38" s="265">
        <f t="shared" si="62"/>
        <v>9185.6153872576288</v>
      </c>
      <c r="BF38" s="10"/>
      <c r="BG38" s="10"/>
      <c r="BH38" s="10"/>
      <c r="BI38" s="10"/>
      <c r="BJ38" s="10"/>
    </row>
    <row r="39" spans="1:62" ht="9.75" customHeight="1" x14ac:dyDescent="0.15">
      <c r="A39" s="10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60"/>
      <c r="M39" s="61"/>
      <c r="N39" s="60"/>
      <c r="O39" s="60"/>
      <c r="P39" s="60"/>
      <c r="Q39" s="63"/>
      <c r="R39" s="60"/>
      <c r="S39" s="60"/>
      <c r="T39" s="60"/>
      <c r="U39" s="60"/>
      <c r="V39" s="63"/>
      <c r="W39" s="60"/>
      <c r="X39" s="60"/>
      <c r="Y39" s="60"/>
      <c r="Z39" s="60"/>
      <c r="AA39" s="63"/>
      <c r="AB39" s="60"/>
      <c r="AC39" s="60"/>
      <c r="AD39" s="60"/>
      <c r="AE39" s="60"/>
      <c r="AF39" s="63"/>
      <c r="AG39" s="60"/>
      <c r="AH39" s="60"/>
      <c r="AI39" s="60"/>
      <c r="AJ39" s="60"/>
      <c r="AK39" s="63"/>
      <c r="AL39" s="60"/>
      <c r="AM39" s="60"/>
      <c r="AN39" s="60"/>
      <c r="AO39" s="60"/>
      <c r="AP39" s="63"/>
      <c r="AQ39" s="60"/>
      <c r="AR39" s="60"/>
      <c r="AS39" s="60"/>
      <c r="AT39" s="60"/>
      <c r="AU39" s="63"/>
      <c r="AV39" s="60"/>
      <c r="AW39" s="60"/>
      <c r="AX39" s="60"/>
      <c r="AY39" s="60"/>
      <c r="AZ39" s="63"/>
      <c r="BA39" s="60"/>
      <c r="BB39" s="60"/>
      <c r="BC39" s="60"/>
      <c r="BD39" s="60"/>
      <c r="BE39" s="63"/>
      <c r="BF39" s="10"/>
      <c r="BG39" s="10"/>
      <c r="BH39" s="10"/>
      <c r="BI39" s="10"/>
      <c r="BJ39" s="10"/>
    </row>
    <row r="40" spans="1:62" ht="9.75" customHeight="1" x14ac:dyDescent="0.15">
      <c r="A40" s="10"/>
      <c r="B40" s="255" t="s">
        <v>258</v>
      </c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64">
        <f t="shared" ref="M40:BE40" si="63">M16-M38</f>
        <v>-3084.1999999999994</v>
      </c>
      <c r="N40" s="263">
        <f t="shared" si="63"/>
        <v>-3158.1000000000004</v>
      </c>
      <c r="O40" s="263">
        <f t="shared" si="63"/>
        <v>-3227.6000000000004</v>
      </c>
      <c r="P40" s="265">
        <f t="shared" si="63"/>
        <v>-3305.6</v>
      </c>
      <c r="Q40" s="266">
        <f t="shared" si="63"/>
        <v>-3305.6</v>
      </c>
      <c r="R40" s="263">
        <f t="shared" si="63"/>
        <v>-2676.3</v>
      </c>
      <c r="S40" s="263">
        <f t="shared" si="63"/>
        <v>-3043.4999999999995</v>
      </c>
      <c r="T40" s="263">
        <f t="shared" si="63"/>
        <v>-3095.7</v>
      </c>
      <c r="U40" s="263">
        <f t="shared" si="63"/>
        <v>-3723.0999999999995</v>
      </c>
      <c r="V40" s="266">
        <f t="shared" si="63"/>
        <v>-3723.0999999999995</v>
      </c>
      <c r="W40" s="263">
        <f t="shared" si="63"/>
        <v>-3164.4999999999995</v>
      </c>
      <c r="X40" s="263">
        <f t="shared" si="63"/>
        <v>-3929.9000000000005</v>
      </c>
      <c r="Y40" s="263">
        <f t="shared" si="63"/>
        <v>-1332.1</v>
      </c>
      <c r="Z40" s="263">
        <f t="shared" si="63"/>
        <v>-1680.8</v>
      </c>
      <c r="AA40" s="266">
        <f t="shared" si="63"/>
        <v>-1680.8</v>
      </c>
      <c r="AB40" s="263">
        <f t="shared" si="63"/>
        <v>-2105.9999999999995</v>
      </c>
      <c r="AC40" s="263">
        <f t="shared" si="63"/>
        <v>-3323.7000000000007</v>
      </c>
      <c r="AD40" s="263">
        <f t="shared" si="63"/>
        <v>-2999.0000000000005</v>
      </c>
      <c r="AE40" s="263">
        <f t="shared" si="63"/>
        <v>-2456.4243038912882</v>
      </c>
      <c r="AF40" s="266">
        <f t="shared" si="63"/>
        <v>-2456.4243038912882</v>
      </c>
      <c r="AG40" s="264">
        <f t="shared" si="63"/>
        <v>-2986.806150806226</v>
      </c>
      <c r="AH40" s="263">
        <f t="shared" si="63"/>
        <v>-3353.241973417591</v>
      </c>
      <c r="AI40" s="263">
        <f t="shared" si="63"/>
        <v>-3885.8482913907337</v>
      </c>
      <c r="AJ40" s="265">
        <f t="shared" si="63"/>
        <v>-3429.9080319801365</v>
      </c>
      <c r="AK40" s="266">
        <f t="shared" si="63"/>
        <v>-3429.9080319801365</v>
      </c>
      <c r="AL40" s="264">
        <f t="shared" si="63"/>
        <v>-3762.7288633376793</v>
      </c>
      <c r="AM40" s="263">
        <f t="shared" si="63"/>
        <v>-4235.0938259061604</v>
      </c>
      <c r="AN40" s="263">
        <f t="shared" si="63"/>
        <v>-4674.4099348586115</v>
      </c>
      <c r="AO40" s="265">
        <f t="shared" si="63"/>
        <v>-4067.4495415244646</v>
      </c>
      <c r="AP40" s="266">
        <f t="shared" si="63"/>
        <v>-4067.4495415244646</v>
      </c>
      <c r="AQ40" s="264">
        <f t="shared" si="63"/>
        <v>0</v>
      </c>
      <c r="AR40" s="263">
        <f t="shared" si="63"/>
        <v>0</v>
      </c>
      <c r="AS40" s="263">
        <f t="shared" si="63"/>
        <v>0</v>
      </c>
      <c r="AT40" s="265">
        <f t="shared" si="63"/>
        <v>0</v>
      </c>
      <c r="AU40" s="266">
        <f t="shared" si="63"/>
        <v>-5028.8919919718983</v>
      </c>
      <c r="AV40" s="263">
        <f t="shared" si="63"/>
        <v>0</v>
      </c>
      <c r="AW40" s="263">
        <f t="shared" si="63"/>
        <v>0</v>
      </c>
      <c r="AX40" s="263">
        <f t="shared" si="63"/>
        <v>0</v>
      </c>
      <c r="AY40" s="263">
        <f t="shared" si="63"/>
        <v>0</v>
      </c>
      <c r="AZ40" s="266">
        <f t="shared" si="63"/>
        <v>-6174.3625707586489</v>
      </c>
      <c r="BA40" s="263">
        <f t="shared" si="63"/>
        <v>0</v>
      </c>
      <c r="BB40" s="263">
        <f t="shared" si="63"/>
        <v>0</v>
      </c>
      <c r="BC40" s="263">
        <f t="shared" si="63"/>
        <v>0</v>
      </c>
      <c r="BD40" s="263">
        <f t="shared" si="63"/>
        <v>0</v>
      </c>
      <c r="BE40" s="266">
        <f t="shared" si="63"/>
        <v>-7566.3067170872537</v>
      </c>
      <c r="BF40" s="10"/>
      <c r="BG40" s="10"/>
      <c r="BH40" s="10"/>
      <c r="BI40" s="10"/>
      <c r="BJ40" s="10"/>
    </row>
    <row r="41" spans="1:62" ht="9.75" customHeight="1" x14ac:dyDescent="0.1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45"/>
      <c r="N41" s="10"/>
      <c r="O41" s="10"/>
      <c r="P41" s="10"/>
      <c r="Q41" s="47"/>
      <c r="R41" s="10"/>
      <c r="S41" s="10"/>
      <c r="T41" s="10"/>
      <c r="U41" s="10"/>
      <c r="V41" s="47"/>
      <c r="W41" s="10"/>
      <c r="X41" s="10"/>
      <c r="Y41" s="10"/>
      <c r="Z41" s="10"/>
      <c r="AA41" s="47"/>
      <c r="AB41" s="10"/>
      <c r="AC41" s="10"/>
      <c r="AD41" s="10"/>
      <c r="AE41" s="10"/>
      <c r="AF41" s="47"/>
      <c r="AG41" s="10"/>
      <c r="AH41" s="10"/>
      <c r="AI41" s="10"/>
      <c r="AJ41" s="10"/>
      <c r="AK41" s="47"/>
      <c r="AL41" s="10"/>
      <c r="AM41" s="10"/>
      <c r="AN41" s="10"/>
      <c r="AO41" s="10"/>
      <c r="AP41" s="47"/>
      <c r="AQ41" s="10"/>
      <c r="AR41" s="10"/>
      <c r="AS41" s="10"/>
      <c r="AT41" s="10"/>
      <c r="AU41" s="47"/>
      <c r="AV41" s="10"/>
      <c r="AW41" s="10"/>
      <c r="AX41" s="10"/>
      <c r="AY41" s="10"/>
      <c r="AZ41" s="47"/>
      <c r="BA41" s="10"/>
      <c r="BB41" s="10"/>
      <c r="BC41" s="10"/>
      <c r="BD41" s="10"/>
      <c r="BE41" s="47"/>
      <c r="BF41" s="10"/>
      <c r="BG41" s="10"/>
      <c r="BH41" s="10"/>
      <c r="BI41" s="10"/>
      <c r="BJ41" s="10"/>
    </row>
    <row r="42" spans="1:62" ht="9.75" customHeight="1" x14ac:dyDescent="0.15">
      <c r="A42" s="58"/>
      <c r="B42" s="68" t="s">
        <v>259</v>
      </c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8"/>
      <c r="N42" s="73">
        <f t="shared" ref="N42:P42" si="64">N40-M40</f>
        <v>-73.900000000001</v>
      </c>
      <c r="O42" s="73">
        <f t="shared" si="64"/>
        <v>-69.5</v>
      </c>
      <c r="P42" s="73">
        <f t="shared" si="64"/>
        <v>-77.999999999999545</v>
      </c>
      <c r="Q42" s="267"/>
      <c r="R42" s="73">
        <f t="shared" ref="R42:U42" si="65">R40-Q40</f>
        <v>629.29999999999973</v>
      </c>
      <c r="S42" s="73">
        <f t="shared" si="65"/>
        <v>-367.19999999999936</v>
      </c>
      <c r="T42" s="73">
        <f t="shared" si="65"/>
        <v>-52.200000000000273</v>
      </c>
      <c r="U42" s="73">
        <f t="shared" si="65"/>
        <v>-627.39999999999964</v>
      </c>
      <c r="V42" s="75">
        <f>V40-Q40</f>
        <v>-417.49999999999955</v>
      </c>
      <c r="W42" s="73">
        <f t="shared" ref="W42:Z42" si="66">W40-V40</f>
        <v>558.59999999999991</v>
      </c>
      <c r="X42" s="73">
        <f t="shared" si="66"/>
        <v>-765.400000000001</v>
      </c>
      <c r="Y42" s="73">
        <f t="shared" si="66"/>
        <v>2597.8000000000006</v>
      </c>
      <c r="Z42" s="73">
        <f t="shared" si="66"/>
        <v>-348.70000000000005</v>
      </c>
      <c r="AA42" s="75">
        <f>AA40-V40</f>
        <v>2042.2999999999995</v>
      </c>
      <c r="AB42" s="73">
        <f t="shared" ref="AB42:AE42" si="67">AB40-AA40</f>
        <v>-425.19999999999959</v>
      </c>
      <c r="AC42" s="73">
        <f t="shared" si="67"/>
        <v>-1217.7000000000012</v>
      </c>
      <c r="AD42" s="73">
        <f t="shared" si="67"/>
        <v>324.70000000000027</v>
      </c>
      <c r="AE42" s="73">
        <f t="shared" si="67"/>
        <v>542.57569610871224</v>
      </c>
      <c r="AF42" s="75">
        <f>AF40-AA40</f>
        <v>-775.62430389128826</v>
      </c>
      <c r="AG42" s="73">
        <f t="shared" ref="AG42:AJ42" si="68">AG40-AF40</f>
        <v>-530.3818469149378</v>
      </c>
      <c r="AH42" s="73">
        <f t="shared" si="68"/>
        <v>-366.43582261136498</v>
      </c>
      <c r="AI42" s="73">
        <f t="shared" si="68"/>
        <v>-532.60631797314272</v>
      </c>
      <c r="AJ42" s="73">
        <f t="shared" si="68"/>
        <v>455.94025941059726</v>
      </c>
      <c r="AK42" s="75">
        <f>AK40-AF40</f>
        <v>-973.48372808884824</v>
      </c>
      <c r="AL42" s="73">
        <f t="shared" ref="AL42:AO42" si="69">AL40-AK40</f>
        <v>-332.82083135754283</v>
      </c>
      <c r="AM42" s="73">
        <f t="shared" si="69"/>
        <v>-472.36496256848113</v>
      </c>
      <c r="AN42" s="73">
        <f t="shared" si="69"/>
        <v>-439.31610895245103</v>
      </c>
      <c r="AO42" s="73">
        <f t="shared" si="69"/>
        <v>606.96039333414683</v>
      </c>
      <c r="AP42" s="75">
        <f>AP40-AK40</f>
        <v>-637.54150954432816</v>
      </c>
      <c r="AQ42" s="73">
        <f t="shared" ref="AQ42:AT42" si="70">AQ40-AP40</f>
        <v>4067.4495415244646</v>
      </c>
      <c r="AR42" s="73">
        <f t="shared" si="70"/>
        <v>0</v>
      </c>
      <c r="AS42" s="73">
        <f t="shared" si="70"/>
        <v>0</v>
      </c>
      <c r="AT42" s="73">
        <f t="shared" si="70"/>
        <v>0</v>
      </c>
      <c r="AU42" s="75">
        <f>AU40-AP40</f>
        <v>-961.44245044743366</v>
      </c>
      <c r="AV42" s="73">
        <f t="shared" ref="AV42:AY42" si="71">AV40-AU40</f>
        <v>5028.8919919718983</v>
      </c>
      <c r="AW42" s="73">
        <f t="shared" si="71"/>
        <v>0</v>
      </c>
      <c r="AX42" s="73">
        <f t="shared" si="71"/>
        <v>0</v>
      </c>
      <c r="AY42" s="73">
        <f t="shared" si="71"/>
        <v>0</v>
      </c>
      <c r="AZ42" s="75">
        <f>AZ40-AU40</f>
        <v>-1145.4705787867506</v>
      </c>
      <c r="BA42" s="73">
        <f t="shared" ref="BA42:BD42" si="72">BA40-AZ40</f>
        <v>6174.3625707586489</v>
      </c>
      <c r="BB42" s="73">
        <f t="shared" si="72"/>
        <v>0</v>
      </c>
      <c r="BC42" s="73">
        <f t="shared" si="72"/>
        <v>0</v>
      </c>
      <c r="BD42" s="73">
        <f t="shared" si="72"/>
        <v>0</v>
      </c>
      <c r="BE42" s="75">
        <f>BE40-AZ40</f>
        <v>-1391.9441463286048</v>
      </c>
      <c r="BF42" s="58"/>
      <c r="BG42" s="58"/>
      <c r="BH42" s="58"/>
      <c r="BI42" s="58"/>
      <c r="BJ42" s="58"/>
    </row>
    <row r="43" spans="1:62" ht="9.75" customHeight="1" x14ac:dyDescent="0.1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</row>
    <row r="44" spans="1:62" ht="9.75" customHeight="1" x14ac:dyDescent="0.1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55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</row>
    <row r="45" spans="1:62" ht="9.75" customHeight="1" x14ac:dyDescent="0.1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55"/>
      <c r="T45" s="10"/>
      <c r="U45" s="10"/>
      <c r="V45" s="10"/>
      <c r="W45" s="10"/>
      <c r="X45" s="55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</row>
    <row r="46" spans="1:62" ht="9.75" customHeight="1" x14ac:dyDescent="0.1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</row>
    <row r="47" spans="1:62" ht="9.75" customHeight="1" x14ac:dyDescent="0.1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</row>
    <row r="48" spans="1:62" ht="9.75" customHeight="1" x14ac:dyDescent="0.1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</row>
    <row r="49" spans="1:62" ht="9.75" customHeight="1" x14ac:dyDescent="0.1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</row>
    <row r="50" spans="1:62" ht="9.75" customHeight="1" x14ac:dyDescent="0.1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</row>
    <row r="51" spans="1:62" ht="9.75" customHeight="1" x14ac:dyDescent="0.1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</row>
    <row r="52" spans="1:62" ht="9.75" customHeight="1" x14ac:dyDescent="0.1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</row>
    <row r="53" spans="1:62" ht="9.75" customHeight="1" x14ac:dyDescent="0.1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</row>
    <row r="54" spans="1:62" ht="9.75" customHeight="1" x14ac:dyDescent="0.1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</row>
    <row r="55" spans="1:62" ht="9.75" customHeight="1" x14ac:dyDescent="0.1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</row>
    <row r="56" spans="1:62" ht="9.75" customHeight="1" x14ac:dyDescent="0.1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</row>
    <row r="57" spans="1:62" ht="9.75" customHeight="1" x14ac:dyDescent="0.1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</row>
    <row r="58" spans="1:62" ht="9.75" customHeight="1" x14ac:dyDescent="0.1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</row>
    <row r="59" spans="1:62" ht="9.75" customHeight="1" x14ac:dyDescent="0.1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</row>
    <row r="60" spans="1:62" ht="9.75" customHeight="1" x14ac:dyDescent="0.1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</row>
    <row r="61" spans="1:62" ht="9.75" customHeight="1" x14ac:dyDescent="0.1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</row>
    <row r="62" spans="1:62" ht="9.75" customHeight="1" x14ac:dyDescent="0.1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</row>
    <row r="63" spans="1:62" ht="9.75" customHeight="1" x14ac:dyDescent="0.1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</row>
    <row r="64" spans="1:62" ht="9.75" customHeight="1" x14ac:dyDescent="0.1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</row>
    <row r="65" spans="1:62" ht="9.75" customHeight="1" x14ac:dyDescent="0.1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</row>
    <row r="66" spans="1:62" ht="9.75" customHeight="1" x14ac:dyDescent="0.1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</row>
    <row r="67" spans="1:62" ht="9.75" customHeight="1" x14ac:dyDescent="0.1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</row>
    <row r="68" spans="1:62" ht="9.75" customHeight="1" x14ac:dyDescent="0.1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</row>
    <row r="69" spans="1:62" ht="9.75" customHeight="1" x14ac:dyDescent="0.1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</row>
    <row r="70" spans="1:62" ht="9.75" customHeight="1" x14ac:dyDescent="0.1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</row>
    <row r="71" spans="1:62" ht="9.75" customHeight="1" x14ac:dyDescent="0.1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</row>
    <row r="72" spans="1:62" ht="9.75" customHeight="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</row>
    <row r="73" spans="1:62" ht="9.75" customHeight="1" x14ac:dyDescent="0.1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</row>
    <row r="74" spans="1:62" ht="9.75" customHeight="1" x14ac:dyDescent="0.1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</row>
    <row r="75" spans="1:62" ht="9.75" customHeight="1" x14ac:dyDescent="0.1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</row>
    <row r="76" spans="1:62" ht="9.75" customHeight="1" x14ac:dyDescent="0.1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</row>
    <row r="77" spans="1:62" ht="9.75" customHeight="1" x14ac:dyDescent="0.1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</row>
    <row r="78" spans="1:62" ht="9.75" customHeight="1" x14ac:dyDescent="0.1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</row>
    <row r="79" spans="1:62" ht="9.75" customHeight="1" x14ac:dyDescent="0.1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</row>
    <row r="80" spans="1:62" ht="9.75" customHeight="1" x14ac:dyDescent="0.1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</row>
    <row r="81" spans="1:62" ht="9.75" customHeight="1" x14ac:dyDescent="0.1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</row>
    <row r="82" spans="1:62" ht="9.75" customHeight="1" x14ac:dyDescent="0.1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</row>
    <row r="83" spans="1:62" ht="9.75" customHeight="1" x14ac:dyDescent="0.1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</row>
    <row r="84" spans="1:62" ht="9.75" customHeight="1" x14ac:dyDescent="0.1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</row>
    <row r="85" spans="1:62" ht="9.75" customHeight="1" x14ac:dyDescent="0.1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</row>
    <row r="86" spans="1:62" ht="9.75" customHeight="1" x14ac:dyDescent="0.1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</row>
    <row r="87" spans="1:62" ht="9.75" customHeight="1" x14ac:dyDescent="0.1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</row>
    <row r="88" spans="1:62" ht="9.75" customHeight="1" x14ac:dyDescent="0.1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</row>
    <row r="89" spans="1:62" ht="9.75" customHeight="1" x14ac:dyDescent="0.1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</row>
    <row r="90" spans="1:62" ht="9.75" customHeight="1" x14ac:dyDescent="0.1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</row>
    <row r="91" spans="1:62" ht="9.75" customHeight="1" x14ac:dyDescent="0.1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</row>
    <row r="92" spans="1:62" ht="9.75" customHeight="1" x14ac:dyDescent="0.1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</row>
    <row r="93" spans="1:62" ht="9.7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</row>
    <row r="94" spans="1:62" ht="9.75" customHeight="1" x14ac:dyDescent="0.1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</row>
    <row r="95" spans="1:62" ht="9.75" customHeight="1" x14ac:dyDescent="0.1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</row>
    <row r="96" spans="1:62" ht="9.75" customHeight="1" x14ac:dyDescent="0.1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</row>
    <row r="97" spans="1:62" ht="9.75" customHeight="1" x14ac:dyDescent="0.1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</row>
    <row r="98" spans="1:62" ht="9.75" customHeight="1" x14ac:dyDescent="0.1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</row>
    <row r="99" spans="1:62" ht="9.75" customHeight="1" x14ac:dyDescent="0.1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</row>
    <row r="100" spans="1:62" ht="9.75" customHeight="1" x14ac:dyDescent="0.1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</row>
    <row r="101" spans="1:62" ht="9.75" customHeight="1" x14ac:dyDescent="0.1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</row>
    <row r="102" spans="1:62" ht="9.75" customHeight="1" x14ac:dyDescent="0.1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</row>
    <row r="103" spans="1:62" ht="9.75" customHeight="1" x14ac:dyDescent="0.1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</row>
    <row r="104" spans="1:62" ht="9.75" customHeight="1" x14ac:dyDescent="0.1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</row>
    <row r="105" spans="1:62" ht="9.75" customHeight="1" x14ac:dyDescent="0.1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</row>
    <row r="106" spans="1:62" ht="9.75" customHeight="1" x14ac:dyDescent="0.1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</row>
    <row r="107" spans="1:62" ht="9.75" customHeight="1" x14ac:dyDescent="0.1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</row>
    <row r="108" spans="1:62" ht="9.75" customHeight="1" x14ac:dyDescent="0.1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</row>
    <row r="109" spans="1:62" ht="9.75" customHeight="1" x14ac:dyDescent="0.1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</row>
    <row r="110" spans="1:62" ht="9.75" customHeight="1" x14ac:dyDescent="0.1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</row>
    <row r="111" spans="1:62" ht="9.75" customHeight="1" x14ac:dyDescent="0.1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</row>
    <row r="112" spans="1:62" ht="9.75" customHeight="1" x14ac:dyDescent="0.1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</row>
    <row r="113" spans="1:62" ht="9.75" customHeight="1" x14ac:dyDescent="0.1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</row>
    <row r="114" spans="1:62" ht="9.75" customHeight="1" x14ac:dyDescent="0.1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</row>
    <row r="115" spans="1:62" ht="9.75" customHeight="1" x14ac:dyDescent="0.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</row>
    <row r="116" spans="1:62" ht="9.75" customHeight="1" x14ac:dyDescent="0.1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</row>
    <row r="117" spans="1:62" ht="9.75" customHeight="1" x14ac:dyDescent="0.1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</row>
    <row r="118" spans="1:62" ht="9.75" customHeight="1" x14ac:dyDescent="0.1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</row>
    <row r="119" spans="1:62" ht="9.75" customHeight="1" x14ac:dyDescent="0.1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</row>
    <row r="120" spans="1:62" ht="9.75" customHeight="1" x14ac:dyDescent="0.1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</row>
    <row r="121" spans="1:62" ht="9.75" customHeight="1" x14ac:dyDescent="0.1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</row>
    <row r="122" spans="1:62" ht="9.75" customHeight="1" x14ac:dyDescent="0.1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</row>
    <row r="123" spans="1:62" ht="9.75" customHeight="1" x14ac:dyDescent="0.1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</row>
    <row r="124" spans="1:62" ht="9.75" customHeight="1" x14ac:dyDescent="0.1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</row>
    <row r="125" spans="1:62" ht="9.75" customHeight="1" x14ac:dyDescent="0.1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</row>
    <row r="126" spans="1:62" ht="9.75" customHeight="1" x14ac:dyDescent="0.1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</row>
    <row r="127" spans="1:62" ht="9.75" customHeight="1" x14ac:dyDescent="0.1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</row>
    <row r="128" spans="1:62" ht="9.75" customHeight="1" x14ac:dyDescent="0.1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</row>
    <row r="129" spans="1:62" ht="9.75" customHeight="1" x14ac:dyDescent="0.1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</row>
    <row r="130" spans="1:62" ht="9.75" customHeight="1" x14ac:dyDescent="0.1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</row>
    <row r="131" spans="1:62" ht="9.75" customHeight="1" x14ac:dyDescent="0.1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</row>
    <row r="132" spans="1:62" ht="9.75" customHeight="1" x14ac:dyDescent="0.1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</row>
    <row r="133" spans="1:62" ht="9.75" customHeight="1" x14ac:dyDescent="0.1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</row>
    <row r="134" spans="1:62" ht="9.75" customHeight="1" x14ac:dyDescent="0.1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</row>
    <row r="135" spans="1:62" ht="9.75" customHeight="1" x14ac:dyDescent="0.1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</row>
    <row r="136" spans="1:62" ht="9.75" customHeight="1" x14ac:dyDescent="0.1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</row>
    <row r="137" spans="1:62" ht="9.75" customHeight="1" x14ac:dyDescent="0.1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</row>
    <row r="138" spans="1:62" ht="9.75" customHeight="1" x14ac:dyDescent="0.1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</row>
    <row r="139" spans="1:62" ht="9.75" customHeight="1" x14ac:dyDescent="0.1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</row>
    <row r="140" spans="1:62" ht="9.75" customHeight="1" x14ac:dyDescent="0.1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</row>
    <row r="141" spans="1:62" ht="9.75" customHeight="1" x14ac:dyDescent="0.1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</row>
    <row r="142" spans="1:62" ht="9.75" customHeight="1" x14ac:dyDescent="0.1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</row>
    <row r="143" spans="1:62" ht="9.75" customHeight="1" x14ac:dyDescent="0.1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</row>
    <row r="144" spans="1:62" ht="9.75" customHeight="1" x14ac:dyDescent="0.1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</row>
    <row r="145" spans="1:62" ht="9.75" customHeight="1" x14ac:dyDescent="0.1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</row>
    <row r="146" spans="1:62" ht="9.75" customHeight="1" x14ac:dyDescent="0.1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</row>
    <row r="147" spans="1:62" ht="9.75" customHeight="1" x14ac:dyDescent="0.1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</row>
    <row r="148" spans="1:62" ht="9.75" customHeight="1" x14ac:dyDescent="0.1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</row>
    <row r="149" spans="1:62" ht="9.75" customHeight="1" x14ac:dyDescent="0.1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</row>
    <row r="150" spans="1:62" ht="9.75" customHeight="1" x14ac:dyDescent="0.1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</row>
    <row r="151" spans="1:62" ht="9.75" customHeight="1" x14ac:dyDescent="0.1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</row>
    <row r="152" spans="1:62" ht="9.75" customHeight="1" x14ac:dyDescent="0.1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</row>
    <row r="153" spans="1:62" ht="9.75" customHeight="1" x14ac:dyDescent="0.1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</row>
    <row r="154" spans="1:62" ht="9.75" customHeight="1" x14ac:dyDescent="0.1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</row>
    <row r="155" spans="1:62" ht="9.75" customHeight="1" x14ac:dyDescent="0.1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</row>
    <row r="156" spans="1:62" ht="9.75" customHeight="1" x14ac:dyDescent="0.1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</row>
    <row r="157" spans="1:62" ht="9.75" customHeight="1" x14ac:dyDescent="0.1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</row>
    <row r="158" spans="1:62" ht="9.75" customHeight="1" x14ac:dyDescent="0.1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</row>
    <row r="159" spans="1:62" ht="9.75" customHeight="1" x14ac:dyDescent="0.1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</row>
    <row r="160" spans="1:62" ht="9.75" customHeight="1" x14ac:dyDescent="0.1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</row>
    <row r="161" spans="1:62" ht="9.75" customHeight="1" x14ac:dyDescent="0.1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</row>
    <row r="162" spans="1:62" ht="9.75" customHeight="1" x14ac:dyDescent="0.1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</row>
    <row r="163" spans="1:62" ht="9.75" customHeight="1" x14ac:dyDescent="0.1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</row>
    <row r="164" spans="1:62" ht="9.75" customHeight="1" x14ac:dyDescent="0.1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</row>
    <row r="165" spans="1:62" ht="9.75" customHeight="1" x14ac:dyDescent="0.1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</row>
    <row r="166" spans="1:62" ht="9.75" customHeight="1" x14ac:dyDescent="0.1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</row>
    <row r="167" spans="1:62" ht="9.75" customHeight="1" x14ac:dyDescent="0.1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</row>
    <row r="168" spans="1:62" ht="9.75" customHeight="1" x14ac:dyDescent="0.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</row>
    <row r="169" spans="1:62" ht="9.75" customHeight="1" x14ac:dyDescent="0.1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</row>
    <row r="170" spans="1:62" ht="9.75" customHeight="1" x14ac:dyDescent="0.1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</row>
    <row r="171" spans="1:62" ht="9.75" customHeight="1" x14ac:dyDescent="0.1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</row>
    <row r="172" spans="1:62" ht="9.75" customHeight="1" x14ac:dyDescent="0.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</row>
    <row r="173" spans="1:62" ht="9.75" customHeight="1" x14ac:dyDescent="0.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</row>
    <row r="174" spans="1:62" ht="9.75" customHeight="1" x14ac:dyDescent="0.1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</row>
    <row r="175" spans="1:62" ht="9.75" customHeight="1" x14ac:dyDescent="0.1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</row>
    <row r="176" spans="1:62" ht="9.75" customHeight="1" x14ac:dyDescent="0.1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</row>
    <row r="177" spans="1:62" ht="9.75" customHeight="1" x14ac:dyDescent="0.1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</row>
    <row r="178" spans="1:62" ht="9.75" customHeight="1" x14ac:dyDescent="0.1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</row>
    <row r="179" spans="1:62" ht="9.75" customHeight="1" x14ac:dyDescent="0.1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</row>
    <row r="180" spans="1:62" ht="9.75" customHeight="1" x14ac:dyDescent="0.1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</row>
    <row r="181" spans="1:62" ht="9.75" customHeight="1" x14ac:dyDescent="0.1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</row>
    <row r="182" spans="1:62" ht="9.75" customHeight="1" x14ac:dyDescent="0.1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</row>
    <row r="183" spans="1:62" ht="9.75" customHeight="1" x14ac:dyDescent="0.1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</row>
    <row r="184" spans="1:62" ht="9.75" customHeight="1" x14ac:dyDescent="0.1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</row>
    <row r="185" spans="1:62" ht="9.75" customHeight="1" x14ac:dyDescent="0.1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</row>
    <row r="186" spans="1:62" ht="9.75" customHeight="1" x14ac:dyDescent="0.1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</row>
    <row r="187" spans="1:62" ht="9.75" customHeight="1" x14ac:dyDescent="0.1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</row>
    <row r="188" spans="1:62" ht="9.75" customHeight="1" x14ac:dyDescent="0.1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</row>
    <row r="189" spans="1:62" ht="9.75" customHeight="1" x14ac:dyDescent="0.1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</row>
    <row r="190" spans="1:62" ht="9.75" customHeight="1" x14ac:dyDescent="0.1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</row>
    <row r="191" spans="1:62" ht="9.75" customHeight="1" x14ac:dyDescent="0.1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</row>
    <row r="192" spans="1:62" ht="9.75" customHeight="1" x14ac:dyDescent="0.1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</row>
    <row r="193" spans="1:62" ht="9.75" customHeight="1" x14ac:dyDescent="0.1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</row>
    <row r="194" spans="1:62" ht="9.75" customHeight="1" x14ac:dyDescent="0.1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</row>
    <row r="195" spans="1:62" ht="9.75" customHeight="1" x14ac:dyDescent="0.1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</row>
    <row r="196" spans="1:62" ht="9.75" customHeight="1" x14ac:dyDescent="0.1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</row>
    <row r="197" spans="1:62" ht="9.75" customHeight="1" x14ac:dyDescent="0.1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</row>
    <row r="198" spans="1:62" ht="9.75" customHeight="1" x14ac:dyDescent="0.1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</row>
    <row r="199" spans="1:62" ht="9.75" customHeight="1" x14ac:dyDescent="0.1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</row>
    <row r="200" spans="1:62" ht="9.75" customHeight="1" x14ac:dyDescent="0.1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</row>
    <row r="201" spans="1:62" ht="9.75" customHeight="1" x14ac:dyDescent="0.1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</row>
    <row r="202" spans="1:62" ht="9.75" customHeight="1" x14ac:dyDescent="0.1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</row>
    <row r="203" spans="1:62" ht="9.75" customHeight="1" x14ac:dyDescent="0.1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</row>
    <row r="204" spans="1:62" ht="9.75" customHeight="1" x14ac:dyDescent="0.1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</row>
    <row r="205" spans="1:62" ht="9.75" customHeight="1" x14ac:dyDescent="0.1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</row>
    <row r="206" spans="1:62" ht="9.75" customHeight="1" x14ac:dyDescent="0.1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</row>
    <row r="207" spans="1:62" ht="9.75" customHeight="1" x14ac:dyDescent="0.1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</row>
    <row r="208" spans="1:62" ht="9.75" customHeight="1" x14ac:dyDescent="0.1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</row>
    <row r="209" spans="1:62" ht="9.75" customHeight="1" x14ac:dyDescent="0.1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</row>
    <row r="210" spans="1:62" ht="9.75" customHeight="1" x14ac:dyDescent="0.1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</row>
    <row r="211" spans="1:62" ht="9.75" customHeight="1" x14ac:dyDescent="0.1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</row>
    <row r="212" spans="1:62" ht="9.75" customHeight="1" x14ac:dyDescent="0.1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</row>
    <row r="213" spans="1:62" ht="9.75" customHeight="1" x14ac:dyDescent="0.1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</row>
    <row r="214" spans="1:62" ht="9.75" customHeight="1" x14ac:dyDescent="0.1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</row>
    <row r="215" spans="1:62" ht="9.75" customHeight="1" x14ac:dyDescent="0.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</row>
    <row r="216" spans="1:62" ht="9.75" customHeight="1" x14ac:dyDescent="0.1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</row>
    <row r="217" spans="1:62" ht="9.75" customHeight="1" x14ac:dyDescent="0.1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</row>
    <row r="218" spans="1:62" ht="9.75" customHeight="1" x14ac:dyDescent="0.1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</row>
    <row r="219" spans="1:62" ht="9.75" customHeight="1" x14ac:dyDescent="0.1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</row>
    <row r="220" spans="1:62" ht="9.75" customHeight="1" x14ac:dyDescent="0.1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</row>
    <row r="221" spans="1:62" ht="9.75" customHeight="1" x14ac:dyDescent="0.1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</row>
    <row r="222" spans="1:62" ht="9.75" customHeight="1" x14ac:dyDescent="0.1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</row>
    <row r="223" spans="1:62" ht="9.75" customHeight="1" x14ac:dyDescent="0.1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</row>
    <row r="224" spans="1:62" ht="9.75" customHeight="1" x14ac:dyDescent="0.1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</row>
    <row r="225" spans="1:62" ht="9.75" customHeight="1" x14ac:dyDescent="0.1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</row>
    <row r="226" spans="1:62" ht="9.75" customHeight="1" x14ac:dyDescent="0.1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</row>
    <row r="227" spans="1:62" ht="9.75" customHeight="1" x14ac:dyDescent="0.1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</row>
    <row r="228" spans="1:62" ht="9.75" customHeight="1" x14ac:dyDescent="0.1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</row>
    <row r="229" spans="1:62" ht="9.75" customHeight="1" x14ac:dyDescent="0.1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</row>
    <row r="230" spans="1:62" ht="9.75" customHeight="1" x14ac:dyDescent="0.1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</row>
    <row r="231" spans="1:62" ht="9.75" customHeight="1" x14ac:dyDescent="0.1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</row>
    <row r="232" spans="1:62" ht="9.75" customHeight="1" x14ac:dyDescent="0.1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</row>
    <row r="233" spans="1:62" ht="9.75" customHeight="1" x14ac:dyDescent="0.1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</row>
    <row r="234" spans="1:62" ht="9.75" customHeight="1" x14ac:dyDescent="0.1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</row>
    <row r="235" spans="1:62" ht="9.75" customHeight="1" x14ac:dyDescent="0.1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</row>
    <row r="236" spans="1:62" ht="9.75" customHeight="1" x14ac:dyDescent="0.1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</row>
    <row r="237" spans="1:62" ht="9.75" customHeight="1" x14ac:dyDescent="0.1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</row>
    <row r="238" spans="1:62" ht="9.75" customHeight="1" x14ac:dyDescent="0.1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</row>
    <row r="239" spans="1:62" ht="9.75" customHeight="1" x14ac:dyDescent="0.1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</row>
    <row r="240" spans="1:62" ht="9.75" customHeight="1" x14ac:dyDescent="0.1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</row>
    <row r="241" spans="1:62" ht="9.75" customHeight="1" x14ac:dyDescent="0.1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</row>
    <row r="242" spans="1:62" ht="9.75" customHeight="1" x14ac:dyDescent="0.1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</row>
    <row r="243" spans="1:62" ht="9.75" customHeight="1" x14ac:dyDescent="0.1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</row>
    <row r="244" spans="1:62" ht="9.75" customHeight="1" x14ac:dyDescent="0.1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</row>
    <row r="245" spans="1:62" ht="9.75" customHeight="1" x14ac:dyDescent="0.1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</row>
    <row r="246" spans="1:62" ht="9.75" customHeight="1" x14ac:dyDescent="0.1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</row>
    <row r="247" spans="1:62" ht="9.75" customHeight="1" x14ac:dyDescent="0.1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</row>
    <row r="248" spans="1:62" ht="9.75" customHeight="1" x14ac:dyDescent="0.1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</row>
    <row r="249" spans="1:62" ht="9.75" customHeight="1" x14ac:dyDescent="0.1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</row>
    <row r="250" spans="1:62" ht="15.75" customHeight="1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ht="15.75" customHeight="1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ht="15.75" customHeight="1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ht="15.75" customHeight="1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ht="15.75" customHeight="1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ht="15.75" customHeight="1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ht="15.75" customHeight="1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ht="15.75" customHeight="1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</row>
    <row r="258" spans="1:62" ht="15.75" customHeight="1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</row>
    <row r="259" spans="1:62" ht="15.75" customHeight="1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</row>
    <row r="260" spans="1:62" ht="15.75" customHeight="1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ht="15.75" customHeight="1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ht="15.75" customHeight="1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ht="15.75" customHeight="1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</row>
    <row r="264" spans="1:62" ht="15.75" customHeight="1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</row>
    <row r="265" spans="1:62" ht="15.75" customHeight="1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</row>
    <row r="266" spans="1:62" ht="15.75" customHeight="1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ht="15.75" customHeight="1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</row>
    <row r="268" spans="1:62" ht="15.75" customHeight="1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ht="15.75" customHeight="1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ht="15.75" customHeight="1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ht="15.75" customHeight="1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ht="15.75" customHeight="1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  <row r="1001" ht="15.75" customHeight="1" x14ac:dyDescent="0.15"/>
    <row r="1002" ht="15.75" customHeight="1" x14ac:dyDescent="0.15"/>
    <row r="1003" ht="15.75" customHeight="1" x14ac:dyDescent="0.15"/>
    <row r="1004" ht="15.75" customHeight="1" x14ac:dyDescent="0.15"/>
    <row r="1005" ht="15.75" customHeight="1" x14ac:dyDescent="0.15"/>
    <row r="1006" ht="15.75" customHeight="1" x14ac:dyDescent="0.15"/>
    <row r="1007" ht="15.75" customHeight="1" x14ac:dyDescent="0.15"/>
    <row r="1008" ht="15.75" customHeight="1" x14ac:dyDescent="0.15"/>
    <row r="1009" ht="15.75" customHeight="1" x14ac:dyDescent="0.15"/>
    <row r="1010" ht="15.75" customHeight="1" x14ac:dyDescent="0.15"/>
    <row r="1011" ht="15.75" customHeight="1" x14ac:dyDescent="0.15"/>
    <row r="1012" ht="15.75" customHeight="1" x14ac:dyDescent="0.15"/>
    <row r="1013" ht="15.75" customHeight="1" x14ac:dyDescent="0.15"/>
    <row r="1014" ht="15.75" customHeight="1" x14ac:dyDescent="0.15"/>
    <row r="1015" ht="15.75" customHeight="1" x14ac:dyDescent="0.15"/>
    <row r="1016" ht="15.75" customHeight="1" x14ac:dyDescent="0.15"/>
    <row r="1017" ht="15.75" customHeight="1" x14ac:dyDescent="0.15"/>
    <row r="1018" ht="15.75" customHeight="1" x14ac:dyDescent="0.15"/>
    <row r="1019" ht="15.75" customHeight="1" x14ac:dyDescent="0.15"/>
    <row r="1020" ht="15.75" customHeight="1" x14ac:dyDescent="0.15"/>
    <row r="1021" ht="15.75" customHeight="1" x14ac:dyDescent="0.15"/>
    <row r="1022" ht="15.75" customHeight="1" x14ac:dyDescent="0.15"/>
    <row r="1023" ht="15.75" customHeight="1" x14ac:dyDescent="0.15"/>
    <row r="1024" ht="15.75" customHeight="1" x14ac:dyDescent="0.15"/>
    <row r="1025" ht="15.75" customHeight="1" x14ac:dyDescent="0.15"/>
    <row r="1026" ht="15.75" customHeight="1" x14ac:dyDescent="0.15"/>
    <row r="1027" ht="15.75" customHeight="1" x14ac:dyDescent="0.15"/>
    <row r="1028" ht="15.75" customHeight="1" x14ac:dyDescent="0.15"/>
    <row r="1029" ht="15.75" customHeight="1" x14ac:dyDescent="0.15"/>
  </sheetData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ColWidth="12.6640625" defaultRowHeight="15" customHeight="1" outlineLevelRow="1" x14ac:dyDescent="0.15"/>
  <cols>
    <col min="1" max="1" width="1.5" customWidth="1"/>
    <col min="2" max="2" width="32.6640625" customWidth="1"/>
    <col min="3" max="3" width="3.33203125" customWidth="1"/>
    <col min="4" max="14" width="9.5" customWidth="1"/>
    <col min="15" max="15" width="1.6640625" customWidth="1"/>
    <col min="16" max="26" width="8" customWidth="1"/>
  </cols>
  <sheetData>
    <row r="1" spans="1:26" ht="9.75" customHeight="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2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 x14ac:dyDescent="0.2">
      <c r="A2" s="10"/>
      <c r="B2" s="268"/>
      <c r="C2" s="268"/>
      <c r="D2" s="269"/>
      <c r="E2" s="269"/>
      <c r="F2" s="269"/>
      <c r="G2" s="269"/>
      <c r="H2" s="269"/>
      <c r="I2" s="269"/>
      <c r="J2" s="270"/>
      <c r="K2" s="269"/>
      <c r="L2" s="269"/>
      <c r="M2" s="269"/>
      <c r="N2" s="269"/>
      <c r="O2" s="2"/>
      <c r="P2" s="449" t="s">
        <v>260</v>
      </c>
      <c r="Q2" s="450"/>
      <c r="R2" s="10"/>
      <c r="S2" s="10"/>
      <c r="T2" s="10"/>
      <c r="U2" s="10"/>
      <c r="V2" s="10"/>
      <c r="W2" s="10"/>
      <c r="X2" s="10"/>
      <c r="Y2" s="10"/>
      <c r="Z2" s="10"/>
    </row>
    <row r="3" spans="1:26" ht="33.75" customHeight="1" x14ac:dyDescent="0.15">
      <c r="A3" s="10"/>
      <c r="B3" s="271"/>
      <c r="C3" s="271"/>
      <c r="D3" s="269" t="s">
        <v>261</v>
      </c>
      <c r="E3" s="269" t="s">
        <v>262</v>
      </c>
      <c r="F3" s="269" t="s">
        <v>263</v>
      </c>
      <c r="G3" s="269" t="s">
        <v>264</v>
      </c>
      <c r="H3" s="269" t="s">
        <v>265</v>
      </c>
      <c r="I3" s="269" t="s">
        <v>266</v>
      </c>
      <c r="J3" s="269" t="s">
        <v>267</v>
      </c>
      <c r="K3" s="269" t="s">
        <v>268</v>
      </c>
      <c r="L3" s="269" t="s">
        <v>269</v>
      </c>
      <c r="M3" s="269" t="s">
        <v>270</v>
      </c>
      <c r="N3" s="269" t="s">
        <v>271</v>
      </c>
      <c r="O3" s="2"/>
      <c r="P3" s="451" t="s">
        <v>272</v>
      </c>
      <c r="Q3" s="45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 x14ac:dyDescent="0.2">
      <c r="A4" s="10"/>
      <c r="B4" s="272" t="str">
        <f>'Balance Sheet'!B4</f>
        <v>American Tower</v>
      </c>
      <c r="C4" s="273"/>
      <c r="D4" s="269"/>
      <c r="E4" s="269"/>
      <c r="F4" s="269"/>
      <c r="G4" s="269"/>
      <c r="H4" s="269"/>
      <c r="I4" s="269"/>
      <c r="J4" s="274"/>
      <c r="K4" s="269"/>
      <c r="L4" s="269"/>
      <c r="M4" s="269"/>
      <c r="N4" s="269"/>
      <c r="O4" s="2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75" customHeight="1" x14ac:dyDescent="0.15">
      <c r="A5" s="10"/>
      <c r="B5" s="275" t="s">
        <v>273</v>
      </c>
      <c r="C5" s="276"/>
      <c r="D5" s="269" t="s">
        <v>274</v>
      </c>
      <c r="E5" s="269" t="s">
        <v>274</v>
      </c>
      <c r="F5" s="269" t="s">
        <v>274</v>
      </c>
      <c r="G5" s="269" t="s">
        <v>274</v>
      </c>
      <c r="H5" s="269" t="s">
        <v>274</v>
      </c>
      <c r="I5" s="269" t="s">
        <v>274</v>
      </c>
      <c r="J5" s="269" t="s">
        <v>274</v>
      </c>
      <c r="K5" s="269" t="s">
        <v>274</v>
      </c>
      <c r="L5" s="269" t="s">
        <v>274</v>
      </c>
      <c r="M5" s="269" t="s">
        <v>274</v>
      </c>
      <c r="N5" s="269" t="s">
        <v>274</v>
      </c>
      <c r="O5" s="2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4.5" customHeight="1" x14ac:dyDescent="0.15">
      <c r="A6" s="10"/>
      <c r="B6" s="10"/>
      <c r="C6" s="277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2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9.75" customHeight="1" x14ac:dyDescent="0.15">
      <c r="A7" s="10"/>
      <c r="B7" s="278" t="s">
        <v>275</v>
      </c>
      <c r="C7" s="93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9.75" customHeight="1" x14ac:dyDescent="0.15">
      <c r="A8" s="10"/>
      <c r="B8" s="278" t="s">
        <v>276</v>
      </c>
      <c r="C8" s="58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9.75" customHeight="1" x14ac:dyDescent="0.15">
      <c r="A9" s="10"/>
      <c r="B9" s="278" t="s">
        <v>277</v>
      </c>
      <c r="C9" s="49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4.5" customHeight="1" x14ac:dyDescent="0.15">
      <c r="A10" s="10"/>
      <c r="B10" s="278"/>
      <c r="C10" s="58"/>
      <c r="D10" s="280"/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9.75" customHeight="1" x14ac:dyDescent="0.15">
      <c r="A11" s="58"/>
      <c r="B11" s="281" t="s">
        <v>278</v>
      </c>
      <c r="C11" s="58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9.75" customHeight="1" x14ac:dyDescent="0.15">
      <c r="A12" s="93"/>
      <c r="B12" s="283" t="s">
        <v>279</v>
      </c>
      <c r="C12" s="12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</row>
    <row r="13" spans="1:26" ht="4.5" customHeight="1" x14ac:dyDescent="0.15">
      <c r="A13" s="93"/>
      <c r="B13" s="283"/>
      <c r="C13" s="124"/>
      <c r="D13" s="285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</row>
    <row r="14" spans="1:26" ht="9.75" customHeight="1" x14ac:dyDescent="0.15">
      <c r="A14" s="10"/>
      <c r="B14" s="278" t="s">
        <v>280</v>
      </c>
      <c r="C14" s="124"/>
      <c r="D14" s="287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2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9.75" hidden="1" customHeight="1" outlineLevel="1" x14ac:dyDescent="0.15">
      <c r="A15" s="10"/>
      <c r="B15" s="281" t="s">
        <v>281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2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9.75" hidden="1" customHeight="1" outlineLevel="1" x14ac:dyDescent="0.15">
      <c r="A16" s="10"/>
      <c r="B16" s="288" t="s">
        <v>282</v>
      </c>
      <c r="C16" s="10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2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9.75" hidden="1" customHeight="1" outlineLevel="1" x14ac:dyDescent="0.15">
      <c r="A17" s="10"/>
      <c r="B17" s="288" t="s">
        <v>283</v>
      </c>
      <c r="C17" s="58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2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9.75" hidden="1" customHeight="1" outlineLevel="1" x14ac:dyDescent="0.15">
      <c r="A18" s="10"/>
      <c r="B18" s="288" t="s">
        <v>284</v>
      </c>
      <c r="C18" s="161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2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9.75" hidden="1" customHeight="1" outlineLevel="1" x14ac:dyDescent="0.15">
      <c r="A19" s="10"/>
      <c r="B19" s="288" t="s">
        <v>285</v>
      </c>
      <c r="C19" s="58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2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9.75" hidden="1" customHeight="1" outlineLevel="1" x14ac:dyDescent="0.15">
      <c r="A20" s="10"/>
      <c r="B20" s="288" t="s">
        <v>286</v>
      </c>
      <c r="C20" s="93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2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9.75" hidden="1" customHeight="1" outlineLevel="1" x14ac:dyDescent="0.15">
      <c r="A21" s="10"/>
      <c r="B21" s="288" t="s">
        <v>287</v>
      </c>
      <c r="C21" s="10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2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9.75" hidden="1" customHeight="1" outlineLevel="1" x14ac:dyDescent="0.15">
      <c r="A22" s="10"/>
      <c r="B22" s="288" t="s">
        <v>288</v>
      </c>
      <c r="C22" s="289"/>
      <c r="D22" s="97"/>
      <c r="E22" s="97"/>
      <c r="F22" s="97"/>
      <c r="G22" s="97"/>
      <c r="H22" s="97"/>
      <c r="I22" s="97"/>
      <c r="J22" s="148"/>
      <c r="K22" s="97"/>
      <c r="L22" s="97"/>
      <c r="M22" s="97"/>
      <c r="N22" s="97"/>
      <c r="O22" s="2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9.75" hidden="1" customHeight="1" outlineLevel="1" x14ac:dyDescent="0.15">
      <c r="A23" s="10"/>
      <c r="B23" s="288" t="s">
        <v>289</v>
      </c>
      <c r="C23" s="289"/>
      <c r="D23" s="97"/>
      <c r="E23" s="97"/>
      <c r="F23" s="97"/>
      <c r="G23" s="97"/>
      <c r="H23" s="97"/>
      <c r="I23" s="97"/>
      <c r="J23" s="148"/>
      <c r="K23" s="97"/>
      <c r="L23" s="97"/>
      <c r="M23" s="97"/>
      <c r="N23" s="97"/>
      <c r="O23" s="2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9.75" hidden="1" customHeight="1" outlineLevel="1" x14ac:dyDescent="0.15">
      <c r="A24" s="93"/>
      <c r="B24" s="288" t="s">
        <v>290</v>
      </c>
      <c r="C24" s="289"/>
      <c r="D24" s="97"/>
      <c r="E24" s="97"/>
      <c r="F24" s="97"/>
      <c r="G24" s="97"/>
      <c r="H24" s="290"/>
      <c r="I24" s="290"/>
      <c r="J24" s="148"/>
      <c r="K24" s="290"/>
      <c r="L24" s="290"/>
      <c r="M24" s="290"/>
      <c r="N24" s="290"/>
      <c r="O24" s="2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</row>
    <row r="25" spans="1:26" ht="9.75" hidden="1" customHeight="1" outlineLevel="1" x14ac:dyDescent="0.15">
      <c r="A25" s="10"/>
      <c r="B25" s="288" t="s">
        <v>291</v>
      </c>
      <c r="C25" s="10"/>
      <c r="D25" s="97"/>
      <c r="E25" s="97"/>
      <c r="F25" s="97"/>
      <c r="G25" s="97"/>
      <c r="H25" s="97"/>
      <c r="I25" s="97"/>
      <c r="J25" s="148"/>
      <c r="K25" s="97"/>
      <c r="L25" s="97"/>
      <c r="M25" s="97"/>
      <c r="N25" s="97"/>
      <c r="O25" s="2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9.75" hidden="1" customHeight="1" outlineLevel="1" x14ac:dyDescent="0.15">
      <c r="A26" s="10"/>
      <c r="B26" s="288" t="s">
        <v>292</v>
      </c>
      <c r="C26" s="93"/>
      <c r="D26" s="97"/>
      <c r="E26" s="97"/>
      <c r="F26" s="97"/>
      <c r="G26" s="97"/>
      <c r="H26" s="97"/>
      <c r="I26" s="97"/>
      <c r="J26" s="290"/>
      <c r="K26" s="97"/>
      <c r="L26" s="97"/>
      <c r="M26" s="97"/>
      <c r="N26" s="97"/>
      <c r="O26" s="2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9.75" hidden="1" customHeight="1" outlineLevel="1" x14ac:dyDescent="0.15">
      <c r="A27" s="10"/>
      <c r="B27" s="288" t="s">
        <v>293</v>
      </c>
      <c r="C27" s="10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2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9.75" hidden="1" customHeight="1" outlineLevel="1" x14ac:dyDescent="0.15">
      <c r="A28" s="10"/>
      <c r="B28" s="288" t="s">
        <v>294</v>
      </c>
      <c r="C28" s="10"/>
      <c r="D28" s="97"/>
      <c r="E28" s="97"/>
      <c r="F28" s="97"/>
      <c r="G28" s="97"/>
      <c r="H28" s="97"/>
      <c r="I28" s="97"/>
      <c r="J28" s="148"/>
      <c r="K28" s="97"/>
      <c r="L28" s="97"/>
      <c r="M28" s="97"/>
      <c r="N28" s="97"/>
      <c r="O28" s="2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9.75" hidden="1" customHeight="1" outlineLevel="1" x14ac:dyDescent="0.15">
      <c r="A29" s="10"/>
      <c r="B29" s="288" t="s">
        <v>295</v>
      </c>
      <c r="C29" s="10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2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9.75" hidden="1" customHeight="1" outlineLevel="1" x14ac:dyDescent="0.15">
      <c r="A30" s="10"/>
      <c r="B30" s="288" t="s">
        <v>296</v>
      </c>
      <c r="C30" s="10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2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9.75" hidden="1" customHeight="1" outlineLevel="1" x14ac:dyDescent="0.15">
      <c r="A31" s="10"/>
      <c r="B31" s="278"/>
      <c r="C31" s="58"/>
      <c r="D31" s="10"/>
      <c r="E31" s="10"/>
      <c r="F31" s="174"/>
      <c r="G31" s="10"/>
      <c r="H31" s="10"/>
      <c r="I31" s="10"/>
      <c r="J31" s="10"/>
      <c r="K31" s="10"/>
      <c r="L31" s="10"/>
      <c r="M31" s="10"/>
      <c r="N31" s="10"/>
      <c r="O31" s="2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9.75" hidden="1" customHeight="1" outlineLevel="1" x14ac:dyDescent="0.15">
      <c r="A32" s="10"/>
      <c r="B32" s="281" t="s">
        <v>297</v>
      </c>
      <c r="C32" s="93"/>
      <c r="D32" s="10"/>
      <c r="E32" s="10"/>
      <c r="F32" s="174"/>
      <c r="G32" s="10"/>
      <c r="H32" s="10"/>
      <c r="I32" s="10"/>
      <c r="J32" s="10"/>
      <c r="K32" s="10"/>
      <c r="L32" s="10"/>
      <c r="M32" s="10"/>
      <c r="N32" s="10"/>
      <c r="O32" s="2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9.75" hidden="1" customHeight="1" outlineLevel="1" x14ac:dyDescent="0.15">
      <c r="A33" s="10"/>
      <c r="B33" s="288" t="s">
        <v>282</v>
      </c>
      <c r="C33" s="10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2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9.75" hidden="1" customHeight="1" outlineLevel="1" x14ac:dyDescent="0.15">
      <c r="A34" s="10"/>
      <c r="B34" s="288" t="s">
        <v>283</v>
      </c>
      <c r="C34" s="1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9.75" hidden="1" customHeight="1" outlineLevel="1" x14ac:dyDescent="0.15">
      <c r="A35" s="10"/>
      <c r="B35" s="288" t="s">
        <v>284</v>
      </c>
      <c r="C35" s="10"/>
      <c r="D35" s="172"/>
      <c r="E35" s="172"/>
      <c r="F35" s="172"/>
      <c r="G35" s="172"/>
      <c r="H35" s="172"/>
      <c r="I35" s="172"/>
      <c r="J35" s="291"/>
      <c r="K35" s="172"/>
      <c r="L35" s="172"/>
      <c r="M35" s="172"/>
      <c r="N35" s="172"/>
      <c r="O35" s="2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9.75" hidden="1" customHeight="1" outlineLevel="1" x14ac:dyDescent="0.15">
      <c r="A36" s="10"/>
      <c r="B36" s="288" t="s">
        <v>285</v>
      </c>
      <c r="C36" s="10"/>
      <c r="D36" s="172"/>
      <c r="E36" s="172"/>
      <c r="F36" s="172"/>
      <c r="G36" s="172"/>
      <c r="H36" s="172"/>
      <c r="I36" s="172"/>
      <c r="J36" s="292"/>
      <c r="K36" s="172"/>
      <c r="L36" s="172"/>
      <c r="M36" s="172"/>
      <c r="N36" s="172"/>
      <c r="O36" s="2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9.75" hidden="1" customHeight="1" outlineLevel="1" x14ac:dyDescent="0.15">
      <c r="A37" s="10"/>
      <c r="B37" s="288" t="s">
        <v>286</v>
      </c>
      <c r="C37" s="10"/>
      <c r="D37" s="172"/>
      <c r="E37" s="172"/>
      <c r="F37" s="172"/>
      <c r="G37" s="172"/>
      <c r="H37" s="172"/>
      <c r="I37" s="172"/>
      <c r="J37" s="291"/>
      <c r="K37" s="172"/>
      <c r="L37" s="172"/>
      <c r="M37" s="172"/>
      <c r="N37" s="172"/>
      <c r="O37" s="2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9.75" hidden="1" customHeight="1" outlineLevel="1" x14ac:dyDescent="0.15">
      <c r="A38" s="10"/>
      <c r="B38" s="288" t="s">
        <v>287</v>
      </c>
      <c r="C38" s="10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2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9.75" hidden="1" customHeight="1" outlineLevel="1" x14ac:dyDescent="0.15">
      <c r="A39" s="10"/>
      <c r="B39" s="288" t="s">
        <v>288</v>
      </c>
      <c r="C39" s="58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2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9.75" hidden="1" customHeight="1" outlineLevel="1" x14ac:dyDescent="0.15">
      <c r="A40" s="10"/>
      <c r="B40" s="288" t="s">
        <v>289</v>
      </c>
      <c r="C40" s="10"/>
      <c r="D40" s="172"/>
      <c r="E40" s="172"/>
      <c r="F40" s="172"/>
      <c r="G40" s="172"/>
      <c r="H40" s="172"/>
      <c r="I40" s="172"/>
      <c r="J40" s="291"/>
      <c r="K40" s="172"/>
      <c r="L40" s="172"/>
      <c r="M40" s="172"/>
      <c r="N40" s="172"/>
      <c r="O40" s="2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9.75" hidden="1" customHeight="1" outlineLevel="1" x14ac:dyDescent="0.15">
      <c r="A41" s="10"/>
      <c r="B41" s="288" t="s">
        <v>290</v>
      </c>
      <c r="C41" s="93"/>
      <c r="D41" s="172"/>
      <c r="E41" s="172"/>
      <c r="F41" s="172"/>
      <c r="G41" s="172"/>
      <c r="H41" s="172"/>
      <c r="I41" s="172"/>
      <c r="J41" s="291"/>
      <c r="K41" s="172"/>
      <c r="L41" s="172"/>
      <c r="M41" s="172"/>
      <c r="N41" s="172"/>
      <c r="O41" s="2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9.75" hidden="1" customHeight="1" outlineLevel="1" x14ac:dyDescent="0.15">
      <c r="A42" s="10"/>
      <c r="B42" s="288" t="s">
        <v>291</v>
      </c>
      <c r="C42" s="10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2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9.75" hidden="1" customHeight="1" outlineLevel="1" x14ac:dyDescent="0.15">
      <c r="A43" s="10"/>
      <c r="B43" s="288" t="s">
        <v>292</v>
      </c>
      <c r="C43" s="93"/>
      <c r="D43" s="172"/>
      <c r="E43" s="172"/>
      <c r="F43" s="172"/>
      <c r="G43" s="172"/>
      <c r="H43" s="172"/>
      <c r="I43" s="172"/>
      <c r="J43" s="291"/>
      <c r="K43" s="172"/>
      <c r="L43" s="172"/>
      <c r="M43" s="172"/>
      <c r="N43" s="172"/>
      <c r="O43" s="2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9.75" hidden="1" customHeight="1" outlineLevel="1" x14ac:dyDescent="0.15">
      <c r="A44" s="10"/>
      <c r="B44" s="288" t="s">
        <v>293</v>
      </c>
      <c r="C44" s="10"/>
      <c r="D44" s="172"/>
      <c r="E44" s="172"/>
      <c r="F44" s="172"/>
      <c r="G44" s="172"/>
      <c r="H44" s="172"/>
      <c r="I44" s="172"/>
      <c r="J44" s="292"/>
      <c r="K44" s="172"/>
      <c r="L44" s="172"/>
      <c r="M44" s="172"/>
      <c r="N44" s="172"/>
      <c r="O44" s="2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9.75" hidden="1" customHeight="1" outlineLevel="1" x14ac:dyDescent="0.15">
      <c r="A45" s="10"/>
      <c r="B45" s="288" t="s">
        <v>294</v>
      </c>
      <c r="C45" s="93"/>
      <c r="D45" s="172"/>
      <c r="E45" s="172"/>
      <c r="F45" s="172"/>
      <c r="G45" s="172"/>
      <c r="H45" s="172"/>
      <c r="I45" s="172"/>
      <c r="J45" s="291"/>
      <c r="K45" s="172"/>
      <c r="L45" s="172"/>
      <c r="M45" s="172"/>
      <c r="N45" s="172"/>
      <c r="O45" s="2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9.75" hidden="1" customHeight="1" outlineLevel="1" x14ac:dyDescent="0.15">
      <c r="A46" s="10"/>
      <c r="B46" s="288" t="s">
        <v>295</v>
      </c>
      <c r="C46" s="10"/>
      <c r="D46" s="172"/>
      <c r="E46" s="172"/>
      <c r="F46" s="172"/>
      <c r="G46" s="172"/>
      <c r="H46" s="172"/>
      <c r="I46" s="172"/>
      <c r="J46" s="292"/>
      <c r="K46" s="172"/>
      <c r="L46" s="172"/>
      <c r="M46" s="172"/>
      <c r="N46" s="172"/>
      <c r="O46" s="2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9.75" hidden="1" customHeight="1" outlineLevel="1" x14ac:dyDescent="0.15">
      <c r="A47" s="10"/>
      <c r="B47" s="288" t="s">
        <v>296</v>
      </c>
      <c r="C47" s="58"/>
      <c r="D47" s="172"/>
      <c r="E47" s="172"/>
      <c r="F47" s="172"/>
      <c r="G47" s="172"/>
      <c r="H47" s="172"/>
      <c r="I47" s="172"/>
      <c r="J47" s="291"/>
      <c r="K47" s="172"/>
      <c r="L47" s="172"/>
      <c r="M47" s="172"/>
      <c r="N47" s="172"/>
      <c r="O47" s="2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9.75" hidden="1" customHeight="1" outlineLevel="1" x14ac:dyDescent="0.15">
      <c r="A48" s="10"/>
      <c r="B48" s="278"/>
      <c r="C48" s="10"/>
      <c r="D48" s="10"/>
      <c r="E48" s="10"/>
      <c r="F48" s="174"/>
      <c r="G48" s="10"/>
      <c r="H48" s="10"/>
      <c r="I48" s="10"/>
      <c r="J48" s="289"/>
      <c r="K48" s="10"/>
      <c r="L48" s="10"/>
      <c r="M48" s="10"/>
      <c r="N48" s="10"/>
      <c r="O48" s="2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9.75" hidden="1" customHeight="1" outlineLevel="1" x14ac:dyDescent="0.15">
      <c r="A49" s="10"/>
      <c r="B49" s="288" t="s">
        <v>298</v>
      </c>
      <c r="C49" s="10"/>
      <c r="D49" s="97">
        <f t="shared" ref="D49:N49" si="0">SUMPRODUCT((D33:D47&lt;D11)*(D33:D47),D16:D30)</f>
        <v>0</v>
      </c>
      <c r="E49" s="97">
        <f t="shared" si="0"/>
        <v>0</v>
      </c>
      <c r="F49" s="97">
        <f t="shared" si="0"/>
        <v>0</v>
      </c>
      <c r="G49" s="97">
        <f t="shared" si="0"/>
        <v>0</v>
      </c>
      <c r="H49" s="97">
        <f t="shared" si="0"/>
        <v>0</v>
      </c>
      <c r="I49" s="97">
        <f t="shared" si="0"/>
        <v>0</v>
      </c>
      <c r="J49" s="97">
        <f t="shared" si="0"/>
        <v>0</v>
      </c>
      <c r="K49" s="97">
        <f t="shared" si="0"/>
        <v>0</v>
      </c>
      <c r="L49" s="97">
        <f t="shared" si="0"/>
        <v>0</v>
      </c>
      <c r="M49" s="97">
        <f t="shared" si="0"/>
        <v>0</v>
      </c>
      <c r="N49" s="97">
        <f t="shared" si="0"/>
        <v>0</v>
      </c>
      <c r="O49" s="2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9.75" hidden="1" customHeight="1" outlineLevel="1" x14ac:dyDescent="0.15">
      <c r="A50" s="10"/>
      <c r="B50" s="288" t="s">
        <v>299</v>
      </c>
      <c r="C50" s="10"/>
      <c r="D50" s="97">
        <f t="shared" ref="D50:N50" si="1">SUMIF(D33:D47,"&lt;"&amp;D11,D16:D30)</f>
        <v>0</v>
      </c>
      <c r="E50" s="97">
        <f t="shared" si="1"/>
        <v>0</v>
      </c>
      <c r="F50" s="97">
        <f t="shared" si="1"/>
        <v>0</v>
      </c>
      <c r="G50" s="97">
        <f t="shared" si="1"/>
        <v>0</v>
      </c>
      <c r="H50" s="97">
        <f t="shared" si="1"/>
        <v>0</v>
      </c>
      <c r="I50" s="97">
        <f t="shared" si="1"/>
        <v>0</v>
      </c>
      <c r="J50" s="97">
        <f t="shared" si="1"/>
        <v>0</v>
      </c>
      <c r="K50" s="97">
        <f t="shared" si="1"/>
        <v>0</v>
      </c>
      <c r="L50" s="97">
        <f t="shared" si="1"/>
        <v>0</v>
      </c>
      <c r="M50" s="97">
        <f t="shared" si="1"/>
        <v>0</v>
      </c>
      <c r="N50" s="97">
        <f t="shared" si="1"/>
        <v>0</v>
      </c>
      <c r="O50" s="2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9.75" hidden="1" customHeight="1" outlineLevel="1" x14ac:dyDescent="0.15">
      <c r="A51" s="10"/>
      <c r="B51" s="288" t="s">
        <v>300</v>
      </c>
      <c r="C51" s="10"/>
      <c r="D51" s="97">
        <f t="shared" ref="D51:N51" si="2">IFERROR((D49-D50)/D11,0)</f>
        <v>0</v>
      </c>
      <c r="E51" s="97">
        <f t="shared" si="2"/>
        <v>0</v>
      </c>
      <c r="F51" s="97">
        <f t="shared" si="2"/>
        <v>0</v>
      </c>
      <c r="G51" s="97">
        <f t="shared" si="2"/>
        <v>0</v>
      </c>
      <c r="H51" s="97">
        <f t="shared" si="2"/>
        <v>0</v>
      </c>
      <c r="I51" s="97">
        <f t="shared" si="2"/>
        <v>0</v>
      </c>
      <c r="J51" s="97">
        <f t="shared" si="2"/>
        <v>0</v>
      </c>
      <c r="K51" s="97">
        <f t="shared" si="2"/>
        <v>0</v>
      </c>
      <c r="L51" s="97">
        <f t="shared" si="2"/>
        <v>0</v>
      </c>
      <c r="M51" s="97">
        <f t="shared" si="2"/>
        <v>0</v>
      </c>
      <c r="N51" s="97">
        <f t="shared" si="2"/>
        <v>0</v>
      </c>
      <c r="O51" s="2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9.75" hidden="1" customHeight="1" outlineLevel="1" x14ac:dyDescent="0.15">
      <c r="A52" s="10"/>
      <c r="B52" s="288" t="s">
        <v>301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2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9.75" hidden="1" customHeight="1" outlineLevel="1" x14ac:dyDescent="0.15">
      <c r="A53" s="10"/>
      <c r="B53" s="288" t="s">
        <v>302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2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9.75" customHeight="1" collapsed="1" x14ac:dyDescent="0.15">
      <c r="A54" s="58"/>
      <c r="B54" s="281" t="s">
        <v>303</v>
      </c>
      <c r="C54" s="58"/>
      <c r="D54" s="60">
        <f t="shared" ref="D54:N54" si="3">D14+SUM(D51:D53)</f>
        <v>0</v>
      </c>
      <c r="E54" s="60">
        <f t="shared" si="3"/>
        <v>0</v>
      </c>
      <c r="F54" s="60">
        <f t="shared" si="3"/>
        <v>0</v>
      </c>
      <c r="G54" s="60">
        <f t="shared" si="3"/>
        <v>0</v>
      </c>
      <c r="H54" s="60">
        <f t="shared" si="3"/>
        <v>0</v>
      </c>
      <c r="I54" s="60">
        <f t="shared" si="3"/>
        <v>0</v>
      </c>
      <c r="J54" s="60">
        <f t="shared" si="3"/>
        <v>0</v>
      </c>
      <c r="K54" s="60">
        <f t="shared" si="3"/>
        <v>0</v>
      </c>
      <c r="L54" s="60">
        <f t="shared" si="3"/>
        <v>0</v>
      </c>
      <c r="M54" s="60">
        <f t="shared" si="3"/>
        <v>0</v>
      </c>
      <c r="N54" s="60">
        <f t="shared" si="3"/>
        <v>0</v>
      </c>
      <c r="O54" s="2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4.5" customHeight="1" x14ac:dyDescent="0.15">
      <c r="A55" s="10"/>
      <c r="B55" s="278"/>
      <c r="C55" s="161"/>
      <c r="D55" s="10"/>
      <c r="E55" s="10"/>
      <c r="F55" s="174"/>
      <c r="G55" s="10"/>
      <c r="H55" s="10"/>
      <c r="I55" s="10"/>
      <c r="J55" s="10"/>
      <c r="K55" s="10"/>
      <c r="L55" s="10"/>
      <c r="M55" s="10"/>
      <c r="N55" s="10"/>
      <c r="O55" s="2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9.75" customHeight="1" x14ac:dyDescent="0.15">
      <c r="A56" s="10"/>
      <c r="B56" s="293" t="s">
        <v>304</v>
      </c>
      <c r="C56" s="294"/>
      <c r="D56" s="294"/>
      <c r="E56" s="294"/>
      <c r="F56" s="295"/>
      <c r="G56" s="294"/>
      <c r="H56" s="294"/>
      <c r="I56" s="294"/>
      <c r="J56" s="294"/>
      <c r="K56" s="294"/>
      <c r="L56" s="294"/>
      <c r="M56" s="294"/>
      <c r="N56" s="294"/>
      <c r="O56" s="2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9.75" customHeight="1" x14ac:dyDescent="0.15">
      <c r="A57" s="10"/>
      <c r="B57" s="296" t="s">
        <v>305</v>
      </c>
      <c r="C57" s="297"/>
      <c r="D57" s="298">
        <f t="shared" ref="D57:N57" si="4">D7</f>
        <v>0</v>
      </c>
      <c r="E57" s="298">
        <f t="shared" si="4"/>
        <v>0</v>
      </c>
      <c r="F57" s="298">
        <f t="shared" si="4"/>
        <v>0</v>
      </c>
      <c r="G57" s="298">
        <f t="shared" si="4"/>
        <v>0</v>
      </c>
      <c r="H57" s="298">
        <f t="shared" si="4"/>
        <v>0</v>
      </c>
      <c r="I57" s="298">
        <f t="shared" si="4"/>
        <v>0</v>
      </c>
      <c r="J57" s="298">
        <f t="shared" si="4"/>
        <v>0</v>
      </c>
      <c r="K57" s="298">
        <f t="shared" si="4"/>
        <v>0</v>
      </c>
      <c r="L57" s="298">
        <f t="shared" si="4"/>
        <v>0</v>
      </c>
      <c r="M57" s="298">
        <f t="shared" si="4"/>
        <v>0</v>
      </c>
      <c r="N57" s="298">
        <f t="shared" si="4"/>
        <v>0</v>
      </c>
      <c r="O57" s="2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4.5" customHeight="1" x14ac:dyDescent="0.15">
      <c r="A58" s="10"/>
      <c r="B58" s="278"/>
      <c r="C58" s="10"/>
      <c r="D58" s="10"/>
      <c r="E58" s="10"/>
      <c r="F58" s="174"/>
      <c r="G58" s="10"/>
      <c r="H58" s="10"/>
      <c r="I58" s="10"/>
      <c r="J58" s="161"/>
      <c r="K58" s="10"/>
      <c r="L58" s="10"/>
      <c r="M58" s="10"/>
      <c r="N58" s="10"/>
      <c r="O58" s="2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9.75" customHeight="1" x14ac:dyDescent="0.15">
      <c r="A59" s="10"/>
      <c r="B59" s="278" t="s">
        <v>103</v>
      </c>
      <c r="C59" s="28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2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9.75" customHeight="1" x14ac:dyDescent="0.15">
      <c r="A60" s="10"/>
      <c r="B60" s="278" t="s">
        <v>75</v>
      </c>
      <c r="C60" s="289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2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9.75" customHeight="1" x14ac:dyDescent="0.15">
      <c r="A61" s="10"/>
      <c r="B61" s="278" t="s">
        <v>306</v>
      </c>
      <c r="C61" s="10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2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9.75" customHeight="1" x14ac:dyDescent="0.15">
      <c r="A62" s="10"/>
      <c r="B62" s="278" t="s">
        <v>307</v>
      </c>
      <c r="C62" s="58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2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9.75" customHeight="1" x14ac:dyDescent="0.15">
      <c r="A63" s="10"/>
      <c r="B63" s="278" t="s">
        <v>308</v>
      </c>
      <c r="C63" s="93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2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9.75" customHeight="1" x14ac:dyDescent="0.15">
      <c r="A64" s="10"/>
      <c r="B64" s="278" t="s">
        <v>309</v>
      </c>
      <c r="C64" s="93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2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9.75" customHeight="1" x14ac:dyDescent="0.15">
      <c r="A65" s="10"/>
      <c r="B65" s="278" t="s">
        <v>310</v>
      </c>
      <c r="C65" s="58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2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9.75" customHeight="1" x14ac:dyDescent="0.15">
      <c r="A66" s="10"/>
      <c r="B66" s="278" t="s">
        <v>311</v>
      </c>
      <c r="C66" s="93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2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9.75" customHeight="1" x14ac:dyDescent="0.15">
      <c r="A67" s="10"/>
      <c r="B67" s="278" t="s">
        <v>157</v>
      </c>
      <c r="C67" s="10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2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9.75" customHeight="1" x14ac:dyDescent="0.15">
      <c r="A68" s="10"/>
      <c r="B68" s="278" t="s">
        <v>312</v>
      </c>
      <c r="C68" s="58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2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9.75" customHeight="1" x14ac:dyDescent="0.15">
      <c r="A69" s="10"/>
      <c r="B69" s="278"/>
      <c r="C69" s="58"/>
      <c r="D69" s="10"/>
      <c r="E69" s="10"/>
      <c r="F69" s="174"/>
      <c r="G69" s="10"/>
      <c r="H69" s="10"/>
      <c r="I69" s="10"/>
      <c r="J69" s="10"/>
      <c r="K69" s="10"/>
      <c r="L69" s="10"/>
      <c r="M69" s="10"/>
      <c r="N69" s="10"/>
      <c r="O69" s="2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9.75" customHeight="1" x14ac:dyDescent="0.15">
      <c r="A70" s="10"/>
      <c r="B70" s="299" t="s">
        <v>313</v>
      </c>
      <c r="C70" s="300"/>
      <c r="D70" s="300"/>
      <c r="E70" s="300"/>
      <c r="F70" s="301"/>
      <c r="G70" s="300"/>
      <c r="H70" s="300"/>
      <c r="I70" s="300"/>
      <c r="J70" s="302"/>
      <c r="K70" s="300"/>
      <c r="L70" s="300"/>
      <c r="M70" s="300"/>
      <c r="N70" s="300"/>
      <c r="O70" s="2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9.75" customHeight="1" x14ac:dyDescent="0.15">
      <c r="A71" s="10"/>
      <c r="B71" s="278" t="s">
        <v>314</v>
      </c>
      <c r="C71" s="10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2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9.75" customHeight="1" x14ac:dyDescent="0.15">
      <c r="A72" s="10"/>
      <c r="B72" s="278" t="s">
        <v>315</v>
      </c>
      <c r="C72" s="10"/>
      <c r="D72" s="10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2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9.75" customHeight="1" x14ac:dyDescent="0.15">
      <c r="A73" s="10"/>
      <c r="B73" s="278" t="s">
        <v>316</v>
      </c>
      <c r="C73" s="10"/>
      <c r="D73" s="10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2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9.75" customHeight="1" x14ac:dyDescent="0.15">
      <c r="A74" s="10"/>
      <c r="B74" s="281"/>
      <c r="C74" s="58"/>
      <c r="D74" s="58"/>
      <c r="E74" s="60"/>
      <c r="F74" s="60"/>
      <c r="G74" s="60"/>
      <c r="H74" s="60"/>
      <c r="I74" s="60"/>
      <c r="J74" s="55"/>
      <c r="K74" s="60"/>
      <c r="L74" s="60"/>
      <c r="M74" s="60"/>
      <c r="N74" s="60"/>
      <c r="O74" s="2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9.75" customHeight="1" x14ac:dyDescent="0.15">
      <c r="A75" s="10"/>
      <c r="B75" s="299" t="s">
        <v>317</v>
      </c>
      <c r="C75" s="300"/>
      <c r="D75" s="300"/>
      <c r="E75" s="300"/>
      <c r="F75" s="301"/>
      <c r="G75" s="300"/>
      <c r="H75" s="300"/>
      <c r="I75" s="300"/>
      <c r="J75" s="302"/>
      <c r="K75" s="300"/>
      <c r="L75" s="300"/>
      <c r="M75" s="300"/>
      <c r="N75" s="300"/>
      <c r="O75" s="2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9.75" customHeight="1" x14ac:dyDescent="0.15">
      <c r="A76" s="10"/>
      <c r="B76" s="278" t="s">
        <v>115</v>
      </c>
      <c r="C76" s="10"/>
      <c r="D76" s="49">
        <f t="shared" ref="D76:N76" si="5">D63+D71</f>
        <v>0</v>
      </c>
      <c r="E76" s="49">
        <f t="shared" si="5"/>
        <v>0</v>
      </c>
      <c r="F76" s="49">
        <f t="shared" si="5"/>
        <v>0</v>
      </c>
      <c r="G76" s="49">
        <f t="shared" si="5"/>
        <v>0</v>
      </c>
      <c r="H76" s="49">
        <f t="shared" si="5"/>
        <v>0</v>
      </c>
      <c r="I76" s="49">
        <f t="shared" si="5"/>
        <v>0</v>
      </c>
      <c r="J76" s="49">
        <f t="shared" si="5"/>
        <v>0</v>
      </c>
      <c r="K76" s="49">
        <f t="shared" si="5"/>
        <v>0</v>
      </c>
      <c r="L76" s="49">
        <f t="shared" si="5"/>
        <v>0</v>
      </c>
      <c r="M76" s="49">
        <f t="shared" si="5"/>
        <v>0</v>
      </c>
      <c r="N76" s="49">
        <f t="shared" si="5"/>
        <v>0</v>
      </c>
      <c r="O76" s="2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9.75" customHeight="1" x14ac:dyDescent="0.15">
      <c r="A77" s="10"/>
      <c r="B77" s="278" t="s">
        <v>318</v>
      </c>
      <c r="C77" s="10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2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9.75" customHeight="1" x14ac:dyDescent="0.15">
      <c r="A78" s="10"/>
      <c r="B78" s="278" t="s">
        <v>319</v>
      </c>
      <c r="C78" s="10"/>
      <c r="D78" s="55">
        <f t="shared" ref="D78:N78" si="6">D76+D77</f>
        <v>0</v>
      </c>
      <c r="E78" s="55">
        <f t="shared" si="6"/>
        <v>0</v>
      </c>
      <c r="F78" s="55">
        <f t="shared" si="6"/>
        <v>0</v>
      </c>
      <c r="G78" s="55">
        <f t="shared" si="6"/>
        <v>0</v>
      </c>
      <c r="H78" s="55">
        <f t="shared" si="6"/>
        <v>0</v>
      </c>
      <c r="I78" s="55">
        <f t="shared" si="6"/>
        <v>0</v>
      </c>
      <c r="J78" s="55">
        <f t="shared" si="6"/>
        <v>0</v>
      </c>
      <c r="K78" s="55">
        <f t="shared" si="6"/>
        <v>0</v>
      </c>
      <c r="L78" s="55">
        <f t="shared" si="6"/>
        <v>0</v>
      </c>
      <c r="M78" s="55">
        <f t="shared" si="6"/>
        <v>0</v>
      </c>
      <c r="N78" s="55">
        <f t="shared" si="6"/>
        <v>0</v>
      </c>
      <c r="O78" s="2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9.75" customHeight="1" x14ac:dyDescent="0.15">
      <c r="A79" s="10"/>
      <c r="B79" s="278" t="s">
        <v>310</v>
      </c>
      <c r="C79" s="10"/>
      <c r="D79" s="55">
        <f t="shared" ref="D79:N79" si="7">D65+D71+D72</f>
        <v>0</v>
      </c>
      <c r="E79" s="55">
        <f t="shared" si="7"/>
        <v>0</v>
      </c>
      <c r="F79" s="55">
        <f t="shared" si="7"/>
        <v>0</v>
      </c>
      <c r="G79" s="55">
        <f t="shared" si="7"/>
        <v>0</v>
      </c>
      <c r="H79" s="55">
        <f t="shared" si="7"/>
        <v>0</v>
      </c>
      <c r="I79" s="55">
        <f t="shared" si="7"/>
        <v>0</v>
      </c>
      <c r="J79" s="55">
        <f t="shared" si="7"/>
        <v>0</v>
      </c>
      <c r="K79" s="55">
        <f t="shared" si="7"/>
        <v>0</v>
      </c>
      <c r="L79" s="55">
        <f t="shared" si="7"/>
        <v>0</v>
      </c>
      <c r="M79" s="55">
        <f t="shared" si="7"/>
        <v>0</v>
      </c>
      <c r="N79" s="55">
        <f t="shared" si="7"/>
        <v>0</v>
      </c>
      <c r="O79" s="2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9.75" customHeight="1" x14ac:dyDescent="0.15">
      <c r="A80" s="10"/>
      <c r="B80" s="278" t="s">
        <v>320</v>
      </c>
      <c r="C80" s="10"/>
      <c r="D80" s="55">
        <f t="shared" ref="D80:N80" si="8">D66+D73</f>
        <v>0</v>
      </c>
      <c r="E80" s="55">
        <f t="shared" si="8"/>
        <v>0</v>
      </c>
      <c r="F80" s="55">
        <f t="shared" si="8"/>
        <v>0</v>
      </c>
      <c r="G80" s="55">
        <f t="shared" si="8"/>
        <v>0</v>
      </c>
      <c r="H80" s="55">
        <f t="shared" si="8"/>
        <v>0</v>
      </c>
      <c r="I80" s="55">
        <f t="shared" si="8"/>
        <v>0</v>
      </c>
      <c r="J80" s="55">
        <f t="shared" si="8"/>
        <v>0</v>
      </c>
      <c r="K80" s="55">
        <f t="shared" si="8"/>
        <v>0</v>
      </c>
      <c r="L80" s="55">
        <f t="shared" si="8"/>
        <v>0</v>
      </c>
      <c r="M80" s="55">
        <f t="shared" si="8"/>
        <v>0</v>
      </c>
      <c r="N80" s="55">
        <f t="shared" si="8"/>
        <v>0</v>
      </c>
      <c r="O80" s="2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9.75" customHeight="1" x14ac:dyDescent="0.15">
      <c r="A81" s="10"/>
      <c r="B81" s="278" t="s">
        <v>321</v>
      </c>
      <c r="C81" s="10"/>
      <c r="D81" s="55">
        <f t="shared" ref="D81:N81" si="9">D79+D80</f>
        <v>0</v>
      </c>
      <c r="E81" s="55">
        <f t="shared" si="9"/>
        <v>0</v>
      </c>
      <c r="F81" s="55">
        <f t="shared" si="9"/>
        <v>0</v>
      </c>
      <c r="G81" s="55">
        <f t="shared" si="9"/>
        <v>0</v>
      </c>
      <c r="H81" s="55">
        <f t="shared" si="9"/>
        <v>0</v>
      </c>
      <c r="I81" s="55">
        <f t="shared" si="9"/>
        <v>0</v>
      </c>
      <c r="J81" s="55">
        <f t="shared" si="9"/>
        <v>0</v>
      </c>
      <c r="K81" s="55">
        <f t="shared" si="9"/>
        <v>0</v>
      </c>
      <c r="L81" s="55">
        <f t="shared" si="9"/>
        <v>0</v>
      </c>
      <c r="M81" s="55">
        <f t="shared" si="9"/>
        <v>0</v>
      </c>
      <c r="N81" s="55">
        <f t="shared" si="9"/>
        <v>0</v>
      </c>
      <c r="O81" s="2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9.75" customHeight="1" x14ac:dyDescent="0.15">
      <c r="A82" s="10"/>
      <c r="B82" s="281"/>
      <c r="C82" s="58"/>
      <c r="D82" s="58"/>
      <c r="E82" s="58"/>
      <c r="F82" s="289"/>
      <c r="G82" s="58"/>
      <c r="H82" s="58"/>
      <c r="I82" s="58"/>
      <c r="J82" s="246"/>
      <c r="K82" s="58"/>
      <c r="L82" s="58"/>
      <c r="M82" s="58"/>
      <c r="N82" s="58"/>
      <c r="O82" s="2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9.75" customHeight="1" x14ac:dyDescent="0.15">
      <c r="A83" s="10"/>
      <c r="B83" s="299" t="s">
        <v>322</v>
      </c>
      <c r="C83" s="300"/>
      <c r="D83" s="300"/>
      <c r="E83" s="300"/>
      <c r="F83" s="301"/>
      <c r="G83" s="300"/>
      <c r="H83" s="300"/>
      <c r="I83" s="300"/>
      <c r="J83" s="302"/>
      <c r="K83" s="300"/>
      <c r="L83" s="300"/>
      <c r="M83" s="300"/>
      <c r="N83" s="300"/>
      <c r="O83" s="2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9.75" customHeight="1" x14ac:dyDescent="0.15">
      <c r="A84" s="10"/>
      <c r="B84" s="278" t="s">
        <v>323</v>
      </c>
      <c r="C84" s="58"/>
      <c r="D84" s="58"/>
      <c r="E84" s="58"/>
      <c r="F84" s="289"/>
      <c r="G84" s="58"/>
      <c r="H84" s="58"/>
      <c r="I84" s="58"/>
      <c r="J84" s="246"/>
      <c r="K84" s="58"/>
      <c r="L84" s="58"/>
      <c r="M84" s="58"/>
      <c r="N84" s="58"/>
      <c r="O84" s="2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9.75" customHeight="1" x14ac:dyDescent="0.15">
      <c r="A85" s="10"/>
      <c r="B85" s="278" t="s">
        <v>324</v>
      </c>
      <c r="C85" s="58"/>
      <c r="D85" s="58"/>
      <c r="E85" s="58"/>
      <c r="F85" s="289"/>
      <c r="G85" s="58"/>
      <c r="H85" s="58"/>
      <c r="I85" s="58"/>
      <c r="J85" s="246"/>
      <c r="K85" s="58"/>
      <c r="L85" s="58"/>
      <c r="M85" s="58"/>
      <c r="N85" s="58"/>
      <c r="O85" s="2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9.75" customHeight="1" x14ac:dyDescent="0.15">
      <c r="A86" s="10"/>
      <c r="B86" s="281" t="s">
        <v>136</v>
      </c>
      <c r="C86" s="58"/>
      <c r="D86" s="303">
        <f t="shared" ref="D86:N86" si="10">IFERROR((D81+D84)/(D68+D85),0)</f>
        <v>0</v>
      </c>
      <c r="E86" s="303">
        <f t="shared" si="10"/>
        <v>0</v>
      </c>
      <c r="F86" s="303">
        <f t="shared" si="10"/>
        <v>0</v>
      </c>
      <c r="G86" s="303">
        <f t="shared" si="10"/>
        <v>0</v>
      </c>
      <c r="H86" s="303">
        <f t="shared" si="10"/>
        <v>0</v>
      </c>
      <c r="I86" s="303">
        <f t="shared" si="10"/>
        <v>0</v>
      </c>
      <c r="J86" s="303">
        <f t="shared" si="10"/>
        <v>0</v>
      </c>
      <c r="K86" s="303">
        <f t="shared" si="10"/>
        <v>0</v>
      </c>
      <c r="L86" s="303">
        <f t="shared" si="10"/>
        <v>0</v>
      </c>
      <c r="M86" s="303">
        <f t="shared" si="10"/>
        <v>0</v>
      </c>
      <c r="N86" s="303">
        <f t="shared" si="10"/>
        <v>0</v>
      </c>
      <c r="O86" s="2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4.5" customHeight="1" x14ac:dyDescent="0.15">
      <c r="A87" s="10"/>
      <c r="B87" s="281"/>
      <c r="C87" s="58"/>
      <c r="D87" s="58"/>
      <c r="E87" s="58"/>
      <c r="F87" s="289"/>
      <c r="G87" s="58"/>
      <c r="H87" s="58"/>
      <c r="I87" s="58"/>
      <c r="J87" s="246"/>
      <c r="K87" s="58"/>
      <c r="L87" s="58"/>
      <c r="M87" s="58"/>
      <c r="N87" s="58"/>
      <c r="O87" s="2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9.75" customHeight="1" x14ac:dyDescent="0.15">
      <c r="A88" s="10"/>
      <c r="B88" s="304" t="s">
        <v>325</v>
      </c>
      <c r="C88" s="305"/>
      <c r="D88" s="298">
        <f t="shared" ref="D88:N88" si="11">D8</f>
        <v>0</v>
      </c>
      <c r="E88" s="298">
        <f t="shared" si="11"/>
        <v>0</v>
      </c>
      <c r="F88" s="298">
        <f t="shared" si="11"/>
        <v>0</v>
      </c>
      <c r="G88" s="298">
        <f t="shared" si="11"/>
        <v>0</v>
      </c>
      <c r="H88" s="298">
        <f t="shared" si="11"/>
        <v>0</v>
      </c>
      <c r="I88" s="298">
        <f t="shared" si="11"/>
        <v>0</v>
      </c>
      <c r="J88" s="298">
        <f t="shared" si="11"/>
        <v>0</v>
      </c>
      <c r="K88" s="298">
        <f t="shared" si="11"/>
        <v>0</v>
      </c>
      <c r="L88" s="298">
        <f t="shared" si="11"/>
        <v>0</v>
      </c>
      <c r="M88" s="298">
        <f t="shared" si="11"/>
        <v>0</v>
      </c>
      <c r="N88" s="298">
        <f t="shared" si="11"/>
        <v>0</v>
      </c>
      <c r="O88" s="2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9.75" customHeight="1" x14ac:dyDescent="0.15">
      <c r="A89" s="93"/>
      <c r="B89" s="306" t="s">
        <v>326</v>
      </c>
      <c r="C89" s="246"/>
      <c r="D89" s="307">
        <f t="shared" ref="D89:N89" si="12">D9</f>
        <v>0</v>
      </c>
      <c r="E89" s="307">
        <f t="shared" si="12"/>
        <v>0</v>
      </c>
      <c r="F89" s="307">
        <f t="shared" si="12"/>
        <v>0</v>
      </c>
      <c r="G89" s="307">
        <f t="shared" si="12"/>
        <v>0</v>
      </c>
      <c r="H89" s="307">
        <f t="shared" si="12"/>
        <v>0</v>
      </c>
      <c r="I89" s="307">
        <f t="shared" si="12"/>
        <v>0</v>
      </c>
      <c r="J89" s="307">
        <f t="shared" si="12"/>
        <v>0</v>
      </c>
      <c r="K89" s="307">
        <f t="shared" si="12"/>
        <v>0</v>
      </c>
      <c r="L89" s="307">
        <f t="shared" si="12"/>
        <v>0</v>
      </c>
      <c r="M89" s="307">
        <f t="shared" si="12"/>
        <v>0</v>
      </c>
      <c r="N89" s="307">
        <f t="shared" si="12"/>
        <v>0</v>
      </c>
      <c r="O89" s="2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</row>
    <row r="90" spans="1:26" ht="4.5" customHeight="1" x14ac:dyDescent="0.15">
      <c r="A90" s="10"/>
      <c r="B90" s="278"/>
      <c r="C90" s="58"/>
      <c r="D90" s="10"/>
      <c r="E90" s="10"/>
      <c r="F90" s="174"/>
      <c r="G90" s="10"/>
      <c r="H90" s="10"/>
      <c r="I90" s="10"/>
      <c r="J90" s="10"/>
      <c r="K90" s="10"/>
      <c r="L90" s="10"/>
      <c r="M90" s="10"/>
      <c r="N90" s="10"/>
      <c r="O90" s="2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9.75" customHeight="1" x14ac:dyDescent="0.15">
      <c r="A91" s="10"/>
      <c r="B91" s="278" t="s">
        <v>103</v>
      </c>
      <c r="C91" s="10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2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9.75" customHeight="1" x14ac:dyDescent="0.15">
      <c r="A92" s="10"/>
      <c r="B92" s="278" t="s">
        <v>75</v>
      </c>
      <c r="C92" s="10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2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9.75" customHeight="1" x14ac:dyDescent="0.15">
      <c r="A93" s="10"/>
      <c r="B93" s="278" t="s">
        <v>306</v>
      </c>
      <c r="C93" s="10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2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9.75" customHeight="1" x14ac:dyDescent="0.15">
      <c r="A94" s="10"/>
      <c r="B94" s="278" t="s">
        <v>307</v>
      </c>
      <c r="C94" s="58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2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9.75" customHeight="1" x14ac:dyDescent="0.15">
      <c r="A95" s="10"/>
      <c r="B95" s="281" t="s">
        <v>308</v>
      </c>
      <c r="C95" s="161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2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9.75" customHeight="1" x14ac:dyDescent="0.15">
      <c r="A96" s="10"/>
      <c r="B96" s="278" t="s">
        <v>309</v>
      </c>
      <c r="C96" s="58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9.75" customHeight="1" x14ac:dyDescent="0.15">
      <c r="A97" s="10"/>
      <c r="B97" s="278" t="s">
        <v>310</v>
      </c>
      <c r="C97" s="93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2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9.75" customHeight="1" x14ac:dyDescent="0.15">
      <c r="A98" s="10"/>
      <c r="B98" s="278" t="s">
        <v>311</v>
      </c>
      <c r="C98" s="93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2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9.75" customHeight="1" x14ac:dyDescent="0.15">
      <c r="A99" s="58"/>
      <c r="B99" s="281" t="s">
        <v>157</v>
      </c>
      <c r="C99" s="289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2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9.75" customHeight="1" x14ac:dyDescent="0.15">
      <c r="A100" s="10"/>
      <c r="B100" s="278" t="s">
        <v>312</v>
      </c>
      <c r="C100" s="289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2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9.75" customHeight="1" x14ac:dyDescent="0.15">
      <c r="A101" s="10"/>
      <c r="B101" s="278"/>
      <c r="C101" s="289"/>
      <c r="D101" s="10"/>
      <c r="E101" s="10"/>
      <c r="F101" s="174"/>
      <c r="G101" s="10"/>
      <c r="H101" s="10"/>
      <c r="I101" s="10"/>
      <c r="J101" s="131"/>
      <c r="K101" s="10"/>
      <c r="L101" s="10"/>
      <c r="M101" s="10"/>
      <c r="N101" s="10"/>
      <c r="O101" s="2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9.75" customHeight="1" x14ac:dyDescent="0.15">
      <c r="A102" s="10"/>
      <c r="B102" s="299" t="s">
        <v>313</v>
      </c>
      <c r="C102" s="300"/>
      <c r="D102" s="300"/>
      <c r="E102" s="300"/>
      <c r="F102" s="301"/>
      <c r="G102" s="300"/>
      <c r="H102" s="300"/>
      <c r="I102" s="300"/>
      <c r="J102" s="302"/>
      <c r="K102" s="300"/>
      <c r="L102" s="300"/>
      <c r="M102" s="300"/>
      <c r="N102" s="300"/>
      <c r="O102" s="2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9.75" customHeight="1" x14ac:dyDescent="0.15">
      <c r="A103" s="10"/>
      <c r="B103" s="278" t="s">
        <v>314</v>
      </c>
      <c r="C103" s="10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2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9.75" customHeight="1" x14ac:dyDescent="0.15">
      <c r="A104" s="10"/>
      <c r="B104" s="278" t="s">
        <v>315</v>
      </c>
      <c r="C104" s="10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2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9.75" customHeight="1" x14ac:dyDescent="0.15">
      <c r="A105" s="10"/>
      <c r="B105" s="278" t="s">
        <v>316</v>
      </c>
      <c r="C105" s="10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2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9.75" customHeight="1" x14ac:dyDescent="0.15">
      <c r="A106" s="10"/>
      <c r="B106" s="281"/>
      <c r="C106" s="58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2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9.75" customHeight="1" x14ac:dyDescent="0.15">
      <c r="A107" s="10"/>
      <c r="B107" s="299" t="s">
        <v>317</v>
      </c>
      <c r="C107" s="300"/>
      <c r="D107" s="300"/>
      <c r="E107" s="300"/>
      <c r="F107" s="301"/>
      <c r="G107" s="300"/>
      <c r="H107" s="300"/>
      <c r="I107" s="300"/>
      <c r="J107" s="302"/>
      <c r="K107" s="300"/>
      <c r="L107" s="300"/>
      <c r="M107" s="300"/>
      <c r="N107" s="300"/>
      <c r="O107" s="2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9.75" customHeight="1" x14ac:dyDescent="0.15">
      <c r="A108" s="10"/>
      <c r="B108" s="278" t="s">
        <v>115</v>
      </c>
      <c r="C108" s="10"/>
      <c r="D108" s="49">
        <f t="shared" ref="D108:N108" si="13">D95+D103</f>
        <v>0</v>
      </c>
      <c r="E108" s="49">
        <f t="shared" si="13"/>
        <v>0</v>
      </c>
      <c r="F108" s="49">
        <f t="shared" si="13"/>
        <v>0</v>
      </c>
      <c r="G108" s="49">
        <f t="shared" si="13"/>
        <v>0</v>
      </c>
      <c r="H108" s="49">
        <f t="shared" si="13"/>
        <v>0</v>
      </c>
      <c r="I108" s="49">
        <f t="shared" si="13"/>
        <v>0</v>
      </c>
      <c r="J108" s="49">
        <f t="shared" si="13"/>
        <v>0</v>
      </c>
      <c r="K108" s="49">
        <f t="shared" si="13"/>
        <v>0</v>
      </c>
      <c r="L108" s="49">
        <f t="shared" si="13"/>
        <v>0</v>
      </c>
      <c r="M108" s="49">
        <f t="shared" si="13"/>
        <v>0</v>
      </c>
      <c r="N108" s="49">
        <f t="shared" si="13"/>
        <v>0</v>
      </c>
      <c r="O108" s="2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9.75" customHeight="1" x14ac:dyDescent="0.15">
      <c r="A109" s="10"/>
      <c r="B109" s="278" t="s">
        <v>318</v>
      </c>
      <c r="C109" s="10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2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9.75" customHeight="1" x14ac:dyDescent="0.15">
      <c r="A110" s="10"/>
      <c r="B110" s="278" t="s">
        <v>319</v>
      </c>
      <c r="C110" s="10"/>
      <c r="D110" s="55">
        <f t="shared" ref="D110:N110" si="14">D108+D109</f>
        <v>0</v>
      </c>
      <c r="E110" s="55">
        <f t="shared" si="14"/>
        <v>0</v>
      </c>
      <c r="F110" s="55">
        <f t="shared" si="14"/>
        <v>0</v>
      </c>
      <c r="G110" s="55">
        <f t="shared" si="14"/>
        <v>0</v>
      </c>
      <c r="H110" s="55">
        <f t="shared" si="14"/>
        <v>0</v>
      </c>
      <c r="I110" s="55">
        <f t="shared" si="14"/>
        <v>0</v>
      </c>
      <c r="J110" s="55">
        <f t="shared" si="14"/>
        <v>0</v>
      </c>
      <c r="K110" s="55">
        <f t="shared" si="14"/>
        <v>0</v>
      </c>
      <c r="L110" s="55">
        <f t="shared" si="14"/>
        <v>0</v>
      </c>
      <c r="M110" s="55">
        <f t="shared" si="14"/>
        <v>0</v>
      </c>
      <c r="N110" s="55">
        <f t="shared" si="14"/>
        <v>0</v>
      </c>
      <c r="O110" s="2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9.75" customHeight="1" x14ac:dyDescent="0.15">
      <c r="A111" s="10"/>
      <c r="B111" s="278" t="s">
        <v>310</v>
      </c>
      <c r="C111" s="10"/>
      <c r="D111" s="55">
        <f t="shared" ref="D111:N111" si="15">D97+D103+D104</f>
        <v>0</v>
      </c>
      <c r="E111" s="55">
        <f t="shared" si="15"/>
        <v>0</v>
      </c>
      <c r="F111" s="55">
        <f t="shared" si="15"/>
        <v>0</v>
      </c>
      <c r="G111" s="55">
        <f t="shared" si="15"/>
        <v>0</v>
      </c>
      <c r="H111" s="55">
        <f t="shared" si="15"/>
        <v>0</v>
      </c>
      <c r="I111" s="55">
        <f t="shared" si="15"/>
        <v>0</v>
      </c>
      <c r="J111" s="55">
        <f t="shared" si="15"/>
        <v>0</v>
      </c>
      <c r="K111" s="55">
        <f t="shared" si="15"/>
        <v>0</v>
      </c>
      <c r="L111" s="55">
        <f t="shared" si="15"/>
        <v>0</v>
      </c>
      <c r="M111" s="55">
        <f t="shared" si="15"/>
        <v>0</v>
      </c>
      <c r="N111" s="55">
        <f t="shared" si="15"/>
        <v>0</v>
      </c>
      <c r="O111" s="2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9.75" customHeight="1" x14ac:dyDescent="0.15">
      <c r="A112" s="10"/>
      <c r="B112" s="278" t="s">
        <v>320</v>
      </c>
      <c r="C112" s="10"/>
      <c r="D112" s="55">
        <f t="shared" ref="D112:N112" si="16">D98+D105</f>
        <v>0</v>
      </c>
      <c r="E112" s="55">
        <f t="shared" si="16"/>
        <v>0</v>
      </c>
      <c r="F112" s="55">
        <f t="shared" si="16"/>
        <v>0</v>
      </c>
      <c r="G112" s="55">
        <f t="shared" si="16"/>
        <v>0</v>
      </c>
      <c r="H112" s="55">
        <f t="shared" si="16"/>
        <v>0</v>
      </c>
      <c r="I112" s="55">
        <f t="shared" si="16"/>
        <v>0</v>
      </c>
      <c r="J112" s="55">
        <f t="shared" si="16"/>
        <v>0</v>
      </c>
      <c r="K112" s="55">
        <f t="shared" si="16"/>
        <v>0</v>
      </c>
      <c r="L112" s="55">
        <f t="shared" si="16"/>
        <v>0</v>
      </c>
      <c r="M112" s="55">
        <f t="shared" si="16"/>
        <v>0</v>
      </c>
      <c r="N112" s="55">
        <f t="shared" si="16"/>
        <v>0</v>
      </c>
      <c r="O112" s="2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9.75" customHeight="1" x14ac:dyDescent="0.15">
      <c r="A113" s="10"/>
      <c r="B113" s="278" t="s">
        <v>321</v>
      </c>
      <c r="C113" s="10"/>
      <c r="D113" s="55">
        <f t="shared" ref="D113:N113" si="17">D111+D112</f>
        <v>0</v>
      </c>
      <c r="E113" s="55">
        <f t="shared" si="17"/>
        <v>0</v>
      </c>
      <c r="F113" s="55">
        <f t="shared" si="17"/>
        <v>0</v>
      </c>
      <c r="G113" s="55">
        <f t="shared" si="17"/>
        <v>0</v>
      </c>
      <c r="H113" s="55">
        <f t="shared" si="17"/>
        <v>0</v>
      </c>
      <c r="I113" s="55">
        <f t="shared" si="17"/>
        <v>0</v>
      </c>
      <c r="J113" s="55">
        <f t="shared" si="17"/>
        <v>0</v>
      </c>
      <c r="K113" s="55">
        <f t="shared" si="17"/>
        <v>0</v>
      </c>
      <c r="L113" s="55">
        <f t="shared" si="17"/>
        <v>0</v>
      </c>
      <c r="M113" s="55">
        <f t="shared" si="17"/>
        <v>0</v>
      </c>
      <c r="N113" s="55">
        <f t="shared" si="17"/>
        <v>0</v>
      </c>
      <c r="O113" s="2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9.75" customHeight="1" x14ac:dyDescent="0.15">
      <c r="A114" s="10"/>
      <c r="B114" s="281"/>
      <c r="C114" s="58"/>
      <c r="D114" s="58"/>
      <c r="E114" s="58"/>
      <c r="F114" s="289"/>
      <c r="G114" s="58"/>
      <c r="H114" s="58"/>
      <c r="I114" s="58"/>
      <c r="J114" s="246"/>
      <c r="K114" s="58"/>
      <c r="L114" s="58"/>
      <c r="M114" s="58"/>
      <c r="N114" s="58"/>
      <c r="O114" s="2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9.75" customHeight="1" x14ac:dyDescent="0.15">
      <c r="A115" s="10"/>
      <c r="B115" s="299" t="s">
        <v>322</v>
      </c>
      <c r="C115" s="300"/>
      <c r="D115" s="300"/>
      <c r="E115" s="300"/>
      <c r="F115" s="301"/>
      <c r="G115" s="300"/>
      <c r="H115" s="300"/>
      <c r="I115" s="300"/>
      <c r="J115" s="302"/>
      <c r="K115" s="300"/>
      <c r="L115" s="300"/>
      <c r="M115" s="300"/>
      <c r="N115" s="300"/>
      <c r="O115" s="2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9.75" customHeight="1" x14ac:dyDescent="0.15">
      <c r="A116" s="10"/>
      <c r="B116" s="278" t="s">
        <v>323</v>
      </c>
      <c r="C116" s="58"/>
      <c r="D116" s="58"/>
      <c r="E116" s="58"/>
      <c r="F116" s="289"/>
      <c r="G116" s="58"/>
      <c r="H116" s="58"/>
      <c r="I116" s="58"/>
      <c r="J116" s="246"/>
      <c r="K116" s="58"/>
      <c r="L116" s="58"/>
      <c r="M116" s="58"/>
      <c r="N116" s="58"/>
      <c r="O116" s="2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9.75" customHeight="1" x14ac:dyDescent="0.15">
      <c r="A117" s="10"/>
      <c r="B117" s="278" t="s">
        <v>324</v>
      </c>
      <c r="C117" s="58"/>
      <c r="D117" s="58"/>
      <c r="E117" s="58"/>
      <c r="F117" s="60"/>
      <c r="G117" s="58"/>
      <c r="H117" s="58"/>
      <c r="I117" s="58"/>
      <c r="J117" s="246"/>
      <c r="K117" s="58"/>
      <c r="L117" s="58"/>
      <c r="M117" s="58"/>
      <c r="N117" s="58"/>
      <c r="O117" s="2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9.75" customHeight="1" x14ac:dyDescent="0.15">
      <c r="A118" s="10"/>
      <c r="B118" s="281" t="s">
        <v>136</v>
      </c>
      <c r="C118" s="58"/>
      <c r="D118" s="303">
        <f t="shared" ref="D118:N118" si="18">IFERROR((D113+D116)/(D100+D117),0)</f>
        <v>0</v>
      </c>
      <c r="E118" s="303">
        <f t="shared" si="18"/>
        <v>0</v>
      </c>
      <c r="F118" s="303">
        <f t="shared" si="18"/>
        <v>0</v>
      </c>
      <c r="G118" s="303">
        <f t="shared" si="18"/>
        <v>0</v>
      </c>
      <c r="H118" s="303">
        <f t="shared" si="18"/>
        <v>0</v>
      </c>
      <c r="I118" s="303">
        <f t="shared" si="18"/>
        <v>0</v>
      </c>
      <c r="J118" s="303">
        <f t="shared" si="18"/>
        <v>0</v>
      </c>
      <c r="K118" s="303">
        <f t="shared" si="18"/>
        <v>0</v>
      </c>
      <c r="L118" s="303">
        <f t="shared" si="18"/>
        <v>0</v>
      </c>
      <c r="M118" s="303">
        <f t="shared" si="18"/>
        <v>0</v>
      </c>
      <c r="N118" s="303">
        <f t="shared" si="18"/>
        <v>0</v>
      </c>
      <c r="O118" s="2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4.5" customHeight="1" x14ac:dyDescent="0.15">
      <c r="A119" s="10"/>
      <c r="B119" s="278"/>
      <c r="C119" s="58"/>
      <c r="D119" s="10"/>
      <c r="E119" s="10"/>
      <c r="F119" s="174"/>
      <c r="G119" s="10"/>
      <c r="H119" s="10"/>
      <c r="I119" s="10"/>
      <c r="J119" s="10"/>
      <c r="K119" s="10"/>
      <c r="L119" s="10"/>
      <c r="M119" s="10"/>
      <c r="N119" s="10"/>
      <c r="O119" s="2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9.75" customHeight="1" x14ac:dyDescent="0.15">
      <c r="A120" s="10"/>
      <c r="B120" s="304" t="s">
        <v>327</v>
      </c>
      <c r="C120" s="305"/>
      <c r="D120" s="298" t="str">
        <f t="shared" ref="D120:N120" si="19">IFERROR(EOMONTH(D88,-12)," ")</f>
        <v xml:space="preserve"> </v>
      </c>
      <c r="E120" s="298" t="str">
        <f t="shared" si="19"/>
        <v xml:space="preserve"> </v>
      </c>
      <c r="F120" s="298" t="str">
        <f t="shared" si="19"/>
        <v xml:space="preserve"> </v>
      </c>
      <c r="G120" s="298" t="str">
        <f t="shared" si="19"/>
        <v xml:space="preserve"> </v>
      </c>
      <c r="H120" s="298" t="str">
        <f t="shared" si="19"/>
        <v xml:space="preserve"> </v>
      </c>
      <c r="I120" s="298" t="str">
        <f t="shared" si="19"/>
        <v xml:space="preserve"> </v>
      </c>
      <c r="J120" s="298" t="str">
        <f t="shared" si="19"/>
        <v xml:space="preserve"> </v>
      </c>
      <c r="K120" s="298" t="str">
        <f t="shared" si="19"/>
        <v xml:space="preserve"> </v>
      </c>
      <c r="L120" s="298" t="str">
        <f t="shared" si="19"/>
        <v xml:space="preserve"> </v>
      </c>
      <c r="M120" s="298" t="str">
        <f t="shared" si="19"/>
        <v xml:space="preserve"> </v>
      </c>
      <c r="N120" s="298" t="str">
        <f t="shared" si="19"/>
        <v xml:space="preserve"> </v>
      </c>
      <c r="O120" s="2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9.75" customHeight="1" x14ac:dyDescent="0.15">
      <c r="A121" s="93"/>
      <c r="B121" s="306" t="s">
        <v>326</v>
      </c>
      <c r="C121" s="246"/>
      <c r="D121" s="307">
        <f t="shared" ref="D121:N121" si="20">D9</f>
        <v>0</v>
      </c>
      <c r="E121" s="307">
        <f t="shared" si="20"/>
        <v>0</v>
      </c>
      <c r="F121" s="307">
        <f t="shared" si="20"/>
        <v>0</v>
      </c>
      <c r="G121" s="307">
        <f t="shared" si="20"/>
        <v>0</v>
      </c>
      <c r="H121" s="307">
        <f t="shared" si="20"/>
        <v>0</v>
      </c>
      <c r="I121" s="307">
        <f t="shared" si="20"/>
        <v>0</v>
      </c>
      <c r="J121" s="307">
        <f t="shared" si="20"/>
        <v>0</v>
      </c>
      <c r="K121" s="307">
        <f t="shared" si="20"/>
        <v>0</v>
      </c>
      <c r="L121" s="307">
        <f t="shared" si="20"/>
        <v>0</v>
      </c>
      <c r="M121" s="307">
        <f t="shared" si="20"/>
        <v>0</v>
      </c>
      <c r="N121" s="307">
        <f t="shared" si="20"/>
        <v>0</v>
      </c>
      <c r="O121" s="2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</row>
    <row r="122" spans="1:26" ht="9.75" customHeight="1" x14ac:dyDescent="0.15">
      <c r="A122" s="10"/>
      <c r="B122" s="278" t="s">
        <v>103</v>
      </c>
      <c r="C122" s="10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2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9.75" customHeight="1" x14ac:dyDescent="0.15">
      <c r="A123" s="10"/>
      <c r="B123" s="278" t="s">
        <v>75</v>
      </c>
      <c r="C123" s="10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2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9.75" customHeight="1" x14ac:dyDescent="0.15">
      <c r="A124" s="10"/>
      <c r="B124" s="278" t="s">
        <v>306</v>
      </c>
      <c r="C124" s="10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2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9.75" customHeight="1" x14ac:dyDescent="0.15">
      <c r="A125" s="10"/>
      <c r="B125" s="278" t="s">
        <v>307</v>
      </c>
      <c r="C125" s="58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2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9.75" customHeight="1" x14ac:dyDescent="0.15">
      <c r="A126" s="10"/>
      <c r="B126" s="281" t="s">
        <v>308</v>
      </c>
      <c r="C126" s="161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2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9.75" customHeight="1" x14ac:dyDescent="0.15">
      <c r="A127" s="10"/>
      <c r="B127" s="278" t="s">
        <v>309</v>
      </c>
      <c r="C127" s="58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2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9.75" customHeight="1" x14ac:dyDescent="0.15">
      <c r="A128" s="10"/>
      <c r="B128" s="278" t="s">
        <v>310</v>
      </c>
      <c r="C128" s="93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2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9.75" customHeight="1" x14ac:dyDescent="0.15">
      <c r="A129" s="10"/>
      <c r="B129" s="278" t="s">
        <v>311</v>
      </c>
      <c r="C129" s="93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2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9.75" customHeight="1" x14ac:dyDescent="0.15">
      <c r="A130" s="10"/>
      <c r="B130" s="278" t="s">
        <v>157</v>
      </c>
      <c r="C130" s="289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2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9.75" customHeight="1" x14ac:dyDescent="0.15">
      <c r="A131" s="10"/>
      <c r="B131" s="278" t="s">
        <v>312</v>
      </c>
      <c r="C131" s="289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2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9.75" customHeight="1" x14ac:dyDescent="0.15">
      <c r="A132" s="10"/>
      <c r="B132" s="278"/>
      <c r="C132" s="289"/>
      <c r="D132" s="10"/>
      <c r="E132" s="10"/>
      <c r="F132" s="174"/>
      <c r="G132" s="10"/>
      <c r="H132" s="10"/>
      <c r="I132" s="10"/>
      <c r="J132" s="131"/>
      <c r="K132" s="10"/>
      <c r="L132" s="10"/>
      <c r="M132" s="10"/>
      <c r="N132" s="10"/>
      <c r="O132" s="2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9.75" customHeight="1" x14ac:dyDescent="0.15">
      <c r="A133" s="10"/>
      <c r="B133" s="299" t="s">
        <v>313</v>
      </c>
      <c r="C133" s="300"/>
      <c r="D133" s="300"/>
      <c r="E133" s="300"/>
      <c r="F133" s="301"/>
      <c r="G133" s="300"/>
      <c r="H133" s="300"/>
      <c r="I133" s="300"/>
      <c r="J133" s="302"/>
      <c r="K133" s="300"/>
      <c r="L133" s="300"/>
      <c r="M133" s="300"/>
      <c r="N133" s="300"/>
      <c r="O133" s="2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9.75" customHeight="1" x14ac:dyDescent="0.15">
      <c r="A134" s="10"/>
      <c r="B134" s="278" t="s">
        <v>314</v>
      </c>
      <c r="C134" s="10"/>
      <c r="D134" s="55"/>
      <c r="E134" s="55"/>
      <c r="F134" s="55"/>
      <c r="G134" s="55"/>
      <c r="H134" s="55"/>
      <c r="I134" s="55"/>
      <c r="J134" s="308"/>
      <c r="K134" s="55"/>
      <c r="L134" s="55"/>
      <c r="M134" s="55"/>
      <c r="N134" s="55"/>
      <c r="O134" s="2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9.75" customHeight="1" x14ac:dyDescent="0.15">
      <c r="A135" s="10"/>
      <c r="B135" s="278" t="s">
        <v>315</v>
      </c>
      <c r="C135" s="10"/>
      <c r="D135" s="55"/>
      <c r="E135" s="55"/>
      <c r="F135" s="55"/>
      <c r="G135" s="55"/>
      <c r="H135" s="55"/>
      <c r="I135" s="55"/>
      <c r="J135" s="308"/>
      <c r="K135" s="55"/>
      <c r="L135" s="55"/>
      <c r="M135" s="55"/>
      <c r="N135" s="55"/>
      <c r="O135" s="2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9.75" customHeight="1" x14ac:dyDescent="0.15">
      <c r="A136" s="10"/>
      <c r="B136" s="278" t="s">
        <v>316</v>
      </c>
      <c r="C136" s="10"/>
      <c r="D136" s="55"/>
      <c r="E136" s="55"/>
      <c r="F136" s="55"/>
      <c r="G136" s="55"/>
      <c r="H136" s="55"/>
      <c r="I136" s="55"/>
      <c r="J136" s="308"/>
      <c r="K136" s="55"/>
      <c r="L136" s="55"/>
      <c r="M136" s="55"/>
      <c r="N136" s="55"/>
      <c r="O136" s="2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9.75" customHeight="1" x14ac:dyDescent="0.15">
      <c r="A137" s="10"/>
      <c r="B137" s="281"/>
      <c r="C137" s="58"/>
      <c r="D137" s="58"/>
      <c r="E137" s="58"/>
      <c r="F137" s="289"/>
      <c r="G137" s="58"/>
      <c r="H137" s="58"/>
      <c r="I137" s="58"/>
      <c r="J137" s="246"/>
      <c r="K137" s="58"/>
      <c r="L137" s="58"/>
      <c r="M137" s="58"/>
      <c r="N137" s="58"/>
      <c r="O137" s="2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9.75" customHeight="1" x14ac:dyDescent="0.15">
      <c r="A138" s="10"/>
      <c r="B138" s="299" t="s">
        <v>317</v>
      </c>
      <c r="C138" s="300"/>
      <c r="D138" s="300"/>
      <c r="E138" s="300"/>
      <c r="F138" s="301"/>
      <c r="G138" s="300"/>
      <c r="H138" s="300"/>
      <c r="I138" s="300"/>
      <c r="J138" s="302"/>
      <c r="K138" s="300"/>
      <c r="L138" s="300"/>
      <c r="M138" s="300"/>
      <c r="N138" s="300"/>
      <c r="O138" s="2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9.75" customHeight="1" x14ac:dyDescent="0.15">
      <c r="A139" s="10"/>
      <c r="B139" s="278" t="s">
        <v>115</v>
      </c>
      <c r="C139" s="10"/>
      <c r="D139" s="55">
        <f t="shared" ref="D139:N139" si="21">D126+D134</f>
        <v>0</v>
      </c>
      <c r="E139" s="55">
        <f t="shared" si="21"/>
        <v>0</v>
      </c>
      <c r="F139" s="55">
        <f t="shared" si="21"/>
        <v>0</v>
      </c>
      <c r="G139" s="55">
        <f t="shared" si="21"/>
        <v>0</v>
      </c>
      <c r="H139" s="55">
        <f t="shared" si="21"/>
        <v>0</v>
      </c>
      <c r="I139" s="55">
        <f t="shared" si="21"/>
        <v>0</v>
      </c>
      <c r="J139" s="55">
        <f t="shared" si="21"/>
        <v>0</v>
      </c>
      <c r="K139" s="55">
        <f t="shared" si="21"/>
        <v>0</v>
      </c>
      <c r="L139" s="55">
        <f t="shared" si="21"/>
        <v>0</v>
      </c>
      <c r="M139" s="55">
        <f t="shared" si="21"/>
        <v>0</v>
      </c>
      <c r="N139" s="55">
        <f t="shared" si="21"/>
        <v>0</v>
      </c>
      <c r="O139" s="2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9.75" customHeight="1" x14ac:dyDescent="0.15">
      <c r="A140" s="10"/>
      <c r="B140" s="278" t="s">
        <v>318</v>
      </c>
      <c r="C140" s="10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2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9.75" customHeight="1" x14ac:dyDescent="0.15">
      <c r="A141" s="10"/>
      <c r="B141" s="278" t="s">
        <v>319</v>
      </c>
      <c r="C141" s="10"/>
      <c r="D141" s="55">
        <f t="shared" ref="D141:N141" si="22">D139+D140</f>
        <v>0</v>
      </c>
      <c r="E141" s="55">
        <f t="shared" si="22"/>
        <v>0</v>
      </c>
      <c r="F141" s="55">
        <f t="shared" si="22"/>
        <v>0</v>
      </c>
      <c r="G141" s="55">
        <f t="shared" si="22"/>
        <v>0</v>
      </c>
      <c r="H141" s="55">
        <f t="shared" si="22"/>
        <v>0</v>
      </c>
      <c r="I141" s="55">
        <f t="shared" si="22"/>
        <v>0</v>
      </c>
      <c r="J141" s="55">
        <f t="shared" si="22"/>
        <v>0</v>
      </c>
      <c r="K141" s="55">
        <f t="shared" si="22"/>
        <v>0</v>
      </c>
      <c r="L141" s="55">
        <f t="shared" si="22"/>
        <v>0</v>
      </c>
      <c r="M141" s="55">
        <f t="shared" si="22"/>
        <v>0</v>
      </c>
      <c r="N141" s="55">
        <f t="shared" si="22"/>
        <v>0</v>
      </c>
      <c r="O141" s="2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9.75" customHeight="1" x14ac:dyDescent="0.15">
      <c r="A142" s="10"/>
      <c r="B142" s="278" t="s">
        <v>310</v>
      </c>
      <c r="C142" s="10"/>
      <c r="D142" s="55">
        <f t="shared" ref="D142:N142" si="23">D128+D134+D135</f>
        <v>0</v>
      </c>
      <c r="E142" s="55">
        <f t="shared" si="23"/>
        <v>0</v>
      </c>
      <c r="F142" s="55">
        <f t="shared" si="23"/>
        <v>0</v>
      </c>
      <c r="G142" s="55">
        <f t="shared" si="23"/>
        <v>0</v>
      </c>
      <c r="H142" s="55">
        <f t="shared" si="23"/>
        <v>0</v>
      </c>
      <c r="I142" s="55">
        <f t="shared" si="23"/>
        <v>0</v>
      </c>
      <c r="J142" s="55">
        <f t="shared" si="23"/>
        <v>0</v>
      </c>
      <c r="K142" s="55">
        <f t="shared" si="23"/>
        <v>0</v>
      </c>
      <c r="L142" s="55">
        <f t="shared" si="23"/>
        <v>0</v>
      </c>
      <c r="M142" s="55">
        <f t="shared" si="23"/>
        <v>0</v>
      </c>
      <c r="N142" s="55">
        <f t="shared" si="23"/>
        <v>0</v>
      </c>
      <c r="O142" s="2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9.75" customHeight="1" x14ac:dyDescent="0.15">
      <c r="A143" s="10"/>
      <c r="B143" s="278" t="s">
        <v>320</v>
      </c>
      <c r="C143" s="10"/>
      <c r="D143" s="55">
        <f t="shared" ref="D143:N143" si="24">D129+D136</f>
        <v>0</v>
      </c>
      <c r="E143" s="55">
        <f t="shared" si="24"/>
        <v>0</v>
      </c>
      <c r="F143" s="55">
        <f t="shared" si="24"/>
        <v>0</v>
      </c>
      <c r="G143" s="55">
        <f t="shared" si="24"/>
        <v>0</v>
      </c>
      <c r="H143" s="55">
        <f t="shared" si="24"/>
        <v>0</v>
      </c>
      <c r="I143" s="55">
        <f t="shared" si="24"/>
        <v>0</v>
      </c>
      <c r="J143" s="55">
        <f t="shared" si="24"/>
        <v>0</v>
      </c>
      <c r="K143" s="55">
        <f t="shared" si="24"/>
        <v>0</v>
      </c>
      <c r="L143" s="55">
        <f t="shared" si="24"/>
        <v>0</v>
      </c>
      <c r="M143" s="55">
        <f t="shared" si="24"/>
        <v>0</v>
      </c>
      <c r="N143" s="55">
        <f t="shared" si="24"/>
        <v>0</v>
      </c>
      <c r="O143" s="2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9.75" customHeight="1" x14ac:dyDescent="0.15">
      <c r="A144" s="10"/>
      <c r="B144" s="278" t="s">
        <v>321</v>
      </c>
      <c r="C144" s="10"/>
      <c r="D144" s="55">
        <f t="shared" ref="D144:N144" si="25">D142+D143</f>
        <v>0</v>
      </c>
      <c r="E144" s="55">
        <f t="shared" si="25"/>
        <v>0</v>
      </c>
      <c r="F144" s="55">
        <f t="shared" si="25"/>
        <v>0</v>
      </c>
      <c r="G144" s="55">
        <f t="shared" si="25"/>
        <v>0</v>
      </c>
      <c r="H144" s="55">
        <f t="shared" si="25"/>
        <v>0</v>
      </c>
      <c r="I144" s="55">
        <f t="shared" si="25"/>
        <v>0</v>
      </c>
      <c r="J144" s="55">
        <f t="shared" si="25"/>
        <v>0</v>
      </c>
      <c r="K144" s="55">
        <f t="shared" si="25"/>
        <v>0</v>
      </c>
      <c r="L144" s="55">
        <f t="shared" si="25"/>
        <v>0</v>
      </c>
      <c r="M144" s="55">
        <f t="shared" si="25"/>
        <v>0</v>
      </c>
      <c r="N144" s="55">
        <f t="shared" si="25"/>
        <v>0</v>
      </c>
      <c r="O144" s="2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9.75" customHeight="1" x14ac:dyDescent="0.15">
      <c r="A145" s="10"/>
      <c r="B145" s="281"/>
      <c r="C145" s="58"/>
      <c r="D145" s="58"/>
      <c r="E145" s="58"/>
      <c r="F145" s="289"/>
      <c r="G145" s="58"/>
      <c r="H145" s="58"/>
      <c r="I145" s="58"/>
      <c r="J145" s="246"/>
      <c r="K145" s="58"/>
      <c r="L145" s="58"/>
      <c r="M145" s="58"/>
      <c r="N145" s="58"/>
      <c r="O145" s="2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9.75" customHeight="1" x14ac:dyDescent="0.15">
      <c r="A146" s="10"/>
      <c r="B146" s="299" t="s">
        <v>322</v>
      </c>
      <c r="C146" s="300"/>
      <c r="D146" s="300"/>
      <c r="E146" s="300"/>
      <c r="F146" s="301"/>
      <c r="G146" s="300"/>
      <c r="H146" s="300"/>
      <c r="I146" s="300"/>
      <c r="J146" s="302"/>
      <c r="K146" s="300"/>
      <c r="L146" s="300"/>
      <c r="M146" s="300"/>
      <c r="N146" s="300"/>
      <c r="O146" s="2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9.75" customHeight="1" x14ac:dyDescent="0.15">
      <c r="A147" s="10"/>
      <c r="B147" s="278" t="s">
        <v>323</v>
      </c>
      <c r="C147" s="58"/>
      <c r="D147" s="58"/>
      <c r="E147" s="58"/>
      <c r="F147" s="289"/>
      <c r="G147" s="58"/>
      <c r="H147" s="58"/>
      <c r="I147" s="58"/>
      <c r="J147" s="246"/>
      <c r="K147" s="58"/>
      <c r="L147" s="58"/>
      <c r="M147" s="58"/>
      <c r="N147" s="58"/>
      <c r="O147" s="2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9.75" customHeight="1" x14ac:dyDescent="0.15">
      <c r="A148" s="10"/>
      <c r="B148" s="278" t="s">
        <v>324</v>
      </c>
      <c r="C148" s="58"/>
      <c r="D148" s="58"/>
      <c r="E148" s="58"/>
      <c r="F148" s="289"/>
      <c r="G148" s="58"/>
      <c r="H148" s="58"/>
      <c r="I148" s="58"/>
      <c r="J148" s="246"/>
      <c r="K148" s="58"/>
      <c r="L148" s="58"/>
      <c r="M148" s="58"/>
      <c r="N148" s="58"/>
      <c r="O148" s="2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9.75" customHeight="1" x14ac:dyDescent="0.15">
      <c r="A149" s="10"/>
      <c r="B149" s="281" t="s">
        <v>136</v>
      </c>
      <c r="C149" s="58"/>
      <c r="D149" s="303">
        <f t="shared" ref="D149:N149" si="26">IFERROR((D144+D147)/(D131+D148),0)</f>
        <v>0</v>
      </c>
      <c r="E149" s="303">
        <f t="shared" si="26"/>
        <v>0</v>
      </c>
      <c r="F149" s="303">
        <f t="shared" si="26"/>
        <v>0</v>
      </c>
      <c r="G149" s="303">
        <f t="shared" si="26"/>
        <v>0</v>
      </c>
      <c r="H149" s="303">
        <f t="shared" si="26"/>
        <v>0</v>
      </c>
      <c r="I149" s="303">
        <f t="shared" si="26"/>
        <v>0</v>
      </c>
      <c r="J149" s="303">
        <f t="shared" si="26"/>
        <v>0</v>
      </c>
      <c r="K149" s="303">
        <f t="shared" si="26"/>
        <v>0</v>
      </c>
      <c r="L149" s="303">
        <f t="shared" si="26"/>
        <v>0</v>
      </c>
      <c r="M149" s="303">
        <f t="shared" si="26"/>
        <v>0</v>
      </c>
      <c r="N149" s="303">
        <f t="shared" si="26"/>
        <v>0</v>
      </c>
      <c r="O149" s="2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4.5" customHeight="1" x14ac:dyDescent="0.15">
      <c r="A150" s="10"/>
      <c r="B150" s="278"/>
      <c r="C150" s="10"/>
      <c r="D150" s="10"/>
      <c r="E150" s="10"/>
      <c r="F150" s="174"/>
      <c r="G150" s="10"/>
      <c r="H150" s="10"/>
      <c r="I150" s="10"/>
      <c r="J150" s="289"/>
      <c r="K150" s="10"/>
      <c r="L150" s="10"/>
      <c r="M150" s="10"/>
      <c r="N150" s="10"/>
      <c r="O150" s="2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9.75" customHeight="1" x14ac:dyDescent="0.15">
      <c r="A151" s="58"/>
      <c r="B151" s="304" t="s">
        <v>328</v>
      </c>
      <c r="C151" s="305"/>
      <c r="D151" s="305"/>
      <c r="E151" s="305"/>
      <c r="F151" s="309"/>
      <c r="G151" s="305"/>
      <c r="H151" s="305"/>
      <c r="I151" s="305"/>
      <c r="J151" s="310"/>
      <c r="K151" s="305"/>
      <c r="L151" s="305"/>
      <c r="M151" s="305"/>
      <c r="N151" s="305"/>
      <c r="O151" s="2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9.75" customHeight="1" x14ac:dyDescent="0.15">
      <c r="A152" s="93"/>
      <c r="B152" s="306" t="s">
        <v>329</v>
      </c>
      <c r="C152" s="93"/>
      <c r="D152" s="311">
        <f t="shared" ref="D152:N152" si="27">D8</f>
        <v>0</v>
      </c>
      <c r="E152" s="311">
        <f t="shared" si="27"/>
        <v>0</v>
      </c>
      <c r="F152" s="311">
        <f t="shared" si="27"/>
        <v>0</v>
      </c>
      <c r="G152" s="311">
        <f t="shared" si="27"/>
        <v>0</v>
      </c>
      <c r="H152" s="311">
        <f t="shared" si="27"/>
        <v>0</v>
      </c>
      <c r="I152" s="311">
        <f t="shared" si="27"/>
        <v>0</v>
      </c>
      <c r="J152" s="311">
        <f t="shared" si="27"/>
        <v>0</v>
      </c>
      <c r="K152" s="311">
        <f t="shared" si="27"/>
        <v>0</v>
      </c>
      <c r="L152" s="311">
        <f t="shared" si="27"/>
        <v>0</v>
      </c>
      <c r="M152" s="311">
        <f t="shared" si="27"/>
        <v>0</v>
      </c>
      <c r="N152" s="311">
        <f t="shared" si="27"/>
        <v>0</v>
      </c>
      <c r="O152" s="2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</row>
    <row r="153" spans="1:26" ht="9.75" customHeight="1" x14ac:dyDescent="0.15">
      <c r="A153" s="10"/>
      <c r="B153" s="278" t="s">
        <v>330</v>
      </c>
      <c r="C153" s="10"/>
      <c r="D153" s="49">
        <f t="shared" ref="D153:N153" si="28">D59+D91-D122</f>
        <v>0</v>
      </c>
      <c r="E153" s="49">
        <f t="shared" si="28"/>
        <v>0</v>
      </c>
      <c r="F153" s="49">
        <f t="shared" si="28"/>
        <v>0</v>
      </c>
      <c r="G153" s="49">
        <f t="shared" si="28"/>
        <v>0</v>
      </c>
      <c r="H153" s="49">
        <f t="shared" si="28"/>
        <v>0</v>
      </c>
      <c r="I153" s="49">
        <f t="shared" si="28"/>
        <v>0</v>
      </c>
      <c r="J153" s="49">
        <f t="shared" si="28"/>
        <v>0</v>
      </c>
      <c r="K153" s="49">
        <f t="shared" si="28"/>
        <v>0</v>
      </c>
      <c r="L153" s="49">
        <f t="shared" si="28"/>
        <v>0</v>
      </c>
      <c r="M153" s="49">
        <f t="shared" si="28"/>
        <v>0</v>
      </c>
      <c r="N153" s="49">
        <f t="shared" si="28"/>
        <v>0</v>
      </c>
      <c r="O153" s="2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9.75" customHeight="1" x14ac:dyDescent="0.15">
      <c r="A154" s="10"/>
      <c r="B154" s="278" t="s">
        <v>331</v>
      </c>
      <c r="C154" s="131"/>
      <c r="D154" s="55">
        <f t="shared" ref="D154:N154" si="29">D78+D110-D141</f>
        <v>0</v>
      </c>
      <c r="E154" s="55">
        <f t="shared" si="29"/>
        <v>0</v>
      </c>
      <c r="F154" s="55">
        <f t="shared" si="29"/>
        <v>0</v>
      </c>
      <c r="G154" s="55">
        <f t="shared" si="29"/>
        <v>0</v>
      </c>
      <c r="H154" s="55">
        <f t="shared" si="29"/>
        <v>0</v>
      </c>
      <c r="I154" s="55">
        <f t="shared" si="29"/>
        <v>0</v>
      </c>
      <c r="J154" s="55">
        <f t="shared" si="29"/>
        <v>0</v>
      </c>
      <c r="K154" s="55">
        <f t="shared" si="29"/>
        <v>0</v>
      </c>
      <c r="L154" s="55">
        <f t="shared" si="29"/>
        <v>0</v>
      </c>
      <c r="M154" s="55">
        <f t="shared" si="29"/>
        <v>0</v>
      </c>
      <c r="N154" s="55">
        <f t="shared" si="29"/>
        <v>0</v>
      </c>
      <c r="O154" s="2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9.75" customHeight="1" x14ac:dyDescent="0.15">
      <c r="A155" s="10"/>
      <c r="B155" s="278" t="s">
        <v>332</v>
      </c>
      <c r="C155" s="58"/>
      <c r="D155" s="55">
        <f t="shared" ref="D155:N155" si="30">D76+D108-D139</f>
        <v>0</v>
      </c>
      <c r="E155" s="55">
        <f t="shared" si="30"/>
        <v>0</v>
      </c>
      <c r="F155" s="55">
        <f t="shared" si="30"/>
        <v>0</v>
      </c>
      <c r="G155" s="55">
        <f t="shared" si="30"/>
        <v>0</v>
      </c>
      <c r="H155" s="55">
        <f t="shared" si="30"/>
        <v>0</v>
      </c>
      <c r="I155" s="55">
        <f t="shared" si="30"/>
        <v>0</v>
      </c>
      <c r="J155" s="55">
        <f t="shared" si="30"/>
        <v>0</v>
      </c>
      <c r="K155" s="55">
        <f t="shared" si="30"/>
        <v>0</v>
      </c>
      <c r="L155" s="55">
        <f t="shared" si="30"/>
        <v>0</v>
      </c>
      <c r="M155" s="55">
        <f t="shared" si="30"/>
        <v>0</v>
      </c>
      <c r="N155" s="55">
        <f t="shared" si="30"/>
        <v>0</v>
      </c>
      <c r="O155" s="2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9.75" customHeight="1" x14ac:dyDescent="0.15">
      <c r="A156" s="10"/>
      <c r="B156" s="278" t="s">
        <v>333</v>
      </c>
      <c r="C156" s="10"/>
      <c r="D156" s="173">
        <f t="shared" ref="D156:N156" si="31">D86+D118-D149</f>
        <v>0</v>
      </c>
      <c r="E156" s="173">
        <f t="shared" si="31"/>
        <v>0</v>
      </c>
      <c r="F156" s="173">
        <f t="shared" si="31"/>
        <v>0</v>
      </c>
      <c r="G156" s="173">
        <f t="shared" si="31"/>
        <v>0</v>
      </c>
      <c r="H156" s="173">
        <f t="shared" si="31"/>
        <v>0</v>
      </c>
      <c r="I156" s="173">
        <f t="shared" si="31"/>
        <v>0</v>
      </c>
      <c r="J156" s="173">
        <f t="shared" si="31"/>
        <v>0</v>
      </c>
      <c r="K156" s="173">
        <f t="shared" si="31"/>
        <v>0</v>
      </c>
      <c r="L156" s="173">
        <f t="shared" si="31"/>
        <v>0</v>
      </c>
      <c r="M156" s="173">
        <f t="shared" si="31"/>
        <v>0</v>
      </c>
      <c r="N156" s="173">
        <f t="shared" si="31"/>
        <v>0</v>
      </c>
      <c r="O156" s="2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9.75" customHeight="1" x14ac:dyDescent="0.15">
      <c r="A157" s="10"/>
      <c r="B157" s="278"/>
      <c r="C157" s="58"/>
      <c r="D157" s="10"/>
      <c r="E157" s="10"/>
      <c r="F157" s="174"/>
      <c r="G157" s="10"/>
      <c r="H157" s="10"/>
      <c r="I157" s="10"/>
      <c r="J157" s="58"/>
      <c r="K157" s="10"/>
      <c r="L157" s="10"/>
      <c r="M157" s="10"/>
      <c r="N157" s="10"/>
      <c r="O157" s="2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9.75" customHeight="1" x14ac:dyDescent="0.15">
      <c r="A158" s="58"/>
      <c r="B158" s="304" t="s">
        <v>334</v>
      </c>
      <c r="C158" s="305"/>
      <c r="D158" s="305"/>
      <c r="E158" s="305"/>
      <c r="F158" s="309"/>
      <c r="G158" s="305"/>
      <c r="H158" s="305"/>
      <c r="I158" s="305"/>
      <c r="J158" s="310"/>
      <c r="K158" s="305"/>
      <c r="L158" s="305"/>
      <c r="M158" s="305"/>
      <c r="N158" s="305"/>
      <c r="O158" s="2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9.75" customHeight="1" x14ac:dyDescent="0.15">
      <c r="A159" s="93"/>
      <c r="B159" s="306" t="s">
        <v>335</v>
      </c>
      <c r="C159" s="93"/>
      <c r="D159" s="311">
        <f t="shared" ref="D159:N159" si="32">D7</f>
        <v>0</v>
      </c>
      <c r="E159" s="311">
        <f t="shared" si="32"/>
        <v>0</v>
      </c>
      <c r="F159" s="311">
        <f t="shared" si="32"/>
        <v>0</v>
      </c>
      <c r="G159" s="311">
        <f t="shared" si="32"/>
        <v>0</v>
      </c>
      <c r="H159" s="311">
        <f t="shared" si="32"/>
        <v>0</v>
      </c>
      <c r="I159" s="311">
        <f t="shared" si="32"/>
        <v>0</v>
      </c>
      <c r="J159" s="311">
        <f t="shared" si="32"/>
        <v>0</v>
      </c>
      <c r="K159" s="311">
        <f t="shared" si="32"/>
        <v>0</v>
      </c>
      <c r="L159" s="311">
        <f t="shared" si="32"/>
        <v>0</v>
      </c>
      <c r="M159" s="311">
        <f t="shared" si="32"/>
        <v>0</v>
      </c>
      <c r="N159" s="311">
        <f t="shared" si="32"/>
        <v>0</v>
      </c>
      <c r="O159" s="2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</row>
    <row r="160" spans="1:26" ht="9.75" customHeight="1" x14ac:dyDescent="0.15">
      <c r="A160" s="10"/>
      <c r="B160" s="278" t="s">
        <v>336</v>
      </c>
      <c r="C160" s="10"/>
      <c r="D160" s="49">
        <f t="shared" ref="D160:N160" si="33">D59</f>
        <v>0</v>
      </c>
      <c r="E160" s="49">
        <f t="shared" si="33"/>
        <v>0</v>
      </c>
      <c r="F160" s="49">
        <f t="shared" si="33"/>
        <v>0</v>
      </c>
      <c r="G160" s="49">
        <f t="shared" si="33"/>
        <v>0</v>
      </c>
      <c r="H160" s="49">
        <f t="shared" si="33"/>
        <v>0</v>
      </c>
      <c r="I160" s="49">
        <f t="shared" si="33"/>
        <v>0</v>
      </c>
      <c r="J160" s="49">
        <f t="shared" si="33"/>
        <v>0</v>
      </c>
      <c r="K160" s="49">
        <f t="shared" si="33"/>
        <v>0</v>
      </c>
      <c r="L160" s="49">
        <f t="shared" si="33"/>
        <v>0</v>
      </c>
      <c r="M160" s="49">
        <f t="shared" si="33"/>
        <v>0</v>
      </c>
      <c r="N160" s="49">
        <f t="shared" si="33"/>
        <v>0</v>
      </c>
      <c r="O160" s="2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9.75" customHeight="1" x14ac:dyDescent="0.15">
      <c r="A161" s="10"/>
      <c r="B161" s="278" t="s">
        <v>337</v>
      </c>
      <c r="C161" s="131"/>
      <c r="D161" s="55">
        <f t="shared" ref="D161:N161" si="34">D78</f>
        <v>0</v>
      </c>
      <c r="E161" s="55">
        <f t="shared" si="34"/>
        <v>0</v>
      </c>
      <c r="F161" s="55">
        <f t="shared" si="34"/>
        <v>0</v>
      </c>
      <c r="G161" s="55">
        <f t="shared" si="34"/>
        <v>0</v>
      </c>
      <c r="H161" s="55">
        <f t="shared" si="34"/>
        <v>0</v>
      </c>
      <c r="I161" s="55">
        <f t="shared" si="34"/>
        <v>0</v>
      </c>
      <c r="J161" s="55">
        <f t="shared" si="34"/>
        <v>0</v>
      </c>
      <c r="K161" s="55">
        <f t="shared" si="34"/>
        <v>0</v>
      </c>
      <c r="L161" s="55">
        <f t="shared" si="34"/>
        <v>0</v>
      </c>
      <c r="M161" s="55">
        <f t="shared" si="34"/>
        <v>0</v>
      </c>
      <c r="N161" s="55">
        <f t="shared" si="34"/>
        <v>0</v>
      </c>
      <c r="O161" s="2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9.75" customHeight="1" x14ac:dyDescent="0.15">
      <c r="A162" s="10"/>
      <c r="B162" s="278" t="s">
        <v>338</v>
      </c>
      <c r="C162" s="58"/>
      <c r="D162" s="55">
        <f t="shared" ref="D162:N162" si="35">D76</f>
        <v>0</v>
      </c>
      <c r="E162" s="55">
        <f t="shared" si="35"/>
        <v>0</v>
      </c>
      <c r="F162" s="55">
        <f t="shared" si="35"/>
        <v>0</v>
      </c>
      <c r="G162" s="55">
        <f t="shared" si="35"/>
        <v>0</v>
      </c>
      <c r="H162" s="55">
        <f t="shared" si="35"/>
        <v>0</v>
      </c>
      <c r="I162" s="55">
        <f t="shared" si="35"/>
        <v>0</v>
      </c>
      <c r="J162" s="55">
        <f t="shared" si="35"/>
        <v>0</v>
      </c>
      <c r="K162" s="55">
        <f t="shared" si="35"/>
        <v>0</v>
      </c>
      <c r="L162" s="55">
        <f t="shared" si="35"/>
        <v>0</v>
      </c>
      <c r="M162" s="55">
        <f t="shared" si="35"/>
        <v>0</v>
      </c>
      <c r="N162" s="55">
        <f t="shared" si="35"/>
        <v>0</v>
      </c>
      <c r="O162" s="2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9.75" customHeight="1" x14ac:dyDescent="0.15">
      <c r="A163" s="10"/>
      <c r="B163" s="278" t="s">
        <v>339</v>
      </c>
      <c r="C163" s="10"/>
      <c r="D163" s="173">
        <f t="shared" ref="D163:N163" si="36">D86</f>
        <v>0</v>
      </c>
      <c r="E163" s="173">
        <f t="shared" si="36"/>
        <v>0</v>
      </c>
      <c r="F163" s="173">
        <f t="shared" si="36"/>
        <v>0</v>
      </c>
      <c r="G163" s="173">
        <f t="shared" si="36"/>
        <v>0</v>
      </c>
      <c r="H163" s="173">
        <f t="shared" si="36"/>
        <v>0</v>
      </c>
      <c r="I163" s="173">
        <f t="shared" si="36"/>
        <v>0</v>
      </c>
      <c r="J163" s="173">
        <f t="shared" si="36"/>
        <v>0</v>
      </c>
      <c r="K163" s="173">
        <f t="shared" si="36"/>
        <v>0</v>
      </c>
      <c r="L163" s="173">
        <f t="shared" si="36"/>
        <v>0</v>
      </c>
      <c r="M163" s="173">
        <f t="shared" si="36"/>
        <v>0</v>
      </c>
      <c r="N163" s="173">
        <f t="shared" si="36"/>
        <v>0</v>
      </c>
      <c r="O163" s="2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9.75" customHeight="1" x14ac:dyDescent="0.15">
      <c r="A164" s="10"/>
      <c r="B164" s="278"/>
      <c r="C164" s="58"/>
      <c r="D164" s="10"/>
      <c r="E164" s="10"/>
      <c r="F164" s="174"/>
      <c r="G164" s="10"/>
      <c r="H164" s="10"/>
      <c r="I164" s="10"/>
      <c r="J164" s="10"/>
      <c r="K164" s="10"/>
      <c r="L164" s="10"/>
      <c r="M164" s="10"/>
      <c r="N164" s="10"/>
      <c r="O164" s="2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9.75" customHeight="1" x14ac:dyDescent="0.15">
      <c r="A165" s="10"/>
      <c r="B165" s="304" t="s">
        <v>340</v>
      </c>
      <c r="C165" s="312"/>
      <c r="D165" s="298">
        <f t="shared" ref="D165:N165" si="37">D8</f>
        <v>0</v>
      </c>
      <c r="E165" s="298">
        <f t="shared" si="37"/>
        <v>0</v>
      </c>
      <c r="F165" s="298">
        <f t="shared" si="37"/>
        <v>0</v>
      </c>
      <c r="G165" s="298">
        <f t="shared" si="37"/>
        <v>0</v>
      </c>
      <c r="H165" s="298">
        <f t="shared" si="37"/>
        <v>0</v>
      </c>
      <c r="I165" s="298">
        <f t="shared" si="37"/>
        <v>0</v>
      </c>
      <c r="J165" s="298">
        <f t="shared" si="37"/>
        <v>0</v>
      </c>
      <c r="K165" s="298">
        <f t="shared" si="37"/>
        <v>0</v>
      </c>
      <c r="L165" s="298">
        <f t="shared" si="37"/>
        <v>0</v>
      </c>
      <c r="M165" s="298">
        <f t="shared" si="37"/>
        <v>0</v>
      </c>
      <c r="N165" s="298">
        <f t="shared" si="37"/>
        <v>0</v>
      </c>
      <c r="O165" s="2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9.75" customHeight="1" x14ac:dyDescent="0.15">
      <c r="A166" s="10"/>
      <c r="B166" s="278" t="s">
        <v>341</v>
      </c>
      <c r="C166" s="58"/>
      <c r="D166" s="49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2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9.75" customHeight="1" x14ac:dyDescent="0.15">
      <c r="A167" s="10"/>
      <c r="B167" s="278" t="s">
        <v>342</v>
      </c>
      <c r="C167" s="93"/>
      <c r="D167" s="55"/>
      <c r="E167" s="55"/>
      <c r="F167" s="55"/>
      <c r="G167" s="55"/>
      <c r="H167" s="55"/>
      <c r="I167" s="55"/>
      <c r="J167" s="308"/>
      <c r="K167" s="55"/>
      <c r="L167" s="55"/>
      <c r="M167" s="55"/>
      <c r="N167" s="55"/>
      <c r="O167" s="2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9.75" customHeight="1" x14ac:dyDescent="0.15">
      <c r="A168" s="10"/>
      <c r="B168" s="278" t="s">
        <v>66</v>
      </c>
      <c r="C168" s="93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2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9.75" customHeight="1" x14ac:dyDescent="0.15">
      <c r="A169" s="10"/>
      <c r="B169" s="278" t="s">
        <v>343</v>
      </c>
      <c r="C169" s="289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2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9.75" customHeight="1" x14ac:dyDescent="0.15">
      <c r="A170" s="10"/>
      <c r="B170" s="278" t="s">
        <v>344</v>
      </c>
      <c r="C170" s="289"/>
      <c r="D170" s="55">
        <f t="shared" ref="D170:N170" si="38">SUM(D166:D169)</f>
        <v>0</v>
      </c>
      <c r="E170" s="55">
        <f t="shared" si="38"/>
        <v>0</v>
      </c>
      <c r="F170" s="55">
        <f t="shared" si="38"/>
        <v>0</v>
      </c>
      <c r="G170" s="55">
        <f t="shared" si="38"/>
        <v>0</v>
      </c>
      <c r="H170" s="55">
        <f t="shared" si="38"/>
        <v>0</v>
      </c>
      <c r="I170" s="55">
        <f t="shared" si="38"/>
        <v>0</v>
      </c>
      <c r="J170" s="55">
        <f t="shared" si="38"/>
        <v>0</v>
      </c>
      <c r="K170" s="55">
        <f t="shared" si="38"/>
        <v>0</v>
      </c>
      <c r="L170" s="55">
        <f t="shared" si="38"/>
        <v>0</v>
      </c>
      <c r="M170" s="55">
        <f t="shared" si="38"/>
        <v>0</v>
      </c>
      <c r="N170" s="55">
        <f t="shared" si="38"/>
        <v>0</v>
      </c>
      <c r="O170" s="2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9.75" customHeight="1" x14ac:dyDescent="0.15">
      <c r="A171" s="10"/>
      <c r="B171" s="288" t="s">
        <v>345</v>
      </c>
      <c r="C171" s="289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2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9.75" customHeight="1" x14ac:dyDescent="0.15">
      <c r="A172" s="10"/>
      <c r="B172" s="281" t="s">
        <v>346</v>
      </c>
      <c r="C172" s="58"/>
      <c r="D172" s="60">
        <f t="shared" ref="D172:N172" si="39">D170-D171</f>
        <v>0</v>
      </c>
      <c r="E172" s="60">
        <f t="shared" si="39"/>
        <v>0</v>
      </c>
      <c r="F172" s="60">
        <f t="shared" si="39"/>
        <v>0</v>
      </c>
      <c r="G172" s="60">
        <f t="shared" si="39"/>
        <v>0</v>
      </c>
      <c r="H172" s="60">
        <f t="shared" si="39"/>
        <v>0</v>
      </c>
      <c r="I172" s="60">
        <f t="shared" si="39"/>
        <v>0</v>
      </c>
      <c r="J172" s="60">
        <f t="shared" si="39"/>
        <v>0</v>
      </c>
      <c r="K172" s="60">
        <f t="shared" si="39"/>
        <v>0</v>
      </c>
      <c r="L172" s="60">
        <f t="shared" si="39"/>
        <v>0</v>
      </c>
      <c r="M172" s="60">
        <f t="shared" si="39"/>
        <v>0</v>
      </c>
      <c r="N172" s="60">
        <f t="shared" si="39"/>
        <v>0</v>
      </c>
      <c r="O172" s="2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9.75" customHeight="1" x14ac:dyDescent="0.15">
      <c r="A173" s="10"/>
      <c r="B173" s="278"/>
      <c r="C173" s="58"/>
      <c r="D173" s="10"/>
      <c r="E173" s="10"/>
      <c r="F173" s="174"/>
      <c r="G173" s="10"/>
      <c r="H173" s="10"/>
      <c r="I173" s="10"/>
      <c r="J173" s="10"/>
      <c r="K173" s="10"/>
      <c r="L173" s="10"/>
      <c r="M173" s="10"/>
      <c r="N173" s="10"/>
      <c r="O173" s="2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9.75" customHeight="1" x14ac:dyDescent="0.15">
      <c r="A174" s="10"/>
      <c r="B174" s="293" t="s">
        <v>347</v>
      </c>
      <c r="C174" s="294"/>
      <c r="D174" s="294"/>
      <c r="E174" s="294"/>
      <c r="F174" s="295"/>
      <c r="G174" s="294"/>
      <c r="H174" s="294"/>
      <c r="I174" s="294"/>
      <c r="J174" s="294"/>
      <c r="K174" s="294"/>
      <c r="L174" s="294"/>
      <c r="M174" s="294"/>
      <c r="N174" s="294"/>
      <c r="O174" s="2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9.75" customHeight="1" x14ac:dyDescent="0.15">
      <c r="A175" s="10"/>
      <c r="B175" s="304" t="s">
        <v>348</v>
      </c>
      <c r="C175" s="305"/>
      <c r="D175" s="298">
        <f t="shared" ref="D175:N175" si="40">DATE(YEAR(D$7)+1,MONTH(D$7),DAY(D$7))</f>
        <v>366</v>
      </c>
      <c r="E175" s="298">
        <f t="shared" si="40"/>
        <v>366</v>
      </c>
      <c r="F175" s="298">
        <f t="shared" si="40"/>
        <v>366</v>
      </c>
      <c r="G175" s="298">
        <f t="shared" si="40"/>
        <v>366</v>
      </c>
      <c r="H175" s="298">
        <f t="shared" si="40"/>
        <v>366</v>
      </c>
      <c r="I175" s="298">
        <f t="shared" si="40"/>
        <v>366</v>
      </c>
      <c r="J175" s="298">
        <f t="shared" si="40"/>
        <v>366</v>
      </c>
      <c r="K175" s="298">
        <f t="shared" si="40"/>
        <v>366</v>
      </c>
      <c r="L175" s="298">
        <f t="shared" si="40"/>
        <v>366</v>
      </c>
      <c r="M175" s="298">
        <f t="shared" si="40"/>
        <v>366</v>
      </c>
      <c r="N175" s="298">
        <f t="shared" si="40"/>
        <v>366</v>
      </c>
      <c r="O175" s="2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9.75" customHeight="1" x14ac:dyDescent="0.15">
      <c r="A176" s="10"/>
      <c r="B176" s="278" t="s">
        <v>349</v>
      </c>
      <c r="C176" s="10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2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9.75" customHeight="1" x14ac:dyDescent="0.15">
      <c r="A177" s="10"/>
      <c r="B177" s="278" t="s">
        <v>350</v>
      </c>
      <c r="C177" s="10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2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9.75" customHeight="1" x14ac:dyDescent="0.15">
      <c r="A178" s="10"/>
      <c r="B178" s="278" t="s">
        <v>351</v>
      </c>
      <c r="C178" s="10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2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9.75" customHeight="1" x14ac:dyDescent="0.15">
      <c r="A179" s="10"/>
      <c r="B179" s="278" t="s">
        <v>352</v>
      </c>
      <c r="C179" s="58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2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9.75" customHeight="1" x14ac:dyDescent="0.15">
      <c r="A180" s="93"/>
      <c r="B180" s="306" t="s">
        <v>353</v>
      </c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2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</row>
    <row r="181" spans="1:26" ht="9.75" customHeight="1" x14ac:dyDescent="0.15">
      <c r="A181" s="10"/>
      <c r="B181" s="278"/>
      <c r="C181" s="10"/>
      <c r="D181" s="10"/>
      <c r="E181" s="10"/>
      <c r="F181" s="174"/>
      <c r="G181" s="10"/>
      <c r="H181" s="10"/>
      <c r="I181" s="10"/>
      <c r="J181" s="10"/>
      <c r="K181" s="10"/>
      <c r="L181" s="10"/>
      <c r="M181" s="10"/>
      <c r="N181" s="10"/>
      <c r="O181" s="2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9.75" customHeight="1" x14ac:dyDescent="0.15">
      <c r="A182" s="10"/>
      <c r="B182" s="304" t="s">
        <v>354</v>
      </c>
      <c r="C182" s="305"/>
      <c r="D182" s="298">
        <f t="shared" ref="D182:N182" si="41">DATE(YEAR(D$7)+2,MONTH(D$7),DAY(D$7))</f>
        <v>731</v>
      </c>
      <c r="E182" s="298">
        <f t="shared" si="41"/>
        <v>731</v>
      </c>
      <c r="F182" s="298">
        <f t="shared" si="41"/>
        <v>731</v>
      </c>
      <c r="G182" s="298">
        <f t="shared" si="41"/>
        <v>731</v>
      </c>
      <c r="H182" s="298">
        <f t="shared" si="41"/>
        <v>731</v>
      </c>
      <c r="I182" s="298">
        <f t="shared" si="41"/>
        <v>731</v>
      </c>
      <c r="J182" s="298">
        <f t="shared" si="41"/>
        <v>731</v>
      </c>
      <c r="K182" s="298">
        <f t="shared" si="41"/>
        <v>731</v>
      </c>
      <c r="L182" s="298">
        <f t="shared" si="41"/>
        <v>731</v>
      </c>
      <c r="M182" s="298">
        <f t="shared" si="41"/>
        <v>731</v>
      </c>
      <c r="N182" s="298">
        <f t="shared" si="41"/>
        <v>731</v>
      </c>
      <c r="O182" s="2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9.75" customHeight="1" x14ac:dyDescent="0.15">
      <c r="A183" s="10"/>
      <c r="B183" s="278" t="s">
        <v>355</v>
      </c>
      <c r="C183" s="10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2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9.75" customHeight="1" x14ac:dyDescent="0.15">
      <c r="A184" s="10"/>
      <c r="B184" s="278" t="s">
        <v>356</v>
      </c>
      <c r="C184" s="10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2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9.75" customHeight="1" x14ac:dyDescent="0.15">
      <c r="A185" s="10"/>
      <c r="B185" s="278" t="s">
        <v>357</v>
      </c>
      <c r="C185" s="10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2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9.75" customHeight="1" x14ac:dyDescent="0.15">
      <c r="A186" s="10"/>
      <c r="B186" s="278" t="s">
        <v>358</v>
      </c>
      <c r="C186" s="58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2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9.75" customHeight="1" x14ac:dyDescent="0.15">
      <c r="A187" s="10"/>
      <c r="B187" s="306" t="s">
        <v>353</v>
      </c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2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9.75" customHeight="1" x14ac:dyDescent="0.15">
      <c r="A188" s="10"/>
      <c r="B188" s="278"/>
      <c r="C188" s="10"/>
      <c r="D188" s="10"/>
      <c r="E188" s="10"/>
      <c r="F188" s="174"/>
      <c r="G188" s="10"/>
      <c r="H188" s="10"/>
      <c r="I188" s="10"/>
      <c r="J188" s="10"/>
      <c r="K188" s="10"/>
      <c r="L188" s="10"/>
      <c r="M188" s="10"/>
      <c r="N188" s="10"/>
      <c r="O188" s="2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9.75" customHeight="1" x14ac:dyDescent="0.15">
      <c r="A189" s="10"/>
      <c r="B189" s="304" t="s">
        <v>359</v>
      </c>
      <c r="C189" s="305"/>
      <c r="D189" s="298">
        <f t="shared" ref="D189:N189" si="42">DATE(YEAR(D$7)+3,MONTH(D$7),DAY(D$7))</f>
        <v>1096</v>
      </c>
      <c r="E189" s="298">
        <f t="shared" si="42"/>
        <v>1096</v>
      </c>
      <c r="F189" s="298">
        <f t="shared" si="42"/>
        <v>1096</v>
      </c>
      <c r="G189" s="298">
        <f t="shared" si="42"/>
        <v>1096</v>
      </c>
      <c r="H189" s="298">
        <f t="shared" si="42"/>
        <v>1096</v>
      </c>
      <c r="I189" s="298">
        <f t="shared" si="42"/>
        <v>1096</v>
      </c>
      <c r="J189" s="298">
        <f t="shared" si="42"/>
        <v>1096</v>
      </c>
      <c r="K189" s="298">
        <f t="shared" si="42"/>
        <v>1096</v>
      </c>
      <c r="L189" s="298">
        <f t="shared" si="42"/>
        <v>1096</v>
      </c>
      <c r="M189" s="298">
        <f t="shared" si="42"/>
        <v>1096</v>
      </c>
      <c r="N189" s="298">
        <f t="shared" si="42"/>
        <v>1096</v>
      </c>
      <c r="O189" s="2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9.75" customHeight="1" x14ac:dyDescent="0.2">
      <c r="A190" s="10"/>
      <c r="B190" s="278" t="s">
        <v>360</v>
      </c>
      <c r="C190" s="10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313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9.75" customHeight="1" x14ac:dyDescent="0.2">
      <c r="A191" s="10"/>
      <c r="B191" s="278" t="s">
        <v>361</v>
      </c>
      <c r="C191" s="10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313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9.75" customHeight="1" x14ac:dyDescent="0.2">
      <c r="A192" s="10"/>
      <c r="B192" s="278" t="s">
        <v>362</v>
      </c>
      <c r="C192" s="10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313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9.75" customHeight="1" x14ac:dyDescent="0.2">
      <c r="A193" s="10"/>
      <c r="B193" s="278" t="s">
        <v>363</v>
      </c>
      <c r="C193" s="58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313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9.75" customHeight="1" x14ac:dyDescent="0.2">
      <c r="A194" s="10"/>
      <c r="B194" s="306" t="s">
        <v>353</v>
      </c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313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9.75" customHeight="1" x14ac:dyDescent="0.15">
      <c r="A195" s="10"/>
      <c r="B195" s="278"/>
      <c r="C195" s="10"/>
      <c r="D195" s="10"/>
      <c r="E195" s="10"/>
      <c r="F195" s="174"/>
      <c r="G195" s="10"/>
      <c r="H195" s="10"/>
      <c r="I195" s="10"/>
      <c r="J195" s="10"/>
      <c r="K195" s="10"/>
      <c r="L195" s="10"/>
      <c r="M195" s="10"/>
      <c r="N195" s="10"/>
      <c r="O195" s="2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9.75" customHeight="1" x14ac:dyDescent="0.15">
      <c r="A196" s="10"/>
      <c r="B196" s="304" t="s">
        <v>364</v>
      </c>
      <c r="C196" s="305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9.75" customHeight="1" x14ac:dyDescent="0.15">
      <c r="A197" s="10"/>
      <c r="B197" s="278" t="s">
        <v>365</v>
      </c>
      <c r="C197" s="10"/>
      <c r="D197" s="174"/>
      <c r="E197" s="174"/>
      <c r="F197" s="174"/>
      <c r="G197" s="174"/>
      <c r="H197" s="174"/>
      <c r="I197" s="174"/>
      <c r="J197" s="174"/>
      <c r="K197" s="174"/>
      <c r="L197" s="174"/>
      <c r="M197" s="174"/>
      <c r="N197" s="174"/>
      <c r="O197" s="2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9.75" customHeight="1" x14ac:dyDescent="0.15">
      <c r="A198" s="93"/>
      <c r="B198" s="306" t="s">
        <v>353</v>
      </c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2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</row>
    <row r="199" spans="1:26" ht="9.75" customHeight="1" x14ac:dyDescent="0.15">
      <c r="A199" s="10"/>
      <c r="B199" s="278"/>
      <c r="C199" s="10"/>
      <c r="D199" s="10"/>
      <c r="E199" s="10"/>
      <c r="F199" s="174"/>
      <c r="G199" s="10"/>
      <c r="H199" s="10"/>
      <c r="I199" s="10"/>
      <c r="J199" s="10"/>
      <c r="K199" s="10"/>
      <c r="L199" s="10"/>
      <c r="M199" s="10"/>
      <c r="N199" s="10"/>
      <c r="O199" s="2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9.75" customHeight="1" x14ac:dyDescent="0.15">
      <c r="A200" s="10"/>
      <c r="B200" s="293" t="s">
        <v>366</v>
      </c>
      <c r="C200" s="294"/>
      <c r="D200" s="294"/>
      <c r="E200" s="294"/>
      <c r="F200" s="295"/>
      <c r="G200" s="294"/>
      <c r="H200" s="294"/>
      <c r="I200" s="294"/>
      <c r="J200" s="294"/>
      <c r="K200" s="294"/>
      <c r="L200" s="294"/>
      <c r="M200" s="294"/>
      <c r="N200" s="294"/>
      <c r="O200" s="2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9.75" customHeight="1" x14ac:dyDescent="0.15">
      <c r="A201" s="10"/>
      <c r="B201" s="304" t="s">
        <v>367</v>
      </c>
      <c r="C201" s="305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9.75" customHeight="1" x14ac:dyDescent="0.15">
      <c r="A202" s="10"/>
      <c r="B202" s="288" t="s">
        <v>368</v>
      </c>
      <c r="C202" s="10"/>
      <c r="D202" s="172">
        <f t="shared" ref="D202:N202" si="43">D11</f>
        <v>0</v>
      </c>
      <c r="E202" s="172">
        <f t="shared" si="43"/>
        <v>0</v>
      </c>
      <c r="F202" s="172">
        <f t="shared" si="43"/>
        <v>0</v>
      </c>
      <c r="G202" s="172">
        <f t="shared" si="43"/>
        <v>0</v>
      </c>
      <c r="H202" s="172">
        <f t="shared" si="43"/>
        <v>0</v>
      </c>
      <c r="I202" s="172">
        <f t="shared" si="43"/>
        <v>0</v>
      </c>
      <c r="J202" s="172">
        <f t="shared" si="43"/>
        <v>0</v>
      </c>
      <c r="K202" s="172">
        <f t="shared" si="43"/>
        <v>0</v>
      </c>
      <c r="L202" s="172">
        <f t="shared" si="43"/>
        <v>0</v>
      </c>
      <c r="M202" s="172">
        <f t="shared" si="43"/>
        <v>0</v>
      </c>
      <c r="N202" s="172">
        <f t="shared" si="43"/>
        <v>0</v>
      </c>
      <c r="O202" s="2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9.75" customHeight="1" x14ac:dyDescent="0.15">
      <c r="A203" s="10"/>
      <c r="B203" s="288" t="s">
        <v>303</v>
      </c>
      <c r="C203" s="10"/>
      <c r="D203" s="66">
        <f t="shared" ref="D203:N203" si="44">D54</f>
        <v>0</v>
      </c>
      <c r="E203" s="66">
        <f t="shared" si="44"/>
        <v>0</v>
      </c>
      <c r="F203" s="66">
        <f t="shared" si="44"/>
        <v>0</v>
      </c>
      <c r="G203" s="66">
        <f t="shared" si="44"/>
        <v>0</v>
      </c>
      <c r="H203" s="66">
        <f t="shared" si="44"/>
        <v>0</v>
      </c>
      <c r="I203" s="66">
        <f t="shared" si="44"/>
        <v>0</v>
      </c>
      <c r="J203" s="66">
        <f t="shared" si="44"/>
        <v>0</v>
      </c>
      <c r="K203" s="66">
        <f t="shared" si="44"/>
        <v>0</v>
      </c>
      <c r="L203" s="66">
        <f t="shared" si="44"/>
        <v>0</v>
      </c>
      <c r="M203" s="66">
        <f t="shared" si="44"/>
        <v>0</v>
      </c>
      <c r="N203" s="66">
        <f t="shared" si="44"/>
        <v>0</v>
      </c>
      <c r="O203" s="2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9.75" customHeight="1" x14ac:dyDescent="0.15">
      <c r="A204" s="58"/>
      <c r="B204" s="281" t="s">
        <v>369</v>
      </c>
      <c r="C204" s="58"/>
      <c r="D204" s="60">
        <f t="shared" ref="D204:N204" si="45">D202*D203</f>
        <v>0</v>
      </c>
      <c r="E204" s="60">
        <f t="shared" si="45"/>
        <v>0</v>
      </c>
      <c r="F204" s="60">
        <f t="shared" si="45"/>
        <v>0</v>
      </c>
      <c r="G204" s="60">
        <f t="shared" si="45"/>
        <v>0</v>
      </c>
      <c r="H204" s="60">
        <f t="shared" si="45"/>
        <v>0</v>
      </c>
      <c r="I204" s="60">
        <f t="shared" si="45"/>
        <v>0</v>
      </c>
      <c r="J204" s="60">
        <f t="shared" si="45"/>
        <v>0</v>
      </c>
      <c r="K204" s="60">
        <f t="shared" si="45"/>
        <v>0</v>
      </c>
      <c r="L204" s="60">
        <f t="shared" si="45"/>
        <v>0</v>
      </c>
      <c r="M204" s="60">
        <f t="shared" si="45"/>
        <v>0</v>
      </c>
      <c r="N204" s="60">
        <f t="shared" si="45"/>
        <v>0</v>
      </c>
      <c r="O204" s="2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9.75" customHeight="1" x14ac:dyDescent="0.15">
      <c r="A205" s="10"/>
      <c r="B205" s="278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2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9.75" customHeight="1" x14ac:dyDescent="0.15">
      <c r="A206" s="10"/>
      <c r="B206" s="288" t="s">
        <v>346</v>
      </c>
      <c r="C206" s="10"/>
      <c r="D206" s="66">
        <f t="shared" ref="D206:N206" si="46">D172</f>
        <v>0</v>
      </c>
      <c r="E206" s="66">
        <f t="shared" si="46"/>
        <v>0</v>
      </c>
      <c r="F206" s="66">
        <f t="shared" si="46"/>
        <v>0</v>
      </c>
      <c r="G206" s="66">
        <f t="shared" si="46"/>
        <v>0</v>
      </c>
      <c r="H206" s="66">
        <f t="shared" si="46"/>
        <v>0</v>
      </c>
      <c r="I206" s="66">
        <f t="shared" si="46"/>
        <v>0</v>
      </c>
      <c r="J206" s="66">
        <f t="shared" si="46"/>
        <v>0</v>
      </c>
      <c r="K206" s="66">
        <f t="shared" si="46"/>
        <v>0</v>
      </c>
      <c r="L206" s="66">
        <f t="shared" si="46"/>
        <v>0</v>
      </c>
      <c r="M206" s="66">
        <f t="shared" si="46"/>
        <v>0</v>
      </c>
      <c r="N206" s="66">
        <f t="shared" si="46"/>
        <v>0</v>
      </c>
      <c r="O206" s="2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9.75" customHeight="1" x14ac:dyDescent="0.15">
      <c r="A207" s="58"/>
      <c r="B207" s="281" t="s">
        <v>370</v>
      </c>
      <c r="C207" s="58"/>
      <c r="D207" s="60">
        <f t="shared" ref="D207:N207" si="47">D204+D206</f>
        <v>0</v>
      </c>
      <c r="E207" s="60">
        <f t="shared" si="47"/>
        <v>0</v>
      </c>
      <c r="F207" s="60">
        <f t="shared" si="47"/>
        <v>0</v>
      </c>
      <c r="G207" s="60">
        <f t="shared" si="47"/>
        <v>0</v>
      </c>
      <c r="H207" s="60">
        <f t="shared" si="47"/>
        <v>0</v>
      </c>
      <c r="I207" s="60">
        <f t="shared" si="47"/>
        <v>0</v>
      </c>
      <c r="J207" s="60">
        <f t="shared" si="47"/>
        <v>0</v>
      </c>
      <c r="K207" s="60">
        <f t="shared" si="47"/>
        <v>0</v>
      </c>
      <c r="L207" s="60">
        <f t="shared" si="47"/>
        <v>0</v>
      </c>
      <c r="M207" s="60">
        <f t="shared" si="47"/>
        <v>0</v>
      </c>
      <c r="N207" s="60">
        <f t="shared" si="47"/>
        <v>0</v>
      </c>
      <c r="O207" s="2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9.75" customHeight="1" x14ac:dyDescent="0.15">
      <c r="A208" s="10"/>
      <c r="B208" s="278"/>
      <c r="C208" s="10"/>
      <c r="D208" s="10"/>
      <c r="E208" s="10"/>
      <c r="F208" s="174"/>
      <c r="G208" s="10"/>
      <c r="H208" s="10"/>
      <c r="I208" s="10"/>
      <c r="J208" s="10"/>
      <c r="K208" s="10"/>
      <c r="L208" s="10"/>
      <c r="M208" s="10"/>
      <c r="N208" s="10"/>
      <c r="O208" s="2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9.75" customHeight="1" x14ac:dyDescent="0.15">
      <c r="A209" s="10"/>
      <c r="B209" s="304" t="s">
        <v>371</v>
      </c>
      <c r="C209" s="305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4.5" customHeight="1" x14ac:dyDescent="0.15">
      <c r="A210" s="10"/>
      <c r="B210" s="278"/>
      <c r="C210" s="10"/>
      <c r="D210" s="10"/>
      <c r="E210" s="10"/>
      <c r="F210" s="174"/>
      <c r="G210" s="10"/>
      <c r="H210" s="10"/>
      <c r="I210" s="10"/>
      <c r="J210" s="10"/>
      <c r="K210" s="10"/>
      <c r="L210" s="10"/>
      <c r="M210" s="10"/>
      <c r="N210" s="10"/>
      <c r="O210" s="2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9.75" customHeight="1" x14ac:dyDescent="0.15">
      <c r="A211" s="10"/>
      <c r="B211" s="281" t="s">
        <v>372</v>
      </c>
      <c r="C211" s="10"/>
      <c r="D211" s="10"/>
      <c r="E211" s="10"/>
      <c r="F211" s="174"/>
      <c r="G211" s="10"/>
      <c r="H211" s="10"/>
      <c r="I211" s="10"/>
      <c r="J211" s="10"/>
      <c r="K211" s="10"/>
      <c r="L211" s="10"/>
      <c r="M211" s="10"/>
      <c r="N211" s="10"/>
      <c r="O211" s="2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9.75" customHeight="1" x14ac:dyDescent="0.15">
      <c r="A212" s="10"/>
      <c r="B212" s="278" t="s">
        <v>373</v>
      </c>
      <c r="C212" s="10"/>
      <c r="D212" s="314" t="str">
        <f t="shared" ref="D212:N212" si="48">IFERROR(D$207/D153," ")</f>
        <v xml:space="preserve"> </v>
      </c>
      <c r="E212" s="314" t="str">
        <f t="shared" si="48"/>
        <v xml:space="preserve"> </v>
      </c>
      <c r="F212" s="314" t="str">
        <f t="shared" si="48"/>
        <v xml:space="preserve"> </v>
      </c>
      <c r="G212" s="314" t="str">
        <f t="shared" si="48"/>
        <v xml:space="preserve"> </v>
      </c>
      <c r="H212" s="314" t="str">
        <f t="shared" si="48"/>
        <v xml:space="preserve"> </v>
      </c>
      <c r="I212" s="314" t="str">
        <f t="shared" si="48"/>
        <v xml:space="preserve"> </v>
      </c>
      <c r="J212" s="314" t="str">
        <f t="shared" si="48"/>
        <v xml:space="preserve"> </v>
      </c>
      <c r="K212" s="314" t="str">
        <f t="shared" si="48"/>
        <v xml:space="preserve"> </v>
      </c>
      <c r="L212" s="314" t="str">
        <f t="shared" si="48"/>
        <v xml:space="preserve"> </v>
      </c>
      <c r="M212" s="314" t="str">
        <f t="shared" si="48"/>
        <v xml:space="preserve"> </v>
      </c>
      <c r="N212" s="314" t="str">
        <f t="shared" si="48"/>
        <v xml:space="preserve"> </v>
      </c>
      <c r="O212" s="2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9.75" customHeight="1" x14ac:dyDescent="0.15">
      <c r="A213" s="10"/>
      <c r="B213" s="278" t="s">
        <v>374</v>
      </c>
      <c r="C213" s="10"/>
      <c r="D213" s="314" t="str">
        <f t="shared" ref="D213:N213" si="49">IFERROR(D$207/D154," ")</f>
        <v xml:space="preserve"> </v>
      </c>
      <c r="E213" s="314" t="str">
        <f t="shared" si="49"/>
        <v xml:space="preserve"> </v>
      </c>
      <c r="F213" s="314" t="str">
        <f t="shared" si="49"/>
        <v xml:space="preserve"> </v>
      </c>
      <c r="G213" s="314" t="str">
        <f t="shared" si="49"/>
        <v xml:space="preserve"> </v>
      </c>
      <c r="H213" s="314" t="str">
        <f t="shared" si="49"/>
        <v xml:space="preserve"> </v>
      </c>
      <c r="I213" s="314" t="str">
        <f t="shared" si="49"/>
        <v xml:space="preserve"> </v>
      </c>
      <c r="J213" s="314" t="str">
        <f t="shared" si="49"/>
        <v xml:space="preserve"> </v>
      </c>
      <c r="K213" s="314" t="str">
        <f t="shared" si="49"/>
        <v xml:space="preserve"> </v>
      </c>
      <c r="L213" s="314" t="str">
        <f t="shared" si="49"/>
        <v xml:space="preserve"> </v>
      </c>
      <c r="M213" s="314" t="str">
        <f t="shared" si="49"/>
        <v xml:space="preserve"> </v>
      </c>
      <c r="N213" s="314" t="str">
        <f t="shared" si="49"/>
        <v xml:space="preserve"> </v>
      </c>
      <c r="O213" s="2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9.75" customHeight="1" x14ac:dyDescent="0.15">
      <c r="A214" s="10"/>
      <c r="B214" s="278" t="s">
        <v>375</v>
      </c>
      <c r="C214" s="10"/>
      <c r="D214" s="314" t="str">
        <f t="shared" ref="D214:N214" si="50">IFERROR(D$207/D155," ")</f>
        <v xml:space="preserve"> </v>
      </c>
      <c r="E214" s="314" t="str">
        <f t="shared" si="50"/>
        <v xml:space="preserve"> </v>
      </c>
      <c r="F214" s="314" t="str">
        <f t="shared" si="50"/>
        <v xml:space="preserve"> </v>
      </c>
      <c r="G214" s="314" t="str">
        <f t="shared" si="50"/>
        <v xml:space="preserve"> </v>
      </c>
      <c r="H214" s="314" t="str">
        <f t="shared" si="50"/>
        <v xml:space="preserve"> </v>
      </c>
      <c r="I214" s="314" t="str">
        <f t="shared" si="50"/>
        <v xml:space="preserve"> </v>
      </c>
      <c r="J214" s="314" t="str">
        <f t="shared" si="50"/>
        <v xml:space="preserve"> </v>
      </c>
      <c r="K214" s="314" t="str">
        <f t="shared" si="50"/>
        <v xml:space="preserve"> </v>
      </c>
      <c r="L214" s="314" t="str">
        <f t="shared" si="50"/>
        <v xml:space="preserve"> </v>
      </c>
      <c r="M214" s="314" t="str">
        <f t="shared" si="50"/>
        <v xml:space="preserve"> </v>
      </c>
      <c r="N214" s="314" t="str">
        <f t="shared" si="50"/>
        <v xml:space="preserve"> </v>
      </c>
      <c r="O214" s="2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9.75" customHeight="1" x14ac:dyDescent="0.15">
      <c r="A215" s="10"/>
      <c r="B215" s="278" t="s">
        <v>376</v>
      </c>
      <c r="C215" s="10"/>
      <c r="D215" s="314" t="str">
        <f t="shared" ref="D215:N215" si="51">IFERROR((D$11/D$156)," ")</f>
        <v xml:space="preserve"> </v>
      </c>
      <c r="E215" s="314" t="str">
        <f t="shared" si="51"/>
        <v xml:space="preserve"> </v>
      </c>
      <c r="F215" s="314" t="str">
        <f t="shared" si="51"/>
        <v xml:space="preserve"> </v>
      </c>
      <c r="G215" s="314" t="str">
        <f t="shared" si="51"/>
        <v xml:space="preserve"> </v>
      </c>
      <c r="H215" s="314" t="str">
        <f t="shared" si="51"/>
        <v xml:space="preserve"> </v>
      </c>
      <c r="I215" s="314" t="str">
        <f t="shared" si="51"/>
        <v xml:space="preserve"> </v>
      </c>
      <c r="J215" s="314" t="str">
        <f t="shared" si="51"/>
        <v xml:space="preserve"> </v>
      </c>
      <c r="K215" s="314" t="str">
        <f t="shared" si="51"/>
        <v xml:space="preserve"> </v>
      </c>
      <c r="L215" s="314" t="str">
        <f t="shared" si="51"/>
        <v xml:space="preserve"> </v>
      </c>
      <c r="M215" s="314" t="str">
        <f t="shared" si="51"/>
        <v xml:space="preserve"> </v>
      </c>
      <c r="N215" s="314" t="str">
        <f t="shared" si="51"/>
        <v xml:space="preserve"> </v>
      </c>
      <c r="O215" s="2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9.75" customHeight="1" x14ac:dyDescent="0.15">
      <c r="A216" s="10"/>
      <c r="B216" s="278"/>
      <c r="C216" s="10"/>
      <c r="D216" s="314"/>
      <c r="E216" s="314"/>
      <c r="F216" s="314"/>
      <c r="G216" s="314"/>
      <c r="H216" s="314"/>
      <c r="I216" s="314"/>
      <c r="J216" s="314"/>
      <c r="K216" s="314"/>
      <c r="L216" s="314"/>
      <c r="M216" s="314"/>
      <c r="N216" s="314"/>
      <c r="O216" s="2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9.75" customHeight="1" x14ac:dyDescent="0.15">
      <c r="A217" s="10"/>
      <c r="B217" s="281" t="s">
        <v>377</v>
      </c>
      <c r="C217" s="10"/>
      <c r="D217" s="314"/>
      <c r="E217" s="314"/>
      <c r="F217" s="314"/>
      <c r="G217" s="314"/>
      <c r="H217" s="314"/>
      <c r="I217" s="314"/>
      <c r="J217" s="314"/>
      <c r="K217" s="314"/>
      <c r="L217" s="314"/>
      <c r="M217" s="314"/>
      <c r="N217" s="314"/>
      <c r="O217" s="2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9.75" customHeight="1" x14ac:dyDescent="0.15">
      <c r="A218" s="10"/>
      <c r="B218" s="278" t="s">
        <v>378</v>
      </c>
      <c r="C218" s="10"/>
      <c r="D218" s="314" t="str">
        <f t="shared" ref="D218:N218" si="52">IFERROR(D$207/D176," ")</f>
        <v xml:space="preserve"> </v>
      </c>
      <c r="E218" s="314" t="str">
        <f t="shared" si="52"/>
        <v xml:space="preserve"> </v>
      </c>
      <c r="F218" s="314" t="str">
        <f t="shared" si="52"/>
        <v xml:space="preserve"> </v>
      </c>
      <c r="G218" s="314" t="str">
        <f t="shared" si="52"/>
        <v xml:space="preserve"> </v>
      </c>
      <c r="H218" s="314" t="str">
        <f t="shared" si="52"/>
        <v xml:space="preserve"> </v>
      </c>
      <c r="I218" s="314" t="str">
        <f t="shared" si="52"/>
        <v xml:space="preserve"> </v>
      </c>
      <c r="J218" s="314" t="str">
        <f t="shared" si="52"/>
        <v xml:space="preserve"> </v>
      </c>
      <c r="K218" s="314" t="str">
        <f t="shared" si="52"/>
        <v xml:space="preserve"> </v>
      </c>
      <c r="L218" s="314" t="str">
        <f t="shared" si="52"/>
        <v xml:space="preserve"> </v>
      </c>
      <c r="M218" s="314" t="str">
        <f t="shared" si="52"/>
        <v xml:space="preserve"> </v>
      </c>
      <c r="N218" s="314" t="str">
        <f t="shared" si="52"/>
        <v xml:space="preserve"> </v>
      </c>
      <c r="O218" s="2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9.75" customHeight="1" x14ac:dyDescent="0.15">
      <c r="A219" s="10"/>
      <c r="B219" s="278" t="s">
        <v>379</v>
      </c>
      <c r="C219" s="10"/>
      <c r="D219" s="314" t="str">
        <f t="shared" ref="D219:N219" si="53">IFERROR(D$207/D177," ")</f>
        <v xml:space="preserve"> </v>
      </c>
      <c r="E219" s="314" t="str">
        <f t="shared" si="53"/>
        <v xml:space="preserve"> </v>
      </c>
      <c r="F219" s="314" t="str">
        <f t="shared" si="53"/>
        <v xml:space="preserve"> </v>
      </c>
      <c r="G219" s="314" t="str">
        <f t="shared" si="53"/>
        <v xml:space="preserve"> </v>
      </c>
      <c r="H219" s="314" t="str">
        <f t="shared" si="53"/>
        <v xml:space="preserve"> </v>
      </c>
      <c r="I219" s="314" t="str">
        <f t="shared" si="53"/>
        <v xml:space="preserve"> </v>
      </c>
      <c r="J219" s="314" t="str">
        <f t="shared" si="53"/>
        <v xml:space="preserve"> </v>
      </c>
      <c r="K219" s="314" t="str">
        <f t="shared" si="53"/>
        <v xml:space="preserve"> </v>
      </c>
      <c r="L219" s="314" t="str">
        <f t="shared" si="53"/>
        <v xml:space="preserve"> </v>
      </c>
      <c r="M219" s="314" t="str">
        <f t="shared" si="53"/>
        <v xml:space="preserve"> </v>
      </c>
      <c r="N219" s="314" t="str">
        <f t="shared" si="53"/>
        <v xml:space="preserve"> </v>
      </c>
      <c r="O219" s="2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9.75" customHeight="1" x14ac:dyDescent="0.15">
      <c r="A220" s="10"/>
      <c r="B220" s="278" t="s">
        <v>380</v>
      </c>
      <c r="C220" s="10"/>
      <c r="D220" s="314" t="str">
        <f t="shared" ref="D220:N220" si="54">IFERROR(D$207/D178," ")</f>
        <v xml:space="preserve"> </v>
      </c>
      <c r="E220" s="314" t="str">
        <f t="shared" si="54"/>
        <v xml:space="preserve"> </v>
      </c>
      <c r="F220" s="314" t="str">
        <f t="shared" si="54"/>
        <v xml:space="preserve"> </v>
      </c>
      <c r="G220" s="314" t="str">
        <f t="shared" si="54"/>
        <v xml:space="preserve"> </v>
      </c>
      <c r="H220" s="314" t="str">
        <f t="shared" si="54"/>
        <v xml:space="preserve"> </v>
      </c>
      <c r="I220" s="314" t="str">
        <f t="shared" si="54"/>
        <v xml:space="preserve"> </v>
      </c>
      <c r="J220" s="314" t="str">
        <f t="shared" si="54"/>
        <v xml:space="preserve"> </v>
      </c>
      <c r="K220" s="314" t="str">
        <f t="shared" si="54"/>
        <v xml:space="preserve"> </v>
      </c>
      <c r="L220" s="314" t="str">
        <f t="shared" si="54"/>
        <v xml:space="preserve"> </v>
      </c>
      <c r="M220" s="314" t="str">
        <f t="shared" si="54"/>
        <v xml:space="preserve"> </v>
      </c>
      <c r="N220" s="314" t="str">
        <f t="shared" si="54"/>
        <v xml:space="preserve"> </v>
      </c>
      <c r="O220" s="2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9.75" customHeight="1" x14ac:dyDescent="0.15">
      <c r="A221" s="10"/>
      <c r="B221" s="278" t="s">
        <v>381</v>
      </c>
      <c r="C221" s="10"/>
      <c r="D221" s="314" t="str">
        <f t="shared" ref="D221:N221" si="55">IFERROR(D$11/D$179," ")</f>
        <v xml:space="preserve"> </v>
      </c>
      <c r="E221" s="314" t="str">
        <f t="shared" si="55"/>
        <v xml:space="preserve"> </v>
      </c>
      <c r="F221" s="314" t="str">
        <f t="shared" si="55"/>
        <v xml:space="preserve"> </v>
      </c>
      <c r="G221" s="314" t="str">
        <f t="shared" si="55"/>
        <v xml:space="preserve"> </v>
      </c>
      <c r="H221" s="314" t="str">
        <f t="shared" si="55"/>
        <v xml:space="preserve"> </v>
      </c>
      <c r="I221" s="314" t="str">
        <f t="shared" si="55"/>
        <v xml:space="preserve"> </v>
      </c>
      <c r="J221" s="314" t="str">
        <f t="shared" si="55"/>
        <v xml:space="preserve"> </v>
      </c>
      <c r="K221" s="314" t="str">
        <f t="shared" si="55"/>
        <v xml:space="preserve"> </v>
      </c>
      <c r="L221" s="314" t="str">
        <f t="shared" si="55"/>
        <v xml:space="preserve"> </v>
      </c>
      <c r="M221" s="314" t="str">
        <f t="shared" si="55"/>
        <v xml:space="preserve"> </v>
      </c>
      <c r="N221" s="314" t="str">
        <f t="shared" si="55"/>
        <v xml:space="preserve"> </v>
      </c>
      <c r="O221" s="2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9.75" customHeight="1" x14ac:dyDescent="0.15">
      <c r="A222" s="10"/>
      <c r="B222" s="278"/>
      <c r="C222" s="10"/>
      <c r="D222" s="314"/>
      <c r="E222" s="314"/>
      <c r="F222" s="314"/>
      <c r="G222" s="314"/>
      <c r="H222" s="314"/>
      <c r="I222" s="314"/>
      <c r="J222" s="314"/>
      <c r="K222" s="314"/>
      <c r="L222" s="314"/>
      <c r="M222" s="314"/>
      <c r="N222" s="314"/>
      <c r="O222" s="2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9.75" customHeight="1" x14ac:dyDescent="0.15">
      <c r="A223" s="10"/>
      <c r="B223" s="281" t="s">
        <v>382</v>
      </c>
      <c r="C223" s="10"/>
      <c r="D223" s="314"/>
      <c r="E223" s="314"/>
      <c r="F223" s="314"/>
      <c r="G223" s="314"/>
      <c r="H223" s="314"/>
      <c r="I223" s="314"/>
      <c r="J223" s="314"/>
      <c r="K223" s="314"/>
      <c r="L223" s="314"/>
      <c r="M223" s="314"/>
      <c r="N223" s="314"/>
      <c r="O223" s="2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9.75" customHeight="1" x14ac:dyDescent="0.15">
      <c r="A224" s="10"/>
      <c r="B224" s="278" t="s">
        <v>383</v>
      </c>
      <c r="C224" s="10"/>
      <c r="D224" s="314" t="str">
        <f t="shared" ref="D224:N224" si="56">IFERROR(D$207/D183," ")</f>
        <v xml:space="preserve"> </v>
      </c>
      <c r="E224" s="314" t="str">
        <f t="shared" si="56"/>
        <v xml:space="preserve"> </v>
      </c>
      <c r="F224" s="314" t="str">
        <f t="shared" si="56"/>
        <v xml:space="preserve"> </v>
      </c>
      <c r="G224" s="314" t="str">
        <f t="shared" si="56"/>
        <v xml:space="preserve"> </v>
      </c>
      <c r="H224" s="314" t="str">
        <f t="shared" si="56"/>
        <v xml:space="preserve"> </v>
      </c>
      <c r="I224" s="314" t="str">
        <f t="shared" si="56"/>
        <v xml:space="preserve"> </v>
      </c>
      <c r="J224" s="314" t="str">
        <f t="shared" si="56"/>
        <v xml:space="preserve"> </v>
      </c>
      <c r="K224" s="314" t="str">
        <f t="shared" si="56"/>
        <v xml:space="preserve"> </v>
      </c>
      <c r="L224" s="314" t="str">
        <f t="shared" si="56"/>
        <v xml:space="preserve"> </v>
      </c>
      <c r="M224" s="314" t="str">
        <f t="shared" si="56"/>
        <v xml:space="preserve"> </v>
      </c>
      <c r="N224" s="314" t="str">
        <f t="shared" si="56"/>
        <v xml:space="preserve"> </v>
      </c>
      <c r="O224" s="2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9.75" customHeight="1" x14ac:dyDescent="0.15">
      <c r="A225" s="10"/>
      <c r="B225" s="278" t="s">
        <v>384</v>
      </c>
      <c r="C225" s="10"/>
      <c r="D225" s="314" t="str">
        <f t="shared" ref="D225:N225" si="57">IFERROR(D$207/D184," ")</f>
        <v xml:space="preserve"> </v>
      </c>
      <c r="E225" s="314" t="str">
        <f t="shared" si="57"/>
        <v xml:space="preserve"> </v>
      </c>
      <c r="F225" s="314" t="str">
        <f t="shared" si="57"/>
        <v xml:space="preserve"> </v>
      </c>
      <c r="G225" s="314" t="str">
        <f t="shared" si="57"/>
        <v xml:space="preserve"> </v>
      </c>
      <c r="H225" s="314" t="str">
        <f t="shared" si="57"/>
        <v xml:space="preserve"> </v>
      </c>
      <c r="I225" s="314" t="str">
        <f t="shared" si="57"/>
        <v xml:space="preserve"> </v>
      </c>
      <c r="J225" s="314" t="str">
        <f t="shared" si="57"/>
        <v xml:space="preserve"> </v>
      </c>
      <c r="K225" s="314" t="str">
        <f t="shared" si="57"/>
        <v xml:space="preserve"> </v>
      </c>
      <c r="L225" s="314" t="str">
        <f t="shared" si="57"/>
        <v xml:space="preserve"> </v>
      </c>
      <c r="M225" s="314" t="str">
        <f t="shared" si="57"/>
        <v xml:space="preserve"> </v>
      </c>
      <c r="N225" s="314" t="str">
        <f t="shared" si="57"/>
        <v xml:space="preserve"> </v>
      </c>
      <c r="O225" s="2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9.75" customHeight="1" x14ac:dyDescent="0.15">
      <c r="A226" s="10"/>
      <c r="B226" s="278" t="s">
        <v>385</v>
      </c>
      <c r="C226" s="10"/>
      <c r="D226" s="314" t="str">
        <f t="shared" ref="D226:N226" si="58">IFERROR(D$207/D185," ")</f>
        <v xml:space="preserve"> </v>
      </c>
      <c r="E226" s="314" t="str">
        <f t="shared" si="58"/>
        <v xml:space="preserve"> </v>
      </c>
      <c r="F226" s="314" t="str">
        <f t="shared" si="58"/>
        <v xml:space="preserve"> </v>
      </c>
      <c r="G226" s="314" t="str">
        <f t="shared" si="58"/>
        <v xml:space="preserve"> </v>
      </c>
      <c r="H226" s="314" t="str">
        <f t="shared" si="58"/>
        <v xml:space="preserve"> </v>
      </c>
      <c r="I226" s="314" t="str">
        <f t="shared" si="58"/>
        <v xml:space="preserve"> </v>
      </c>
      <c r="J226" s="314" t="str">
        <f t="shared" si="58"/>
        <v xml:space="preserve"> </v>
      </c>
      <c r="K226" s="314" t="str">
        <f t="shared" si="58"/>
        <v xml:space="preserve"> </v>
      </c>
      <c r="L226" s="314" t="str">
        <f t="shared" si="58"/>
        <v xml:space="preserve"> </v>
      </c>
      <c r="M226" s="314" t="str">
        <f t="shared" si="58"/>
        <v xml:space="preserve"> </v>
      </c>
      <c r="N226" s="314" t="str">
        <f t="shared" si="58"/>
        <v xml:space="preserve"> </v>
      </c>
      <c r="O226" s="2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9.75" customHeight="1" x14ac:dyDescent="0.15">
      <c r="A227" s="10"/>
      <c r="B227" s="278" t="s">
        <v>386</v>
      </c>
      <c r="C227" s="10"/>
      <c r="D227" s="314" t="str">
        <f t="shared" ref="D227:N227" si="59">IFERROR(D$11/D$186," ")</f>
        <v xml:space="preserve"> </v>
      </c>
      <c r="E227" s="314" t="str">
        <f t="shared" si="59"/>
        <v xml:space="preserve"> </v>
      </c>
      <c r="F227" s="314" t="str">
        <f t="shared" si="59"/>
        <v xml:space="preserve"> </v>
      </c>
      <c r="G227" s="314" t="str">
        <f t="shared" si="59"/>
        <v xml:space="preserve"> </v>
      </c>
      <c r="H227" s="314" t="str">
        <f t="shared" si="59"/>
        <v xml:space="preserve"> </v>
      </c>
      <c r="I227" s="314" t="str">
        <f t="shared" si="59"/>
        <v xml:space="preserve"> </v>
      </c>
      <c r="J227" s="314" t="str">
        <f t="shared" si="59"/>
        <v xml:space="preserve"> </v>
      </c>
      <c r="K227" s="314" t="str">
        <f t="shared" si="59"/>
        <v xml:space="preserve"> </v>
      </c>
      <c r="L227" s="314" t="str">
        <f t="shared" si="59"/>
        <v xml:space="preserve"> </v>
      </c>
      <c r="M227" s="314" t="str">
        <f t="shared" si="59"/>
        <v xml:space="preserve"> </v>
      </c>
      <c r="N227" s="314" t="str">
        <f t="shared" si="59"/>
        <v xml:space="preserve"> </v>
      </c>
      <c r="O227" s="2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9.75" customHeight="1" x14ac:dyDescent="0.15">
      <c r="A228" s="10"/>
      <c r="B228" s="278"/>
      <c r="C228" s="10"/>
      <c r="D228" s="314"/>
      <c r="E228" s="314"/>
      <c r="F228" s="314"/>
      <c r="G228" s="314"/>
      <c r="H228" s="314"/>
      <c r="I228" s="314"/>
      <c r="J228" s="314"/>
      <c r="K228" s="314"/>
      <c r="L228" s="314"/>
      <c r="M228" s="314"/>
      <c r="N228" s="314"/>
      <c r="O228" s="2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9.75" customHeight="1" x14ac:dyDescent="0.15">
      <c r="A229" s="10"/>
      <c r="B229" s="278" t="s">
        <v>387</v>
      </c>
      <c r="C229" s="10"/>
      <c r="D229" s="314" t="str">
        <f t="shared" ref="D229:N229" si="60">IFERROR(D$221/(D$197*100)," ")</f>
        <v xml:space="preserve"> </v>
      </c>
      <c r="E229" s="314" t="str">
        <f t="shared" si="60"/>
        <v xml:space="preserve"> </v>
      </c>
      <c r="F229" s="314" t="str">
        <f t="shared" si="60"/>
        <v xml:space="preserve"> </v>
      </c>
      <c r="G229" s="314" t="str">
        <f t="shared" si="60"/>
        <v xml:space="preserve"> </v>
      </c>
      <c r="H229" s="314" t="str">
        <f t="shared" si="60"/>
        <v xml:space="preserve"> </v>
      </c>
      <c r="I229" s="314" t="str">
        <f t="shared" si="60"/>
        <v xml:space="preserve"> </v>
      </c>
      <c r="J229" s="314" t="str">
        <f t="shared" si="60"/>
        <v xml:space="preserve"> </v>
      </c>
      <c r="K229" s="314" t="str">
        <f t="shared" si="60"/>
        <v xml:space="preserve"> </v>
      </c>
      <c r="L229" s="314" t="str">
        <f t="shared" si="60"/>
        <v xml:space="preserve"> </v>
      </c>
      <c r="M229" s="314" t="str">
        <f t="shared" si="60"/>
        <v xml:space="preserve"> </v>
      </c>
      <c r="N229" s="314" t="str">
        <f t="shared" si="60"/>
        <v xml:space="preserve"> </v>
      </c>
      <c r="O229" s="2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9.75" customHeight="1" x14ac:dyDescent="0.15">
      <c r="A230" s="10"/>
      <c r="B230" s="315"/>
      <c r="C230" s="10"/>
      <c r="D230" s="10"/>
      <c r="E230" s="10"/>
      <c r="F230" s="174"/>
      <c r="G230" s="10"/>
      <c r="H230" s="10"/>
      <c r="I230" s="10"/>
      <c r="J230" s="10"/>
      <c r="K230" s="10"/>
      <c r="L230" s="10"/>
      <c r="M230" s="10"/>
      <c r="N230" s="10"/>
      <c r="O230" s="2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9.75" customHeight="1" x14ac:dyDescent="0.15">
      <c r="A231" s="10"/>
      <c r="B231" s="315"/>
      <c r="C231" s="10"/>
      <c r="D231" s="10"/>
      <c r="E231" s="10"/>
      <c r="F231" s="174"/>
      <c r="G231" s="10"/>
      <c r="H231" s="10"/>
      <c r="I231" s="10"/>
      <c r="J231" s="10"/>
      <c r="K231" s="10"/>
      <c r="L231" s="10"/>
      <c r="M231" s="10"/>
      <c r="N231" s="10"/>
      <c r="O231" s="2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9.75" customHeight="1" x14ac:dyDescent="0.15">
      <c r="A232" s="10"/>
      <c r="B232" s="304" t="s">
        <v>388</v>
      </c>
      <c r="C232" s="305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9.75" customHeight="1" x14ac:dyDescent="0.15">
      <c r="A233" s="10"/>
      <c r="B233" s="315" t="s">
        <v>389</v>
      </c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2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9.75" customHeight="1" x14ac:dyDescent="0.15">
      <c r="A234" s="10"/>
      <c r="B234" s="315" t="s">
        <v>368</v>
      </c>
      <c r="C234" s="10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2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9.75" customHeight="1" x14ac:dyDescent="0.15">
      <c r="A235" s="10"/>
      <c r="B235" s="315" t="s">
        <v>303</v>
      </c>
      <c r="C235" s="10"/>
      <c r="D235" s="55">
        <f t="shared" ref="D235:N235" si="61">D54</f>
        <v>0</v>
      </c>
      <c r="E235" s="55">
        <f t="shared" si="61"/>
        <v>0</v>
      </c>
      <c r="F235" s="55">
        <f t="shared" si="61"/>
        <v>0</v>
      </c>
      <c r="G235" s="55">
        <f t="shared" si="61"/>
        <v>0</v>
      </c>
      <c r="H235" s="55">
        <f t="shared" si="61"/>
        <v>0</v>
      </c>
      <c r="I235" s="55">
        <f t="shared" si="61"/>
        <v>0</v>
      </c>
      <c r="J235" s="55">
        <f t="shared" si="61"/>
        <v>0</v>
      </c>
      <c r="K235" s="55">
        <f t="shared" si="61"/>
        <v>0</v>
      </c>
      <c r="L235" s="55">
        <f t="shared" si="61"/>
        <v>0</v>
      </c>
      <c r="M235" s="55">
        <f t="shared" si="61"/>
        <v>0</v>
      </c>
      <c r="N235" s="55">
        <f t="shared" si="61"/>
        <v>0</v>
      </c>
      <c r="O235" s="2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9.75" customHeight="1" x14ac:dyDescent="0.15">
      <c r="A236" s="10"/>
      <c r="B236" s="315" t="s">
        <v>390</v>
      </c>
      <c r="C236" s="10"/>
      <c r="D236" s="55">
        <f t="shared" ref="D236:N236" si="62">D204</f>
        <v>0</v>
      </c>
      <c r="E236" s="55">
        <f t="shared" si="62"/>
        <v>0</v>
      </c>
      <c r="F236" s="55">
        <f t="shared" si="62"/>
        <v>0</v>
      </c>
      <c r="G236" s="55">
        <f t="shared" si="62"/>
        <v>0</v>
      </c>
      <c r="H236" s="55">
        <f t="shared" si="62"/>
        <v>0</v>
      </c>
      <c r="I236" s="55">
        <f t="shared" si="62"/>
        <v>0</v>
      </c>
      <c r="J236" s="55">
        <f t="shared" si="62"/>
        <v>0</v>
      </c>
      <c r="K236" s="55">
        <f t="shared" si="62"/>
        <v>0</v>
      </c>
      <c r="L236" s="55">
        <f t="shared" si="62"/>
        <v>0</v>
      </c>
      <c r="M236" s="55">
        <f t="shared" si="62"/>
        <v>0</v>
      </c>
      <c r="N236" s="55">
        <f t="shared" si="62"/>
        <v>0</v>
      </c>
      <c r="O236" s="2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9.75" customHeight="1" x14ac:dyDescent="0.15">
      <c r="A237" s="10"/>
      <c r="B237" s="315" t="s">
        <v>391</v>
      </c>
      <c r="C237" s="10"/>
      <c r="D237" s="55">
        <f t="shared" ref="D237:N237" si="63">D171</f>
        <v>0</v>
      </c>
      <c r="E237" s="55">
        <f t="shared" si="63"/>
        <v>0</v>
      </c>
      <c r="F237" s="55">
        <f t="shared" si="63"/>
        <v>0</v>
      </c>
      <c r="G237" s="55">
        <f t="shared" si="63"/>
        <v>0</v>
      </c>
      <c r="H237" s="55">
        <f t="shared" si="63"/>
        <v>0</v>
      </c>
      <c r="I237" s="55">
        <f t="shared" si="63"/>
        <v>0</v>
      </c>
      <c r="J237" s="55">
        <f t="shared" si="63"/>
        <v>0</v>
      </c>
      <c r="K237" s="55">
        <f t="shared" si="63"/>
        <v>0</v>
      </c>
      <c r="L237" s="55">
        <f t="shared" si="63"/>
        <v>0</v>
      </c>
      <c r="M237" s="55">
        <f t="shared" si="63"/>
        <v>0</v>
      </c>
      <c r="N237" s="55">
        <f t="shared" si="63"/>
        <v>0</v>
      </c>
      <c r="O237" s="2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9.75" customHeight="1" x14ac:dyDescent="0.15">
      <c r="A238" s="10"/>
      <c r="B238" s="315" t="s">
        <v>344</v>
      </c>
      <c r="C238" s="10"/>
      <c r="D238" s="55">
        <f t="shared" ref="D238:N238" si="64">D170</f>
        <v>0</v>
      </c>
      <c r="E238" s="55">
        <f t="shared" si="64"/>
        <v>0</v>
      </c>
      <c r="F238" s="55">
        <f t="shared" si="64"/>
        <v>0</v>
      </c>
      <c r="G238" s="55">
        <f t="shared" si="64"/>
        <v>0</v>
      </c>
      <c r="H238" s="55">
        <f t="shared" si="64"/>
        <v>0</v>
      </c>
      <c r="I238" s="55">
        <f t="shared" si="64"/>
        <v>0</v>
      </c>
      <c r="J238" s="55">
        <f t="shared" si="64"/>
        <v>0</v>
      </c>
      <c r="K238" s="55">
        <f t="shared" si="64"/>
        <v>0</v>
      </c>
      <c r="L238" s="55">
        <f t="shared" si="64"/>
        <v>0</v>
      </c>
      <c r="M238" s="55">
        <f t="shared" si="64"/>
        <v>0</v>
      </c>
      <c r="N238" s="55">
        <f t="shared" si="64"/>
        <v>0</v>
      </c>
      <c r="O238" s="2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9.75" customHeight="1" x14ac:dyDescent="0.15">
      <c r="A239" s="10"/>
      <c r="B239" s="315" t="s">
        <v>125</v>
      </c>
      <c r="C239" s="10"/>
      <c r="D239" s="174"/>
      <c r="E239" s="174"/>
      <c r="F239" s="174"/>
      <c r="G239" s="174"/>
      <c r="H239" s="174"/>
      <c r="I239" s="174"/>
      <c r="J239" s="174"/>
      <c r="K239" s="174"/>
      <c r="L239" s="174"/>
      <c r="M239" s="174"/>
      <c r="N239" s="174"/>
      <c r="O239" s="2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9.75" customHeight="1" x14ac:dyDescent="0.15">
      <c r="A240" s="10"/>
      <c r="B240" s="316" t="s">
        <v>392</v>
      </c>
      <c r="C240" s="58"/>
      <c r="D240" s="317" t="str">
        <f t="shared" ref="D240:N240" si="65">IFERROR(D233/(1+(1-D239)*(D238-D237)/D236)," ")</f>
        <v xml:space="preserve"> </v>
      </c>
      <c r="E240" s="317" t="str">
        <f t="shared" si="65"/>
        <v xml:space="preserve"> </v>
      </c>
      <c r="F240" s="317" t="str">
        <f t="shared" si="65"/>
        <v xml:space="preserve"> </v>
      </c>
      <c r="G240" s="317" t="str">
        <f t="shared" si="65"/>
        <v xml:space="preserve"> </v>
      </c>
      <c r="H240" s="317" t="str">
        <f t="shared" si="65"/>
        <v xml:space="preserve"> </v>
      </c>
      <c r="I240" s="317" t="str">
        <f t="shared" si="65"/>
        <v xml:space="preserve"> </v>
      </c>
      <c r="J240" s="317" t="str">
        <f t="shared" si="65"/>
        <v xml:space="preserve"> </v>
      </c>
      <c r="K240" s="317" t="str">
        <f t="shared" si="65"/>
        <v xml:space="preserve"> </v>
      </c>
      <c r="L240" s="317" t="str">
        <f t="shared" si="65"/>
        <v xml:space="preserve"> </v>
      </c>
      <c r="M240" s="317" t="str">
        <f t="shared" si="65"/>
        <v xml:space="preserve"> </v>
      </c>
      <c r="N240" s="317" t="str">
        <f t="shared" si="65"/>
        <v xml:space="preserve"> </v>
      </c>
      <c r="O240" s="2"/>
      <c r="P240" s="452" t="s">
        <v>393</v>
      </c>
      <c r="Q240" s="450"/>
      <c r="R240" s="318" t="e">
        <f>AVERAGE(D240:N240)</f>
        <v>#DIV/0!</v>
      </c>
      <c r="S240" s="10"/>
      <c r="T240" s="10"/>
      <c r="U240" s="10"/>
      <c r="V240" s="10"/>
      <c r="W240" s="10"/>
      <c r="X240" s="10"/>
      <c r="Y240" s="10"/>
      <c r="Z240" s="10"/>
    </row>
    <row r="241" spans="1:26" ht="9.75" customHeight="1" x14ac:dyDescent="0.15">
      <c r="A241" s="10"/>
      <c r="B241" s="315"/>
      <c r="C241" s="10"/>
      <c r="D241" s="10"/>
      <c r="E241" s="10"/>
      <c r="F241" s="174"/>
      <c r="G241" s="10"/>
      <c r="H241" s="10"/>
      <c r="I241" s="10"/>
      <c r="J241" s="10"/>
      <c r="K241" s="10"/>
      <c r="L241" s="10"/>
      <c r="M241" s="10"/>
      <c r="N241" s="10"/>
      <c r="O241" s="2"/>
      <c r="P241" s="452" t="str">
        <f>B4&amp;":"</f>
        <v>American Tower:</v>
      </c>
      <c r="Q241" s="450"/>
      <c r="R241" s="305" t="e">
        <f>R240*(1+(1-D239)*(D238-D237)/D236)</f>
        <v>#DIV/0!</v>
      </c>
      <c r="S241" s="10"/>
      <c r="T241" s="10"/>
      <c r="U241" s="10"/>
      <c r="V241" s="10"/>
      <c r="W241" s="10"/>
      <c r="X241" s="10"/>
      <c r="Y241" s="10"/>
      <c r="Z241" s="10"/>
    </row>
    <row r="242" spans="1:26" ht="9.75" customHeight="1" x14ac:dyDescent="0.15">
      <c r="A242" s="10"/>
      <c r="B242" s="315"/>
      <c r="C242" s="10"/>
      <c r="D242" s="10"/>
      <c r="E242" s="10"/>
      <c r="F242" s="174"/>
      <c r="G242" s="10"/>
      <c r="H242" s="10"/>
      <c r="I242" s="10"/>
      <c r="J242" s="10"/>
      <c r="K242" s="10"/>
      <c r="L242" s="10"/>
      <c r="M242" s="10"/>
      <c r="N242" s="10"/>
      <c r="O242" s="2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9.75" customHeight="1" x14ac:dyDescent="0.15">
      <c r="A243" s="10"/>
      <c r="B243" s="315"/>
      <c r="C243" s="10"/>
      <c r="D243" s="10"/>
      <c r="E243" s="10"/>
      <c r="F243" s="174"/>
      <c r="G243" s="10"/>
      <c r="H243" s="10"/>
      <c r="I243" s="10"/>
      <c r="J243" s="10"/>
      <c r="K243" s="10"/>
      <c r="L243" s="10"/>
      <c r="M243" s="10"/>
      <c r="N243" s="10"/>
      <c r="O243" s="2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9.75" customHeight="1" x14ac:dyDescent="0.15">
      <c r="A244" s="10"/>
      <c r="B244" s="315"/>
      <c r="C244" s="10"/>
      <c r="D244" s="10"/>
      <c r="E244" s="10"/>
      <c r="F244" s="174"/>
      <c r="G244" s="10"/>
      <c r="H244" s="10"/>
      <c r="I244" s="10"/>
      <c r="J244" s="10"/>
      <c r="K244" s="10"/>
      <c r="L244" s="10"/>
      <c r="M244" s="10"/>
      <c r="N244" s="10"/>
      <c r="O244" s="2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9.75" customHeight="1" x14ac:dyDescent="0.15">
      <c r="A245" s="10"/>
      <c r="B245" s="315"/>
      <c r="C245" s="10"/>
      <c r="D245" s="10"/>
      <c r="E245" s="10"/>
      <c r="F245" s="174"/>
      <c r="G245" s="10"/>
      <c r="H245" s="10"/>
      <c r="I245" s="10"/>
      <c r="J245" s="10"/>
      <c r="K245" s="10"/>
      <c r="L245" s="10"/>
      <c r="M245" s="10"/>
      <c r="N245" s="10"/>
      <c r="O245" s="2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9.75" customHeight="1" x14ac:dyDescent="0.15">
      <c r="A246" s="10"/>
      <c r="B246" s="315"/>
      <c r="C246" s="10"/>
      <c r="D246" s="10"/>
      <c r="E246" s="10"/>
      <c r="F246" s="174"/>
      <c r="G246" s="10"/>
      <c r="H246" s="10"/>
      <c r="I246" s="10"/>
      <c r="J246" s="10"/>
      <c r="K246" s="10"/>
      <c r="L246" s="10"/>
      <c r="M246" s="10"/>
      <c r="N246" s="10"/>
      <c r="O246" s="2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9.75" customHeight="1" x14ac:dyDescent="0.15">
      <c r="A247" s="10"/>
      <c r="B247" s="315"/>
      <c r="C247" s="10"/>
      <c r="D247" s="10"/>
      <c r="E247" s="10"/>
      <c r="F247" s="174"/>
      <c r="G247" s="10"/>
      <c r="H247" s="10"/>
      <c r="I247" s="10"/>
      <c r="J247" s="10"/>
      <c r="K247" s="10"/>
      <c r="L247" s="10"/>
      <c r="M247" s="10"/>
      <c r="N247" s="10"/>
      <c r="O247" s="2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9.75" customHeight="1" x14ac:dyDescent="0.15">
      <c r="A248" s="10"/>
      <c r="B248" s="315"/>
      <c r="C248" s="10"/>
      <c r="D248" s="10"/>
      <c r="E248" s="10"/>
      <c r="F248" s="174"/>
      <c r="G248" s="10"/>
      <c r="H248" s="10"/>
      <c r="I248" s="10"/>
      <c r="J248" s="10"/>
      <c r="K248" s="10"/>
      <c r="L248" s="10"/>
      <c r="M248" s="10"/>
      <c r="N248" s="10"/>
      <c r="O248" s="2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9.75" customHeight="1" x14ac:dyDescent="0.15">
      <c r="A249" s="10"/>
      <c r="B249" s="315"/>
      <c r="C249" s="10"/>
      <c r="D249" s="10"/>
      <c r="E249" s="10"/>
      <c r="F249" s="174"/>
      <c r="G249" s="10"/>
      <c r="H249" s="10"/>
      <c r="I249" s="10"/>
      <c r="J249" s="10"/>
      <c r="K249" s="10"/>
      <c r="L249" s="10"/>
      <c r="M249" s="10"/>
      <c r="N249" s="10"/>
      <c r="O249" s="2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9.75" customHeight="1" x14ac:dyDescent="0.15">
      <c r="A250" s="10"/>
      <c r="B250" s="315"/>
      <c r="C250" s="10"/>
      <c r="D250" s="10"/>
      <c r="E250" s="10"/>
      <c r="F250" s="174"/>
      <c r="G250" s="10"/>
      <c r="H250" s="10"/>
      <c r="I250" s="10"/>
      <c r="J250" s="10"/>
      <c r="K250" s="10"/>
      <c r="L250" s="10"/>
      <c r="M250" s="10"/>
      <c r="N250" s="10"/>
      <c r="O250" s="2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9.75" customHeight="1" x14ac:dyDescent="0.15">
      <c r="A251" s="10"/>
      <c r="B251" s="315"/>
      <c r="C251" s="10"/>
      <c r="D251" s="10"/>
      <c r="E251" s="10"/>
      <c r="F251" s="174"/>
      <c r="G251" s="10"/>
      <c r="H251" s="10"/>
      <c r="I251" s="10"/>
      <c r="J251" s="10"/>
      <c r="K251" s="10"/>
      <c r="L251" s="10"/>
      <c r="M251" s="10"/>
      <c r="N251" s="10"/>
      <c r="O251" s="2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9.75" customHeight="1" x14ac:dyDescent="0.15">
      <c r="A252" s="10"/>
      <c r="B252" s="315"/>
      <c r="C252" s="10"/>
      <c r="D252" s="10"/>
      <c r="E252" s="10"/>
      <c r="F252" s="174"/>
      <c r="G252" s="10"/>
      <c r="H252" s="10"/>
      <c r="I252" s="10"/>
      <c r="J252" s="10"/>
      <c r="K252" s="10"/>
      <c r="L252" s="10"/>
      <c r="M252" s="10"/>
      <c r="N252" s="10"/>
      <c r="O252" s="2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9.75" customHeight="1" x14ac:dyDescent="0.15">
      <c r="A253" s="10"/>
      <c r="B253" s="315"/>
      <c r="C253" s="10"/>
      <c r="D253" s="10"/>
      <c r="E253" s="10"/>
      <c r="F253" s="174"/>
      <c r="G253" s="10"/>
      <c r="H253" s="10"/>
      <c r="I253" s="10"/>
      <c r="J253" s="10"/>
      <c r="K253" s="10"/>
      <c r="L253" s="10"/>
      <c r="M253" s="10"/>
      <c r="N253" s="10"/>
      <c r="O253" s="2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9.75" customHeight="1" x14ac:dyDescent="0.15">
      <c r="A254" s="10"/>
      <c r="B254" s="315"/>
      <c r="C254" s="10"/>
      <c r="D254" s="10"/>
      <c r="E254" s="10"/>
      <c r="F254" s="174"/>
      <c r="G254" s="10"/>
      <c r="H254" s="10"/>
      <c r="I254" s="10"/>
      <c r="J254" s="10"/>
      <c r="K254" s="10"/>
      <c r="L254" s="10"/>
      <c r="M254" s="10"/>
      <c r="N254" s="10"/>
      <c r="O254" s="2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9.75" customHeight="1" x14ac:dyDescent="0.15">
      <c r="A255" s="10"/>
      <c r="B255" s="315"/>
      <c r="C255" s="10"/>
      <c r="D255" s="10"/>
      <c r="E255" s="10"/>
      <c r="F255" s="174"/>
      <c r="G255" s="10"/>
      <c r="H255" s="10"/>
      <c r="I255" s="10"/>
      <c r="J255" s="10"/>
      <c r="K255" s="10"/>
      <c r="L255" s="10"/>
      <c r="M255" s="10"/>
      <c r="N255" s="10"/>
      <c r="O255" s="2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9.75" customHeight="1" x14ac:dyDescent="0.15">
      <c r="A256" s="10"/>
      <c r="B256" s="315"/>
      <c r="C256" s="10"/>
      <c r="D256" s="10"/>
      <c r="E256" s="10"/>
      <c r="F256" s="174"/>
      <c r="G256" s="10"/>
      <c r="H256" s="10"/>
      <c r="I256" s="10"/>
      <c r="J256" s="10"/>
      <c r="K256" s="10"/>
      <c r="L256" s="10"/>
      <c r="M256" s="10"/>
      <c r="N256" s="10"/>
      <c r="O256" s="2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9.75" customHeight="1" x14ac:dyDescent="0.15">
      <c r="A257" s="10"/>
      <c r="B257" s="315"/>
      <c r="C257" s="10"/>
      <c r="D257" s="10"/>
      <c r="E257" s="10"/>
      <c r="F257" s="174"/>
      <c r="G257" s="10"/>
      <c r="H257" s="10"/>
      <c r="I257" s="10"/>
      <c r="J257" s="10"/>
      <c r="K257" s="10"/>
      <c r="L257" s="10"/>
      <c r="M257" s="10"/>
      <c r="N257" s="10"/>
      <c r="O257" s="2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9.75" customHeight="1" x14ac:dyDescent="0.15">
      <c r="A258" s="10"/>
      <c r="B258" s="315"/>
      <c r="C258" s="10"/>
      <c r="D258" s="10"/>
      <c r="E258" s="10"/>
      <c r="F258" s="174"/>
      <c r="G258" s="10"/>
      <c r="H258" s="10"/>
      <c r="I258" s="10"/>
      <c r="J258" s="10"/>
      <c r="K258" s="10"/>
      <c r="L258" s="10"/>
      <c r="M258" s="10"/>
      <c r="N258" s="10"/>
      <c r="O258" s="2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9.75" customHeight="1" x14ac:dyDescent="0.15">
      <c r="A259" s="10"/>
      <c r="B259" s="315"/>
      <c r="C259" s="10"/>
      <c r="D259" s="10"/>
      <c r="E259" s="10"/>
      <c r="F259" s="174"/>
      <c r="G259" s="10"/>
      <c r="H259" s="10"/>
      <c r="I259" s="10"/>
      <c r="J259" s="10"/>
      <c r="K259" s="10"/>
      <c r="L259" s="10"/>
      <c r="M259" s="10"/>
      <c r="N259" s="10"/>
      <c r="O259" s="2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9.75" customHeight="1" x14ac:dyDescent="0.15">
      <c r="A260" s="10"/>
      <c r="B260" s="315"/>
      <c r="C260" s="10"/>
      <c r="D260" s="10"/>
      <c r="E260" s="10"/>
      <c r="F260" s="174"/>
      <c r="G260" s="10"/>
      <c r="H260" s="10"/>
      <c r="I260" s="10"/>
      <c r="J260" s="10"/>
      <c r="K260" s="10"/>
      <c r="L260" s="10"/>
      <c r="M260" s="10"/>
      <c r="N260" s="10"/>
      <c r="O260" s="2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9.75" customHeight="1" x14ac:dyDescent="0.15">
      <c r="A261" s="10"/>
      <c r="B261" s="315"/>
      <c r="C261" s="10"/>
      <c r="D261" s="10"/>
      <c r="E261" s="10"/>
      <c r="F261" s="174"/>
      <c r="G261" s="10"/>
      <c r="H261" s="10"/>
      <c r="I261" s="10"/>
      <c r="J261" s="10"/>
      <c r="K261" s="10"/>
      <c r="L261" s="10"/>
      <c r="M261" s="10"/>
      <c r="N261" s="10"/>
      <c r="O261" s="2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9.75" customHeight="1" x14ac:dyDescent="0.15">
      <c r="A262" s="10"/>
      <c r="B262" s="315"/>
      <c r="C262" s="10"/>
      <c r="D262" s="10"/>
      <c r="E262" s="10"/>
      <c r="F262" s="174"/>
      <c r="G262" s="10"/>
      <c r="H262" s="10"/>
      <c r="I262" s="10"/>
      <c r="J262" s="10"/>
      <c r="K262" s="10"/>
      <c r="L262" s="10"/>
      <c r="M262" s="10"/>
      <c r="N262" s="10"/>
      <c r="O262" s="2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9.75" customHeight="1" x14ac:dyDescent="0.15">
      <c r="A263" s="10"/>
      <c r="B263" s="315"/>
      <c r="C263" s="10"/>
      <c r="D263" s="10"/>
      <c r="E263" s="10"/>
      <c r="F263" s="174"/>
      <c r="G263" s="10"/>
      <c r="H263" s="10"/>
      <c r="I263" s="10"/>
      <c r="J263" s="10"/>
      <c r="K263" s="10"/>
      <c r="L263" s="10"/>
      <c r="M263" s="10"/>
      <c r="N263" s="10"/>
      <c r="O263" s="2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9.75" customHeight="1" x14ac:dyDescent="0.15">
      <c r="A264" s="10"/>
      <c r="B264" s="315"/>
      <c r="C264" s="10"/>
      <c r="D264" s="10"/>
      <c r="E264" s="10"/>
      <c r="F264" s="174"/>
      <c r="G264" s="10"/>
      <c r="H264" s="10"/>
      <c r="I264" s="10"/>
      <c r="J264" s="10"/>
      <c r="K264" s="10"/>
      <c r="L264" s="10"/>
      <c r="M264" s="10"/>
      <c r="N264" s="10"/>
      <c r="O264" s="2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9.75" customHeight="1" x14ac:dyDescent="0.15">
      <c r="A265" s="10"/>
      <c r="B265" s="315"/>
      <c r="C265" s="10"/>
      <c r="D265" s="10"/>
      <c r="E265" s="10"/>
      <c r="F265" s="174"/>
      <c r="G265" s="10"/>
      <c r="H265" s="10"/>
      <c r="I265" s="10"/>
      <c r="J265" s="10"/>
      <c r="K265" s="10"/>
      <c r="L265" s="10"/>
      <c r="M265" s="10"/>
      <c r="N265" s="10"/>
      <c r="O265" s="2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9.75" customHeight="1" x14ac:dyDescent="0.15">
      <c r="A266" s="10"/>
      <c r="B266" s="315"/>
      <c r="C266" s="10"/>
      <c r="D266" s="10"/>
      <c r="E266" s="10"/>
      <c r="F266" s="174"/>
      <c r="G266" s="10"/>
      <c r="H266" s="10"/>
      <c r="I266" s="10"/>
      <c r="J266" s="10"/>
      <c r="K266" s="10"/>
      <c r="L266" s="10"/>
      <c r="M266" s="10"/>
      <c r="N266" s="10"/>
      <c r="O266" s="2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9.75" customHeight="1" x14ac:dyDescent="0.15">
      <c r="A267" s="10"/>
      <c r="B267" s="315"/>
      <c r="C267" s="10"/>
      <c r="D267" s="10"/>
      <c r="E267" s="10"/>
      <c r="F267" s="174"/>
      <c r="G267" s="10"/>
      <c r="H267" s="10"/>
      <c r="I267" s="10"/>
      <c r="J267" s="10"/>
      <c r="K267" s="10"/>
      <c r="L267" s="10"/>
      <c r="M267" s="10"/>
      <c r="N267" s="10"/>
      <c r="O267" s="2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9.75" customHeight="1" x14ac:dyDescent="0.15">
      <c r="A268" s="10"/>
      <c r="B268" s="315"/>
      <c r="C268" s="10"/>
      <c r="D268" s="10"/>
      <c r="E268" s="10"/>
      <c r="F268" s="174"/>
      <c r="G268" s="10"/>
      <c r="H268" s="10"/>
      <c r="I268" s="10"/>
      <c r="J268" s="10"/>
      <c r="K268" s="10"/>
      <c r="L268" s="10"/>
      <c r="M268" s="10"/>
      <c r="N268" s="10"/>
      <c r="O268" s="2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9.75" customHeight="1" x14ac:dyDescent="0.15">
      <c r="A269" s="10"/>
      <c r="B269" s="315"/>
      <c r="C269" s="10"/>
      <c r="D269" s="10"/>
      <c r="E269" s="10"/>
      <c r="F269" s="174"/>
      <c r="G269" s="10"/>
      <c r="H269" s="10"/>
      <c r="I269" s="10"/>
      <c r="J269" s="10"/>
      <c r="K269" s="10"/>
      <c r="L269" s="10"/>
      <c r="M269" s="10"/>
      <c r="N269" s="10"/>
      <c r="O269" s="2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9.75" customHeight="1" x14ac:dyDescent="0.15">
      <c r="A270" s="10"/>
      <c r="B270" s="315"/>
      <c r="C270" s="10"/>
      <c r="D270" s="10"/>
      <c r="E270" s="10"/>
      <c r="F270" s="174"/>
      <c r="G270" s="10"/>
      <c r="H270" s="10"/>
      <c r="I270" s="10"/>
      <c r="J270" s="10"/>
      <c r="K270" s="10"/>
      <c r="L270" s="10"/>
      <c r="M270" s="10"/>
      <c r="N270" s="10"/>
      <c r="O270" s="2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9.75" customHeight="1" x14ac:dyDescent="0.15">
      <c r="A271" s="10"/>
      <c r="B271" s="315"/>
      <c r="C271" s="10"/>
      <c r="D271" s="10"/>
      <c r="E271" s="10"/>
      <c r="F271" s="174"/>
      <c r="G271" s="10"/>
      <c r="H271" s="10"/>
      <c r="I271" s="10"/>
      <c r="J271" s="10"/>
      <c r="K271" s="10"/>
      <c r="L271" s="10"/>
      <c r="M271" s="10"/>
      <c r="N271" s="10"/>
      <c r="O271" s="2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9.75" customHeight="1" x14ac:dyDescent="0.15">
      <c r="A272" s="10"/>
      <c r="B272" s="315"/>
      <c r="C272" s="10"/>
      <c r="D272" s="10"/>
      <c r="E272" s="10"/>
      <c r="F272" s="174"/>
      <c r="G272" s="10"/>
      <c r="H272" s="10"/>
      <c r="I272" s="10"/>
      <c r="J272" s="10"/>
      <c r="K272" s="10"/>
      <c r="L272" s="10"/>
      <c r="M272" s="10"/>
      <c r="N272" s="10"/>
      <c r="O272" s="2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9.75" customHeight="1" x14ac:dyDescent="0.15">
      <c r="A273" s="10"/>
      <c r="B273" s="315"/>
      <c r="C273" s="10"/>
      <c r="D273" s="10"/>
      <c r="E273" s="10"/>
      <c r="F273" s="174"/>
      <c r="G273" s="10"/>
      <c r="H273" s="10"/>
      <c r="I273" s="10"/>
      <c r="J273" s="10"/>
      <c r="K273" s="10"/>
      <c r="L273" s="10"/>
      <c r="M273" s="10"/>
      <c r="N273" s="10"/>
      <c r="O273" s="2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9.75" customHeight="1" x14ac:dyDescent="0.15">
      <c r="A274" s="10"/>
      <c r="B274" s="315"/>
      <c r="C274" s="10"/>
      <c r="D274" s="10"/>
      <c r="E274" s="10"/>
      <c r="F274" s="174"/>
      <c r="G274" s="10"/>
      <c r="H274" s="10"/>
      <c r="I274" s="10"/>
      <c r="J274" s="10"/>
      <c r="K274" s="10"/>
      <c r="L274" s="10"/>
      <c r="M274" s="10"/>
      <c r="N274" s="10"/>
      <c r="O274" s="2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9.75" customHeight="1" x14ac:dyDescent="0.15">
      <c r="A275" s="10"/>
      <c r="B275" s="315"/>
      <c r="C275" s="10"/>
      <c r="D275" s="10"/>
      <c r="E275" s="10"/>
      <c r="F275" s="174"/>
      <c r="G275" s="10"/>
      <c r="H275" s="10"/>
      <c r="I275" s="10"/>
      <c r="J275" s="10"/>
      <c r="K275" s="10"/>
      <c r="L275" s="10"/>
      <c r="M275" s="10"/>
      <c r="N275" s="10"/>
      <c r="O275" s="2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9.75" customHeight="1" x14ac:dyDescent="0.15">
      <c r="A276" s="10"/>
      <c r="B276" s="315"/>
      <c r="C276" s="10"/>
      <c r="D276" s="10"/>
      <c r="E276" s="10"/>
      <c r="F276" s="174"/>
      <c r="G276" s="10"/>
      <c r="H276" s="10"/>
      <c r="I276" s="10"/>
      <c r="J276" s="10"/>
      <c r="K276" s="10"/>
      <c r="L276" s="10"/>
      <c r="M276" s="10"/>
      <c r="N276" s="10"/>
      <c r="O276" s="2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9.75" customHeight="1" x14ac:dyDescent="0.15">
      <c r="A277" s="10"/>
      <c r="B277" s="315"/>
      <c r="C277" s="10"/>
      <c r="D277" s="10"/>
      <c r="E277" s="10"/>
      <c r="F277" s="174"/>
      <c r="G277" s="10"/>
      <c r="H277" s="10"/>
      <c r="I277" s="10"/>
      <c r="J277" s="10"/>
      <c r="K277" s="10"/>
      <c r="L277" s="10"/>
      <c r="M277" s="10"/>
      <c r="N277" s="10"/>
      <c r="O277" s="2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9.75" customHeight="1" x14ac:dyDescent="0.15">
      <c r="A278" s="10"/>
      <c r="B278" s="315"/>
      <c r="C278" s="10"/>
      <c r="D278" s="10"/>
      <c r="E278" s="10"/>
      <c r="F278" s="174"/>
      <c r="G278" s="10"/>
      <c r="H278" s="10"/>
      <c r="I278" s="10"/>
      <c r="J278" s="10"/>
      <c r="K278" s="10"/>
      <c r="L278" s="10"/>
      <c r="M278" s="10"/>
      <c r="N278" s="10"/>
      <c r="O278" s="2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9.75" customHeight="1" x14ac:dyDescent="0.15">
      <c r="A279" s="10"/>
      <c r="B279" s="315"/>
      <c r="C279" s="10"/>
      <c r="D279" s="10"/>
      <c r="E279" s="10"/>
      <c r="F279" s="174"/>
      <c r="G279" s="10"/>
      <c r="H279" s="10"/>
      <c r="I279" s="10"/>
      <c r="J279" s="10"/>
      <c r="K279" s="10"/>
      <c r="L279" s="10"/>
      <c r="M279" s="10"/>
      <c r="N279" s="10"/>
      <c r="O279" s="2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9.75" customHeight="1" x14ac:dyDescent="0.15">
      <c r="A280" s="10"/>
      <c r="B280" s="315"/>
      <c r="C280" s="10"/>
      <c r="D280" s="10"/>
      <c r="E280" s="10"/>
      <c r="F280" s="174"/>
      <c r="G280" s="10"/>
      <c r="H280" s="10"/>
      <c r="I280" s="10"/>
      <c r="J280" s="10"/>
      <c r="K280" s="10"/>
      <c r="L280" s="10"/>
      <c r="M280" s="10"/>
      <c r="N280" s="10"/>
      <c r="O280" s="2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9.75" customHeight="1" x14ac:dyDescent="0.15">
      <c r="A281" s="10"/>
      <c r="B281" s="315"/>
      <c r="C281" s="10"/>
      <c r="D281" s="10"/>
      <c r="E281" s="10"/>
      <c r="F281" s="174"/>
      <c r="G281" s="10"/>
      <c r="H281" s="10"/>
      <c r="I281" s="10"/>
      <c r="J281" s="10"/>
      <c r="K281" s="10"/>
      <c r="L281" s="10"/>
      <c r="M281" s="10"/>
      <c r="N281" s="10"/>
      <c r="O281" s="2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9.75" customHeight="1" x14ac:dyDescent="0.15">
      <c r="A282" s="10"/>
      <c r="B282" s="315"/>
      <c r="C282" s="10"/>
      <c r="D282" s="10"/>
      <c r="E282" s="10"/>
      <c r="F282" s="174"/>
      <c r="G282" s="10"/>
      <c r="H282" s="10"/>
      <c r="I282" s="10"/>
      <c r="J282" s="10"/>
      <c r="K282" s="10"/>
      <c r="L282" s="10"/>
      <c r="M282" s="10"/>
      <c r="N282" s="10"/>
      <c r="O282" s="2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9.75" customHeight="1" x14ac:dyDescent="0.15">
      <c r="A283" s="10"/>
      <c r="B283" s="315"/>
      <c r="C283" s="10"/>
      <c r="D283" s="10"/>
      <c r="E283" s="10"/>
      <c r="F283" s="174"/>
      <c r="G283" s="10"/>
      <c r="H283" s="10"/>
      <c r="I283" s="10"/>
      <c r="J283" s="10"/>
      <c r="K283" s="10"/>
      <c r="L283" s="10"/>
      <c r="M283" s="10"/>
      <c r="N283" s="10"/>
      <c r="O283" s="2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9.75" customHeight="1" x14ac:dyDescent="0.15">
      <c r="A284" s="10"/>
      <c r="B284" s="315"/>
      <c r="C284" s="10"/>
      <c r="D284" s="10"/>
      <c r="E284" s="10"/>
      <c r="F284" s="174"/>
      <c r="G284" s="10"/>
      <c r="H284" s="10"/>
      <c r="I284" s="10"/>
      <c r="J284" s="10"/>
      <c r="K284" s="10"/>
      <c r="L284" s="10"/>
      <c r="M284" s="10"/>
      <c r="N284" s="10"/>
      <c r="O284" s="2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9.75" customHeight="1" x14ac:dyDescent="0.15">
      <c r="A285" s="10"/>
      <c r="B285" s="315"/>
      <c r="C285" s="10"/>
      <c r="D285" s="10"/>
      <c r="E285" s="10"/>
      <c r="F285" s="174"/>
      <c r="G285" s="10"/>
      <c r="H285" s="10"/>
      <c r="I285" s="10"/>
      <c r="J285" s="10"/>
      <c r="K285" s="10"/>
      <c r="L285" s="10"/>
      <c r="M285" s="10"/>
      <c r="N285" s="10"/>
      <c r="O285" s="2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9.75" customHeight="1" x14ac:dyDescent="0.15">
      <c r="A286" s="10"/>
      <c r="B286" s="315"/>
      <c r="C286" s="10"/>
      <c r="D286" s="10"/>
      <c r="E286" s="10"/>
      <c r="F286" s="174"/>
      <c r="G286" s="10"/>
      <c r="H286" s="10"/>
      <c r="I286" s="10"/>
      <c r="J286" s="10"/>
      <c r="K286" s="10"/>
      <c r="L286" s="10"/>
      <c r="M286" s="10"/>
      <c r="N286" s="10"/>
      <c r="O286" s="2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9.75" customHeight="1" x14ac:dyDescent="0.15">
      <c r="A287" s="10"/>
      <c r="B287" s="315"/>
      <c r="C287" s="10"/>
      <c r="D287" s="10"/>
      <c r="E287" s="10"/>
      <c r="F287" s="174"/>
      <c r="G287" s="10"/>
      <c r="H287" s="10"/>
      <c r="I287" s="10"/>
      <c r="J287" s="10"/>
      <c r="K287" s="10"/>
      <c r="L287" s="10"/>
      <c r="M287" s="10"/>
      <c r="N287" s="10"/>
      <c r="O287" s="2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9.75" customHeight="1" x14ac:dyDescent="0.15">
      <c r="A288" s="10"/>
      <c r="B288" s="315"/>
      <c r="C288" s="10"/>
      <c r="D288" s="10"/>
      <c r="E288" s="10"/>
      <c r="F288" s="174"/>
      <c r="G288" s="10"/>
      <c r="H288" s="10"/>
      <c r="I288" s="10"/>
      <c r="J288" s="10"/>
      <c r="K288" s="10"/>
      <c r="L288" s="10"/>
      <c r="M288" s="10"/>
      <c r="N288" s="10"/>
      <c r="O288" s="2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9.75" customHeight="1" x14ac:dyDescent="0.15">
      <c r="A289" s="10"/>
      <c r="B289" s="315"/>
      <c r="C289" s="10"/>
      <c r="D289" s="10"/>
      <c r="E289" s="10"/>
      <c r="F289" s="174"/>
      <c r="G289" s="10"/>
      <c r="H289" s="10"/>
      <c r="I289" s="10"/>
      <c r="J289" s="10"/>
      <c r="K289" s="10"/>
      <c r="L289" s="10"/>
      <c r="M289" s="10"/>
      <c r="N289" s="10"/>
      <c r="O289" s="2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9.75" customHeight="1" x14ac:dyDescent="0.15">
      <c r="A290" s="10"/>
      <c r="B290" s="315"/>
      <c r="C290" s="10"/>
      <c r="D290" s="10"/>
      <c r="E290" s="10"/>
      <c r="F290" s="174"/>
      <c r="G290" s="10"/>
      <c r="H290" s="10"/>
      <c r="I290" s="10"/>
      <c r="J290" s="10"/>
      <c r="K290" s="10"/>
      <c r="L290" s="10"/>
      <c r="M290" s="10"/>
      <c r="N290" s="10"/>
      <c r="O290" s="2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9.75" customHeight="1" x14ac:dyDescent="0.15">
      <c r="A291" s="10"/>
      <c r="B291" s="315"/>
      <c r="C291" s="10"/>
      <c r="D291" s="10"/>
      <c r="E291" s="10"/>
      <c r="F291" s="174"/>
      <c r="G291" s="10"/>
      <c r="H291" s="10"/>
      <c r="I291" s="10"/>
      <c r="J291" s="10"/>
      <c r="K291" s="10"/>
      <c r="L291" s="10"/>
      <c r="M291" s="10"/>
      <c r="N291" s="10"/>
      <c r="O291" s="2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9.75" customHeight="1" x14ac:dyDescent="0.15">
      <c r="A292" s="10"/>
      <c r="B292" s="315"/>
      <c r="C292" s="10"/>
      <c r="D292" s="10"/>
      <c r="E292" s="10"/>
      <c r="F292" s="174"/>
      <c r="G292" s="10"/>
      <c r="H292" s="10"/>
      <c r="I292" s="10"/>
      <c r="J292" s="10"/>
      <c r="K292" s="10"/>
      <c r="L292" s="10"/>
      <c r="M292" s="10"/>
      <c r="N292" s="10"/>
      <c r="O292" s="2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9.75" customHeight="1" x14ac:dyDescent="0.15">
      <c r="A293" s="10"/>
      <c r="B293" s="315"/>
      <c r="C293" s="10"/>
      <c r="D293" s="10"/>
      <c r="E293" s="10"/>
      <c r="F293" s="174"/>
      <c r="G293" s="10"/>
      <c r="H293" s="10"/>
      <c r="I293" s="10"/>
      <c r="J293" s="10"/>
      <c r="K293" s="10"/>
      <c r="L293" s="10"/>
      <c r="M293" s="10"/>
      <c r="N293" s="10"/>
      <c r="O293" s="2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9.75" customHeight="1" x14ac:dyDescent="0.15">
      <c r="A294" s="10"/>
      <c r="B294" s="315"/>
      <c r="C294" s="10"/>
      <c r="D294" s="10"/>
      <c r="E294" s="10"/>
      <c r="F294" s="174"/>
      <c r="G294" s="10"/>
      <c r="H294" s="10"/>
      <c r="I294" s="10"/>
      <c r="J294" s="10"/>
      <c r="K294" s="10"/>
      <c r="L294" s="10"/>
      <c r="M294" s="10"/>
      <c r="N294" s="10"/>
      <c r="O294" s="2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9.75" customHeight="1" x14ac:dyDescent="0.15">
      <c r="A295" s="10"/>
      <c r="B295" s="315"/>
      <c r="C295" s="10"/>
      <c r="D295" s="10"/>
      <c r="E295" s="10"/>
      <c r="F295" s="174"/>
      <c r="G295" s="10"/>
      <c r="H295" s="10"/>
      <c r="I295" s="10"/>
      <c r="J295" s="10"/>
      <c r="K295" s="10"/>
      <c r="L295" s="10"/>
      <c r="M295" s="10"/>
      <c r="N295" s="10"/>
      <c r="O295" s="2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9.75" customHeight="1" x14ac:dyDescent="0.15">
      <c r="A296" s="10"/>
      <c r="B296" s="315"/>
      <c r="C296" s="10"/>
      <c r="D296" s="10"/>
      <c r="E296" s="10"/>
      <c r="F296" s="174"/>
      <c r="G296" s="10"/>
      <c r="H296" s="10"/>
      <c r="I296" s="10"/>
      <c r="J296" s="10"/>
      <c r="K296" s="10"/>
      <c r="L296" s="10"/>
      <c r="M296" s="10"/>
      <c r="N296" s="10"/>
      <c r="O296" s="2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9.75" customHeight="1" x14ac:dyDescent="0.15">
      <c r="A297" s="10"/>
      <c r="B297" s="315"/>
      <c r="C297" s="10"/>
      <c r="D297" s="10"/>
      <c r="E297" s="10"/>
      <c r="F297" s="174"/>
      <c r="G297" s="10"/>
      <c r="H297" s="10"/>
      <c r="I297" s="10"/>
      <c r="J297" s="10"/>
      <c r="K297" s="10"/>
      <c r="L297" s="10"/>
      <c r="M297" s="10"/>
      <c r="N297" s="10"/>
      <c r="O297" s="2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9.75" customHeight="1" x14ac:dyDescent="0.15">
      <c r="A298" s="10"/>
      <c r="B298" s="315"/>
      <c r="C298" s="10"/>
      <c r="D298" s="10"/>
      <c r="E298" s="10"/>
      <c r="F298" s="174"/>
      <c r="G298" s="10"/>
      <c r="H298" s="10"/>
      <c r="I298" s="10"/>
      <c r="J298" s="10"/>
      <c r="K298" s="10"/>
      <c r="L298" s="10"/>
      <c r="M298" s="10"/>
      <c r="N298" s="10"/>
      <c r="O298" s="2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9.75" customHeight="1" x14ac:dyDescent="0.15">
      <c r="A299" s="10"/>
      <c r="B299" s="315"/>
      <c r="C299" s="10"/>
      <c r="D299" s="10"/>
      <c r="E299" s="10"/>
      <c r="F299" s="174"/>
      <c r="G299" s="10"/>
      <c r="H299" s="10"/>
      <c r="I299" s="10"/>
      <c r="J299" s="10"/>
      <c r="K299" s="10"/>
      <c r="L299" s="10"/>
      <c r="M299" s="10"/>
      <c r="N299" s="10"/>
      <c r="O299" s="2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9.75" customHeight="1" x14ac:dyDescent="0.15">
      <c r="A300" s="10"/>
      <c r="B300" s="315"/>
      <c r="C300" s="10"/>
      <c r="D300" s="10"/>
      <c r="E300" s="10"/>
      <c r="F300" s="174"/>
      <c r="G300" s="10"/>
      <c r="H300" s="10"/>
      <c r="I300" s="10"/>
      <c r="J300" s="10"/>
      <c r="K300" s="10"/>
      <c r="L300" s="10"/>
      <c r="M300" s="10"/>
      <c r="N300" s="10"/>
      <c r="O300" s="2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9.75" customHeight="1" x14ac:dyDescent="0.15">
      <c r="A301" s="10"/>
      <c r="B301" s="315"/>
      <c r="C301" s="10"/>
      <c r="D301" s="10"/>
      <c r="E301" s="10"/>
      <c r="F301" s="174"/>
      <c r="G301" s="10"/>
      <c r="H301" s="10"/>
      <c r="I301" s="10"/>
      <c r="J301" s="10"/>
      <c r="K301" s="10"/>
      <c r="L301" s="10"/>
      <c r="M301" s="10"/>
      <c r="N301" s="10"/>
      <c r="O301" s="2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9.75" customHeight="1" x14ac:dyDescent="0.15">
      <c r="A302" s="10"/>
      <c r="B302" s="315"/>
      <c r="C302" s="10"/>
      <c r="D302" s="10"/>
      <c r="E302" s="10"/>
      <c r="F302" s="174"/>
      <c r="G302" s="10"/>
      <c r="H302" s="10"/>
      <c r="I302" s="10"/>
      <c r="J302" s="10"/>
      <c r="K302" s="10"/>
      <c r="L302" s="10"/>
      <c r="M302" s="10"/>
      <c r="N302" s="10"/>
      <c r="O302" s="2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9.75" customHeight="1" x14ac:dyDescent="0.15">
      <c r="A303" s="10"/>
      <c r="B303" s="315"/>
      <c r="C303" s="10"/>
      <c r="D303" s="10"/>
      <c r="E303" s="10"/>
      <c r="F303" s="174"/>
      <c r="G303" s="10"/>
      <c r="H303" s="10"/>
      <c r="I303" s="10"/>
      <c r="J303" s="10"/>
      <c r="K303" s="10"/>
      <c r="L303" s="10"/>
      <c r="M303" s="10"/>
      <c r="N303" s="10"/>
      <c r="O303" s="2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9.75" customHeight="1" x14ac:dyDescent="0.15">
      <c r="A304" s="10"/>
      <c r="B304" s="315"/>
      <c r="C304" s="10"/>
      <c r="D304" s="10"/>
      <c r="E304" s="10"/>
      <c r="F304" s="174"/>
      <c r="G304" s="10"/>
      <c r="H304" s="10"/>
      <c r="I304" s="10"/>
      <c r="J304" s="10"/>
      <c r="K304" s="10"/>
      <c r="L304" s="10"/>
      <c r="M304" s="10"/>
      <c r="N304" s="10"/>
      <c r="O304" s="2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9.75" customHeight="1" x14ac:dyDescent="0.15">
      <c r="A305" s="10"/>
      <c r="B305" s="315"/>
      <c r="C305" s="10"/>
      <c r="D305" s="10"/>
      <c r="E305" s="10"/>
      <c r="F305" s="174"/>
      <c r="G305" s="10"/>
      <c r="H305" s="10"/>
      <c r="I305" s="10"/>
      <c r="J305" s="10"/>
      <c r="K305" s="10"/>
      <c r="L305" s="10"/>
      <c r="M305" s="10"/>
      <c r="N305" s="10"/>
      <c r="O305" s="2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9.75" customHeight="1" x14ac:dyDescent="0.15">
      <c r="A306" s="10"/>
      <c r="B306" s="315"/>
      <c r="C306" s="10"/>
      <c r="D306" s="10"/>
      <c r="E306" s="10"/>
      <c r="F306" s="174"/>
      <c r="G306" s="10"/>
      <c r="H306" s="10"/>
      <c r="I306" s="10"/>
      <c r="J306" s="10"/>
      <c r="K306" s="10"/>
      <c r="L306" s="10"/>
      <c r="M306" s="10"/>
      <c r="N306" s="10"/>
      <c r="O306" s="2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9.75" customHeight="1" x14ac:dyDescent="0.15">
      <c r="A307" s="10"/>
      <c r="B307" s="315"/>
      <c r="C307" s="10"/>
      <c r="D307" s="10"/>
      <c r="E307" s="10"/>
      <c r="F307" s="174"/>
      <c r="G307" s="10"/>
      <c r="H307" s="10"/>
      <c r="I307" s="10"/>
      <c r="J307" s="10"/>
      <c r="K307" s="10"/>
      <c r="L307" s="10"/>
      <c r="M307" s="10"/>
      <c r="N307" s="10"/>
      <c r="O307" s="2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9.75" customHeight="1" x14ac:dyDescent="0.15">
      <c r="A308" s="10"/>
      <c r="B308" s="315"/>
      <c r="C308" s="10"/>
      <c r="D308" s="10"/>
      <c r="E308" s="10"/>
      <c r="F308" s="174"/>
      <c r="G308" s="10"/>
      <c r="H308" s="10"/>
      <c r="I308" s="10"/>
      <c r="J308" s="10"/>
      <c r="K308" s="10"/>
      <c r="L308" s="10"/>
      <c r="M308" s="10"/>
      <c r="N308" s="10"/>
      <c r="O308" s="2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9.75" customHeight="1" x14ac:dyDescent="0.15">
      <c r="A309" s="10"/>
      <c r="B309" s="315"/>
      <c r="C309" s="10"/>
      <c r="D309" s="10"/>
      <c r="E309" s="10"/>
      <c r="F309" s="174"/>
      <c r="G309" s="10"/>
      <c r="H309" s="10"/>
      <c r="I309" s="10"/>
      <c r="J309" s="10"/>
      <c r="K309" s="10"/>
      <c r="L309" s="10"/>
      <c r="M309" s="10"/>
      <c r="N309" s="10"/>
      <c r="O309" s="2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9.75" customHeight="1" x14ac:dyDescent="0.15">
      <c r="A310" s="10"/>
      <c r="B310" s="315"/>
      <c r="C310" s="10"/>
      <c r="D310" s="10"/>
      <c r="E310" s="10"/>
      <c r="F310" s="174"/>
      <c r="G310" s="10"/>
      <c r="H310" s="10"/>
      <c r="I310" s="10"/>
      <c r="J310" s="10"/>
      <c r="K310" s="10"/>
      <c r="L310" s="10"/>
      <c r="M310" s="10"/>
      <c r="N310" s="10"/>
      <c r="O310" s="2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9.75" customHeight="1" x14ac:dyDescent="0.15">
      <c r="A311" s="10"/>
      <c r="B311" s="315"/>
      <c r="C311" s="10"/>
      <c r="D311" s="10"/>
      <c r="E311" s="10"/>
      <c r="F311" s="174"/>
      <c r="G311" s="10"/>
      <c r="H311" s="10"/>
      <c r="I311" s="10"/>
      <c r="J311" s="10"/>
      <c r="K311" s="10"/>
      <c r="L311" s="10"/>
      <c r="M311" s="10"/>
      <c r="N311" s="10"/>
      <c r="O311" s="2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9.75" customHeight="1" x14ac:dyDescent="0.15">
      <c r="A312" s="10"/>
      <c r="B312" s="315"/>
      <c r="C312" s="10"/>
      <c r="D312" s="10"/>
      <c r="E312" s="10"/>
      <c r="F312" s="174"/>
      <c r="G312" s="10"/>
      <c r="H312" s="10"/>
      <c r="I312" s="10"/>
      <c r="J312" s="10"/>
      <c r="K312" s="10"/>
      <c r="L312" s="10"/>
      <c r="M312" s="10"/>
      <c r="N312" s="10"/>
      <c r="O312" s="2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9.75" customHeight="1" x14ac:dyDescent="0.15">
      <c r="A313" s="10"/>
      <c r="B313" s="315"/>
      <c r="C313" s="10"/>
      <c r="D313" s="10"/>
      <c r="E313" s="10"/>
      <c r="F313" s="174"/>
      <c r="G313" s="10"/>
      <c r="H313" s="10"/>
      <c r="I313" s="10"/>
      <c r="J313" s="10"/>
      <c r="K313" s="10"/>
      <c r="L313" s="10"/>
      <c r="M313" s="10"/>
      <c r="N313" s="10"/>
      <c r="O313" s="2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9.75" customHeight="1" x14ac:dyDescent="0.15">
      <c r="A314" s="10"/>
      <c r="B314" s="315"/>
      <c r="C314" s="10"/>
      <c r="D314" s="10"/>
      <c r="E314" s="10"/>
      <c r="F314" s="174"/>
      <c r="G314" s="10"/>
      <c r="H314" s="10"/>
      <c r="I314" s="10"/>
      <c r="J314" s="10"/>
      <c r="K314" s="10"/>
      <c r="L314" s="10"/>
      <c r="M314" s="10"/>
      <c r="N314" s="10"/>
      <c r="O314" s="2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9.75" customHeight="1" x14ac:dyDescent="0.15">
      <c r="A315" s="10"/>
      <c r="B315" s="315"/>
      <c r="C315" s="10"/>
      <c r="D315" s="10"/>
      <c r="E315" s="10"/>
      <c r="F315" s="174"/>
      <c r="G315" s="10"/>
      <c r="H315" s="10"/>
      <c r="I315" s="10"/>
      <c r="J315" s="10"/>
      <c r="K315" s="10"/>
      <c r="L315" s="10"/>
      <c r="M315" s="10"/>
      <c r="N315" s="10"/>
      <c r="O315" s="2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9.75" customHeight="1" x14ac:dyDescent="0.15">
      <c r="A316" s="10"/>
      <c r="B316" s="315"/>
      <c r="C316" s="10"/>
      <c r="D316" s="10"/>
      <c r="E316" s="10"/>
      <c r="F316" s="174"/>
      <c r="G316" s="10"/>
      <c r="H316" s="10"/>
      <c r="I316" s="10"/>
      <c r="J316" s="10"/>
      <c r="K316" s="10"/>
      <c r="L316" s="10"/>
      <c r="M316" s="10"/>
      <c r="N316" s="10"/>
      <c r="O316" s="2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9.75" customHeight="1" x14ac:dyDescent="0.15">
      <c r="A317" s="10"/>
      <c r="B317" s="315"/>
      <c r="C317" s="10"/>
      <c r="D317" s="10"/>
      <c r="E317" s="10"/>
      <c r="F317" s="174"/>
      <c r="G317" s="10"/>
      <c r="H317" s="10"/>
      <c r="I317" s="10"/>
      <c r="J317" s="10"/>
      <c r="K317" s="10"/>
      <c r="L317" s="10"/>
      <c r="M317" s="10"/>
      <c r="N317" s="10"/>
      <c r="O317" s="2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9.75" customHeight="1" x14ac:dyDescent="0.15">
      <c r="A318" s="10"/>
      <c r="B318" s="315"/>
      <c r="C318" s="10"/>
      <c r="D318" s="10"/>
      <c r="E318" s="10"/>
      <c r="F318" s="174"/>
      <c r="G318" s="10"/>
      <c r="H318" s="10"/>
      <c r="I318" s="10"/>
      <c r="J318" s="10"/>
      <c r="K318" s="10"/>
      <c r="L318" s="10"/>
      <c r="M318" s="10"/>
      <c r="N318" s="10"/>
      <c r="O318" s="2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9.75" customHeight="1" x14ac:dyDescent="0.15">
      <c r="A319" s="10"/>
      <c r="B319" s="315"/>
      <c r="C319" s="10"/>
      <c r="D319" s="10"/>
      <c r="E319" s="10"/>
      <c r="F319" s="174"/>
      <c r="G319" s="10"/>
      <c r="H319" s="10"/>
      <c r="I319" s="10"/>
      <c r="J319" s="10"/>
      <c r="K319" s="10"/>
      <c r="L319" s="10"/>
      <c r="M319" s="10"/>
      <c r="N319" s="10"/>
      <c r="O319" s="2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9.75" customHeight="1" x14ac:dyDescent="0.15">
      <c r="A320" s="10"/>
      <c r="B320" s="315"/>
      <c r="C320" s="10"/>
      <c r="D320" s="10"/>
      <c r="E320" s="10"/>
      <c r="F320" s="174"/>
      <c r="G320" s="10"/>
      <c r="H320" s="10"/>
      <c r="I320" s="10"/>
      <c r="J320" s="10"/>
      <c r="K320" s="10"/>
      <c r="L320" s="10"/>
      <c r="M320" s="10"/>
      <c r="N320" s="10"/>
      <c r="O320" s="2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9.75" customHeight="1" x14ac:dyDescent="0.15">
      <c r="A321" s="10"/>
      <c r="B321" s="315"/>
      <c r="C321" s="10"/>
      <c r="D321" s="10"/>
      <c r="E321" s="10"/>
      <c r="F321" s="174"/>
      <c r="G321" s="10"/>
      <c r="H321" s="10"/>
      <c r="I321" s="10"/>
      <c r="J321" s="10"/>
      <c r="K321" s="10"/>
      <c r="L321" s="10"/>
      <c r="M321" s="10"/>
      <c r="N321" s="10"/>
      <c r="O321" s="2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9.75" customHeight="1" x14ac:dyDescent="0.15">
      <c r="A322" s="10"/>
      <c r="B322" s="315"/>
      <c r="C322" s="10"/>
      <c r="D322" s="10"/>
      <c r="E322" s="10"/>
      <c r="F322" s="174"/>
      <c r="G322" s="10"/>
      <c r="H322" s="10"/>
      <c r="I322" s="10"/>
      <c r="J322" s="10"/>
      <c r="K322" s="10"/>
      <c r="L322" s="10"/>
      <c r="M322" s="10"/>
      <c r="N322" s="10"/>
      <c r="O322" s="2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9.75" customHeight="1" x14ac:dyDescent="0.15">
      <c r="A323" s="10"/>
      <c r="B323" s="315"/>
      <c r="C323" s="10"/>
      <c r="D323" s="10"/>
      <c r="E323" s="10"/>
      <c r="F323" s="174"/>
      <c r="G323" s="10"/>
      <c r="H323" s="10"/>
      <c r="I323" s="10"/>
      <c r="J323" s="10"/>
      <c r="K323" s="10"/>
      <c r="L323" s="10"/>
      <c r="M323" s="10"/>
      <c r="N323" s="10"/>
      <c r="O323" s="2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9.75" customHeight="1" x14ac:dyDescent="0.15">
      <c r="A324" s="10"/>
      <c r="B324" s="315"/>
      <c r="C324" s="10"/>
      <c r="D324" s="10"/>
      <c r="E324" s="10"/>
      <c r="F324" s="174"/>
      <c r="G324" s="10"/>
      <c r="H324" s="10"/>
      <c r="I324" s="10"/>
      <c r="J324" s="10"/>
      <c r="K324" s="10"/>
      <c r="L324" s="10"/>
      <c r="M324" s="10"/>
      <c r="N324" s="10"/>
      <c r="O324" s="2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9.75" customHeight="1" x14ac:dyDescent="0.15">
      <c r="A325" s="10"/>
      <c r="B325" s="315"/>
      <c r="C325" s="10"/>
      <c r="D325" s="10"/>
      <c r="E325" s="10"/>
      <c r="F325" s="174"/>
      <c r="G325" s="10"/>
      <c r="H325" s="10"/>
      <c r="I325" s="10"/>
      <c r="J325" s="10"/>
      <c r="K325" s="10"/>
      <c r="L325" s="10"/>
      <c r="M325" s="10"/>
      <c r="N325" s="10"/>
      <c r="O325" s="2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9.75" customHeight="1" x14ac:dyDescent="0.15">
      <c r="A326" s="10"/>
      <c r="B326" s="315"/>
      <c r="C326" s="10"/>
      <c r="D326" s="10"/>
      <c r="E326" s="10"/>
      <c r="F326" s="174"/>
      <c r="G326" s="10"/>
      <c r="H326" s="10"/>
      <c r="I326" s="10"/>
      <c r="J326" s="10"/>
      <c r="K326" s="10"/>
      <c r="L326" s="10"/>
      <c r="M326" s="10"/>
      <c r="N326" s="10"/>
      <c r="O326" s="2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9.75" customHeight="1" x14ac:dyDescent="0.15">
      <c r="A327" s="10"/>
      <c r="B327" s="315"/>
      <c r="C327" s="10"/>
      <c r="D327" s="10"/>
      <c r="E327" s="10"/>
      <c r="F327" s="174"/>
      <c r="G327" s="10"/>
      <c r="H327" s="10"/>
      <c r="I327" s="10"/>
      <c r="J327" s="10"/>
      <c r="K327" s="10"/>
      <c r="L327" s="10"/>
      <c r="M327" s="10"/>
      <c r="N327" s="10"/>
      <c r="O327" s="2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9.75" customHeight="1" x14ac:dyDescent="0.15">
      <c r="A328" s="10"/>
      <c r="B328" s="315"/>
      <c r="C328" s="10"/>
      <c r="D328" s="10"/>
      <c r="E328" s="10"/>
      <c r="F328" s="174"/>
      <c r="G328" s="10"/>
      <c r="H328" s="10"/>
      <c r="I328" s="10"/>
      <c r="J328" s="10"/>
      <c r="K328" s="10"/>
      <c r="L328" s="10"/>
      <c r="M328" s="10"/>
      <c r="N328" s="10"/>
      <c r="O328" s="2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9.75" customHeight="1" x14ac:dyDescent="0.15">
      <c r="A329" s="10"/>
      <c r="B329" s="315"/>
      <c r="C329" s="10"/>
      <c r="D329" s="10"/>
      <c r="E329" s="10"/>
      <c r="F329" s="174"/>
      <c r="G329" s="10"/>
      <c r="H329" s="10"/>
      <c r="I329" s="10"/>
      <c r="J329" s="10"/>
      <c r="K329" s="10"/>
      <c r="L329" s="10"/>
      <c r="M329" s="10"/>
      <c r="N329" s="10"/>
      <c r="O329" s="2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9.75" customHeight="1" x14ac:dyDescent="0.15">
      <c r="A330" s="10"/>
      <c r="B330" s="315"/>
      <c r="C330" s="10"/>
      <c r="D330" s="10"/>
      <c r="E330" s="10"/>
      <c r="F330" s="174"/>
      <c r="G330" s="10"/>
      <c r="H330" s="10"/>
      <c r="I330" s="10"/>
      <c r="J330" s="10"/>
      <c r="K330" s="10"/>
      <c r="L330" s="10"/>
      <c r="M330" s="10"/>
      <c r="N330" s="10"/>
      <c r="O330" s="2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9.75" customHeight="1" x14ac:dyDescent="0.15">
      <c r="A331" s="10"/>
      <c r="B331" s="315"/>
      <c r="C331" s="10"/>
      <c r="D331" s="10"/>
      <c r="E331" s="10"/>
      <c r="F331" s="174"/>
      <c r="G331" s="10"/>
      <c r="H331" s="10"/>
      <c r="I331" s="10"/>
      <c r="J331" s="10"/>
      <c r="K331" s="10"/>
      <c r="L331" s="10"/>
      <c r="M331" s="10"/>
      <c r="N331" s="10"/>
      <c r="O331" s="2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9.75" customHeight="1" x14ac:dyDescent="0.15">
      <c r="A332" s="10"/>
      <c r="B332" s="315"/>
      <c r="C332" s="10"/>
      <c r="D332" s="10"/>
      <c r="E332" s="10"/>
      <c r="F332" s="174"/>
      <c r="G332" s="10"/>
      <c r="H332" s="10"/>
      <c r="I332" s="10"/>
      <c r="J332" s="10"/>
      <c r="K332" s="10"/>
      <c r="L332" s="10"/>
      <c r="M332" s="10"/>
      <c r="N332" s="10"/>
      <c r="O332" s="2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9.75" customHeight="1" x14ac:dyDescent="0.15">
      <c r="A333" s="10"/>
      <c r="B333" s="315"/>
      <c r="C333" s="10"/>
      <c r="D333" s="10"/>
      <c r="E333" s="10"/>
      <c r="F333" s="174"/>
      <c r="G333" s="10"/>
      <c r="H333" s="10"/>
      <c r="I333" s="10"/>
      <c r="J333" s="10"/>
      <c r="K333" s="10"/>
      <c r="L333" s="10"/>
      <c r="M333" s="10"/>
      <c r="N333" s="10"/>
      <c r="O333" s="2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9.75" customHeight="1" x14ac:dyDescent="0.15">
      <c r="A334" s="10"/>
      <c r="B334" s="315"/>
      <c r="C334" s="10"/>
      <c r="D334" s="10"/>
      <c r="E334" s="10"/>
      <c r="F334" s="174"/>
      <c r="G334" s="10"/>
      <c r="H334" s="10"/>
      <c r="I334" s="10"/>
      <c r="J334" s="10"/>
      <c r="K334" s="10"/>
      <c r="L334" s="10"/>
      <c r="M334" s="10"/>
      <c r="N334" s="10"/>
      <c r="O334" s="2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9.75" customHeight="1" x14ac:dyDescent="0.15">
      <c r="A335" s="10"/>
      <c r="B335" s="315"/>
      <c r="C335" s="10"/>
      <c r="D335" s="10"/>
      <c r="E335" s="10"/>
      <c r="F335" s="174"/>
      <c r="G335" s="10"/>
      <c r="H335" s="10"/>
      <c r="I335" s="10"/>
      <c r="J335" s="10"/>
      <c r="K335" s="10"/>
      <c r="L335" s="10"/>
      <c r="M335" s="10"/>
      <c r="N335" s="10"/>
      <c r="O335" s="2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9.75" customHeight="1" x14ac:dyDescent="0.15">
      <c r="A336" s="10"/>
      <c r="B336" s="315"/>
      <c r="C336" s="10"/>
      <c r="D336" s="10"/>
      <c r="E336" s="10"/>
      <c r="F336" s="174"/>
      <c r="G336" s="10"/>
      <c r="H336" s="10"/>
      <c r="I336" s="10"/>
      <c r="J336" s="10"/>
      <c r="K336" s="10"/>
      <c r="L336" s="10"/>
      <c r="M336" s="10"/>
      <c r="N336" s="10"/>
      <c r="O336" s="2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9.75" customHeight="1" x14ac:dyDescent="0.15">
      <c r="A337" s="10"/>
      <c r="B337" s="315"/>
      <c r="C337" s="10"/>
      <c r="D337" s="10"/>
      <c r="E337" s="10"/>
      <c r="F337" s="174"/>
      <c r="G337" s="10"/>
      <c r="H337" s="10"/>
      <c r="I337" s="10"/>
      <c r="J337" s="10"/>
      <c r="K337" s="10"/>
      <c r="L337" s="10"/>
      <c r="M337" s="10"/>
      <c r="N337" s="10"/>
      <c r="O337" s="2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9.75" customHeight="1" x14ac:dyDescent="0.15">
      <c r="A338" s="10"/>
      <c r="B338" s="315"/>
      <c r="C338" s="10"/>
      <c r="D338" s="10"/>
      <c r="E338" s="10"/>
      <c r="F338" s="174"/>
      <c r="G338" s="10"/>
      <c r="H338" s="10"/>
      <c r="I338" s="10"/>
      <c r="J338" s="10"/>
      <c r="K338" s="10"/>
      <c r="L338" s="10"/>
      <c r="M338" s="10"/>
      <c r="N338" s="10"/>
      <c r="O338" s="2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9.75" customHeight="1" x14ac:dyDescent="0.15">
      <c r="A339" s="10"/>
      <c r="B339" s="315"/>
      <c r="C339" s="10"/>
      <c r="D339" s="10"/>
      <c r="E339" s="10"/>
      <c r="F339" s="174"/>
      <c r="G339" s="10"/>
      <c r="H339" s="10"/>
      <c r="I339" s="10"/>
      <c r="J339" s="10"/>
      <c r="K339" s="10"/>
      <c r="L339" s="10"/>
      <c r="M339" s="10"/>
      <c r="N339" s="10"/>
      <c r="O339" s="2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9.75" customHeight="1" x14ac:dyDescent="0.15">
      <c r="A340" s="10"/>
      <c r="B340" s="315"/>
      <c r="C340" s="10"/>
      <c r="D340" s="10"/>
      <c r="E340" s="10"/>
      <c r="F340" s="174"/>
      <c r="G340" s="10"/>
      <c r="H340" s="10"/>
      <c r="I340" s="10"/>
      <c r="J340" s="10"/>
      <c r="K340" s="10"/>
      <c r="L340" s="10"/>
      <c r="M340" s="10"/>
      <c r="N340" s="10"/>
      <c r="O340" s="2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9.75" customHeight="1" x14ac:dyDescent="0.15">
      <c r="A341" s="10"/>
      <c r="B341" s="315"/>
      <c r="C341" s="10"/>
      <c r="D341" s="10"/>
      <c r="E341" s="10"/>
      <c r="F341" s="174"/>
      <c r="G341" s="10"/>
      <c r="H341" s="10"/>
      <c r="I341" s="10"/>
      <c r="J341" s="10"/>
      <c r="K341" s="10"/>
      <c r="L341" s="10"/>
      <c r="M341" s="10"/>
      <c r="N341" s="10"/>
      <c r="O341" s="2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9.75" customHeight="1" x14ac:dyDescent="0.15">
      <c r="A342" s="10"/>
      <c r="B342" s="315"/>
      <c r="C342" s="10"/>
      <c r="D342" s="10"/>
      <c r="E342" s="10"/>
      <c r="F342" s="174"/>
      <c r="G342" s="10"/>
      <c r="H342" s="10"/>
      <c r="I342" s="10"/>
      <c r="J342" s="10"/>
      <c r="K342" s="10"/>
      <c r="L342" s="10"/>
      <c r="M342" s="10"/>
      <c r="N342" s="10"/>
      <c r="O342" s="2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9.75" customHeight="1" x14ac:dyDescent="0.15">
      <c r="A343" s="10"/>
      <c r="B343" s="315"/>
      <c r="C343" s="10"/>
      <c r="D343" s="10"/>
      <c r="E343" s="10"/>
      <c r="F343" s="174"/>
      <c r="G343" s="10"/>
      <c r="H343" s="10"/>
      <c r="I343" s="10"/>
      <c r="J343" s="10"/>
      <c r="K343" s="10"/>
      <c r="L343" s="10"/>
      <c r="M343" s="10"/>
      <c r="N343" s="10"/>
      <c r="O343" s="2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9.75" customHeight="1" x14ac:dyDescent="0.15">
      <c r="A344" s="10"/>
      <c r="B344" s="315"/>
      <c r="C344" s="10"/>
      <c r="D344" s="10"/>
      <c r="E344" s="10"/>
      <c r="F344" s="174"/>
      <c r="G344" s="10"/>
      <c r="H344" s="10"/>
      <c r="I344" s="10"/>
      <c r="J344" s="10"/>
      <c r="K344" s="10"/>
      <c r="L344" s="10"/>
      <c r="M344" s="10"/>
      <c r="N344" s="10"/>
      <c r="O344" s="2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9.75" customHeight="1" x14ac:dyDescent="0.15">
      <c r="A345" s="10"/>
      <c r="B345" s="315"/>
      <c r="C345" s="10"/>
      <c r="D345" s="10"/>
      <c r="E345" s="10"/>
      <c r="F345" s="174"/>
      <c r="G345" s="10"/>
      <c r="H345" s="10"/>
      <c r="I345" s="10"/>
      <c r="J345" s="10"/>
      <c r="K345" s="10"/>
      <c r="L345" s="10"/>
      <c r="M345" s="10"/>
      <c r="N345" s="10"/>
      <c r="O345" s="2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9.75" customHeight="1" x14ac:dyDescent="0.15">
      <c r="A346" s="10"/>
      <c r="B346" s="315"/>
      <c r="C346" s="10"/>
      <c r="D346" s="10"/>
      <c r="E346" s="10"/>
      <c r="F346" s="174"/>
      <c r="G346" s="10"/>
      <c r="H346" s="10"/>
      <c r="I346" s="10"/>
      <c r="J346" s="10"/>
      <c r="K346" s="10"/>
      <c r="L346" s="10"/>
      <c r="M346" s="10"/>
      <c r="N346" s="10"/>
      <c r="O346" s="2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9.75" customHeight="1" x14ac:dyDescent="0.15">
      <c r="A347" s="10"/>
      <c r="B347" s="315"/>
      <c r="C347" s="10"/>
      <c r="D347" s="10"/>
      <c r="E347" s="10"/>
      <c r="F347" s="174"/>
      <c r="G347" s="10"/>
      <c r="H347" s="10"/>
      <c r="I347" s="10"/>
      <c r="J347" s="10"/>
      <c r="K347" s="10"/>
      <c r="L347" s="10"/>
      <c r="M347" s="10"/>
      <c r="N347" s="10"/>
      <c r="O347" s="2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9.75" customHeight="1" x14ac:dyDescent="0.15">
      <c r="A348" s="10"/>
      <c r="B348" s="315"/>
      <c r="C348" s="10"/>
      <c r="D348" s="10"/>
      <c r="E348" s="10"/>
      <c r="F348" s="174"/>
      <c r="G348" s="10"/>
      <c r="H348" s="10"/>
      <c r="I348" s="10"/>
      <c r="J348" s="10"/>
      <c r="K348" s="10"/>
      <c r="L348" s="10"/>
      <c r="M348" s="10"/>
      <c r="N348" s="10"/>
      <c r="O348" s="2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9.75" customHeight="1" x14ac:dyDescent="0.15">
      <c r="A349" s="10"/>
      <c r="B349" s="315"/>
      <c r="C349" s="10"/>
      <c r="D349" s="10"/>
      <c r="E349" s="10"/>
      <c r="F349" s="174"/>
      <c r="G349" s="10"/>
      <c r="H349" s="10"/>
      <c r="I349" s="10"/>
      <c r="J349" s="10"/>
      <c r="K349" s="10"/>
      <c r="L349" s="10"/>
      <c r="M349" s="10"/>
      <c r="N349" s="10"/>
      <c r="O349" s="2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9.75" customHeight="1" x14ac:dyDescent="0.15">
      <c r="A350" s="10"/>
      <c r="B350" s="315"/>
      <c r="C350" s="10"/>
      <c r="D350" s="10"/>
      <c r="E350" s="10"/>
      <c r="F350" s="174"/>
      <c r="G350" s="10"/>
      <c r="H350" s="10"/>
      <c r="I350" s="10"/>
      <c r="J350" s="10"/>
      <c r="K350" s="10"/>
      <c r="L350" s="10"/>
      <c r="M350" s="10"/>
      <c r="N350" s="10"/>
      <c r="O350" s="2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9.75" customHeight="1" x14ac:dyDescent="0.15">
      <c r="A351" s="10"/>
      <c r="B351" s="315"/>
      <c r="C351" s="10"/>
      <c r="D351" s="10"/>
      <c r="E351" s="10"/>
      <c r="F351" s="174"/>
      <c r="G351" s="10"/>
      <c r="H351" s="10"/>
      <c r="I351" s="10"/>
      <c r="J351" s="10"/>
      <c r="K351" s="10"/>
      <c r="L351" s="10"/>
      <c r="M351" s="10"/>
      <c r="N351" s="10"/>
      <c r="O351" s="2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9.75" customHeight="1" x14ac:dyDescent="0.15">
      <c r="A352" s="10"/>
      <c r="B352" s="315"/>
      <c r="C352" s="10"/>
      <c r="D352" s="10"/>
      <c r="E352" s="10"/>
      <c r="F352" s="174"/>
      <c r="G352" s="10"/>
      <c r="H352" s="10"/>
      <c r="I352" s="10"/>
      <c r="J352" s="10"/>
      <c r="K352" s="10"/>
      <c r="L352" s="10"/>
      <c r="M352" s="10"/>
      <c r="N352" s="10"/>
      <c r="O352" s="2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9.75" customHeight="1" x14ac:dyDescent="0.15">
      <c r="A353" s="10"/>
      <c r="B353" s="315"/>
      <c r="C353" s="10"/>
      <c r="D353" s="10"/>
      <c r="E353" s="10"/>
      <c r="F353" s="174"/>
      <c r="G353" s="10"/>
      <c r="H353" s="10"/>
      <c r="I353" s="10"/>
      <c r="J353" s="10"/>
      <c r="K353" s="10"/>
      <c r="L353" s="10"/>
      <c r="M353" s="10"/>
      <c r="N353" s="10"/>
      <c r="O353" s="2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9.75" customHeight="1" x14ac:dyDescent="0.15">
      <c r="A354" s="10"/>
      <c r="B354" s="315"/>
      <c r="C354" s="10"/>
      <c r="D354" s="10"/>
      <c r="E354" s="10"/>
      <c r="F354" s="174"/>
      <c r="G354" s="10"/>
      <c r="H354" s="10"/>
      <c r="I354" s="10"/>
      <c r="J354" s="10"/>
      <c r="K354" s="10"/>
      <c r="L354" s="10"/>
      <c r="M354" s="10"/>
      <c r="N354" s="10"/>
      <c r="O354" s="2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9.75" customHeight="1" x14ac:dyDescent="0.15">
      <c r="A355" s="10"/>
      <c r="B355" s="315"/>
      <c r="C355" s="10"/>
      <c r="D355" s="10"/>
      <c r="E355" s="10"/>
      <c r="F355" s="174"/>
      <c r="G355" s="10"/>
      <c r="H355" s="10"/>
      <c r="I355" s="10"/>
      <c r="J355" s="10"/>
      <c r="K355" s="10"/>
      <c r="L355" s="10"/>
      <c r="M355" s="10"/>
      <c r="N355" s="10"/>
      <c r="O355" s="2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9.75" customHeight="1" x14ac:dyDescent="0.15">
      <c r="A356" s="10"/>
      <c r="B356" s="315"/>
      <c r="C356" s="10"/>
      <c r="D356" s="10"/>
      <c r="E356" s="10"/>
      <c r="F356" s="174"/>
      <c r="G356" s="10"/>
      <c r="H356" s="10"/>
      <c r="I356" s="10"/>
      <c r="J356" s="10"/>
      <c r="K356" s="10"/>
      <c r="L356" s="10"/>
      <c r="M356" s="10"/>
      <c r="N356" s="10"/>
      <c r="O356" s="2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9.75" customHeight="1" x14ac:dyDescent="0.15">
      <c r="A357" s="10"/>
      <c r="B357" s="315"/>
      <c r="C357" s="10"/>
      <c r="D357" s="10"/>
      <c r="E357" s="10"/>
      <c r="F357" s="174"/>
      <c r="G357" s="10"/>
      <c r="H357" s="10"/>
      <c r="I357" s="10"/>
      <c r="J357" s="10"/>
      <c r="K357" s="10"/>
      <c r="L357" s="10"/>
      <c r="M357" s="10"/>
      <c r="N357" s="10"/>
      <c r="O357" s="2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9.75" customHeight="1" x14ac:dyDescent="0.15">
      <c r="A358" s="10"/>
      <c r="B358" s="315"/>
      <c r="C358" s="10"/>
      <c r="D358" s="10"/>
      <c r="E358" s="10"/>
      <c r="F358" s="174"/>
      <c r="G358" s="10"/>
      <c r="H358" s="10"/>
      <c r="I358" s="10"/>
      <c r="J358" s="10"/>
      <c r="K358" s="10"/>
      <c r="L358" s="10"/>
      <c r="M358" s="10"/>
      <c r="N358" s="10"/>
      <c r="O358" s="2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9.75" customHeight="1" x14ac:dyDescent="0.15">
      <c r="A359" s="10"/>
      <c r="B359" s="315"/>
      <c r="C359" s="10"/>
      <c r="D359" s="10"/>
      <c r="E359" s="10"/>
      <c r="F359" s="174"/>
      <c r="G359" s="10"/>
      <c r="H359" s="10"/>
      <c r="I359" s="10"/>
      <c r="J359" s="10"/>
      <c r="K359" s="10"/>
      <c r="L359" s="10"/>
      <c r="M359" s="10"/>
      <c r="N359" s="10"/>
      <c r="O359" s="2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9.75" customHeight="1" x14ac:dyDescent="0.15">
      <c r="A360" s="10"/>
      <c r="B360" s="315"/>
      <c r="C360" s="10"/>
      <c r="D360" s="10"/>
      <c r="E360" s="10"/>
      <c r="F360" s="174"/>
      <c r="G360" s="10"/>
      <c r="H360" s="10"/>
      <c r="I360" s="10"/>
      <c r="J360" s="10"/>
      <c r="K360" s="10"/>
      <c r="L360" s="10"/>
      <c r="M360" s="10"/>
      <c r="N360" s="10"/>
      <c r="O360" s="2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9.75" customHeight="1" x14ac:dyDescent="0.15">
      <c r="A361" s="10"/>
      <c r="B361" s="315"/>
      <c r="C361" s="10"/>
      <c r="D361" s="10"/>
      <c r="E361" s="10"/>
      <c r="F361" s="174"/>
      <c r="G361" s="10"/>
      <c r="H361" s="10"/>
      <c r="I361" s="10"/>
      <c r="J361" s="10"/>
      <c r="K361" s="10"/>
      <c r="L361" s="10"/>
      <c r="M361" s="10"/>
      <c r="N361" s="10"/>
      <c r="O361" s="2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9.75" customHeight="1" x14ac:dyDescent="0.15">
      <c r="A362" s="10"/>
      <c r="B362" s="315"/>
      <c r="C362" s="10"/>
      <c r="D362" s="10"/>
      <c r="E362" s="10"/>
      <c r="F362" s="174"/>
      <c r="G362" s="10"/>
      <c r="H362" s="10"/>
      <c r="I362" s="10"/>
      <c r="J362" s="10"/>
      <c r="K362" s="10"/>
      <c r="L362" s="10"/>
      <c r="M362" s="10"/>
      <c r="N362" s="10"/>
      <c r="O362" s="2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9.75" customHeight="1" x14ac:dyDescent="0.15">
      <c r="A363" s="10"/>
      <c r="B363" s="315"/>
      <c r="C363" s="10"/>
      <c r="D363" s="10"/>
      <c r="E363" s="10"/>
      <c r="F363" s="174"/>
      <c r="G363" s="10"/>
      <c r="H363" s="10"/>
      <c r="I363" s="10"/>
      <c r="J363" s="10"/>
      <c r="K363" s="10"/>
      <c r="L363" s="10"/>
      <c r="M363" s="10"/>
      <c r="N363" s="10"/>
      <c r="O363" s="2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9.75" customHeight="1" x14ac:dyDescent="0.15">
      <c r="A364" s="10"/>
      <c r="B364" s="315"/>
      <c r="C364" s="10"/>
      <c r="D364" s="10"/>
      <c r="E364" s="10"/>
      <c r="F364" s="174"/>
      <c r="G364" s="10"/>
      <c r="H364" s="10"/>
      <c r="I364" s="10"/>
      <c r="J364" s="10"/>
      <c r="K364" s="10"/>
      <c r="L364" s="10"/>
      <c r="M364" s="10"/>
      <c r="N364" s="10"/>
      <c r="O364" s="2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9.75" customHeight="1" x14ac:dyDescent="0.15">
      <c r="A365" s="10"/>
      <c r="B365" s="315"/>
      <c r="C365" s="10"/>
      <c r="D365" s="10"/>
      <c r="E365" s="10"/>
      <c r="F365" s="174"/>
      <c r="G365" s="10"/>
      <c r="H365" s="10"/>
      <c r="I365" s="10"/>
      <c r="J365" s="10"/>
      <c r="K365" s="10"/>
      <c r="L365" s="10"/>
      <c r="M365" s="10"/>
      <c r="N365" s="10"/>
      <c r="O365" s="2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9.75" customHeight="1" x14ac:dyDescent="0.15">
      <c r="A366" s="10"/>
      <c r="B366" s="315"/>
      <c r="C366" s="10"/>
      <c r="D366" s="10"/>
      <c r="E366" s="10"/>
      <c r="F366" s="174"/>
      <c r="G366" s="10"/>
      <c r="H366" s="10"/>
      <c r="I366" s="10"/>
      <c r="J366" s="10"/>
      <c r="K366" s="10"/>
      <c r="L366" s="10"/>
      <c r="M366" s="10"/>
      <c r="N366" s="10"/>
      <c r="O366" s="2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9.75" customHeight="1" x14ac:dyDescent="0.15">
      <c r="A367" s="10"/>
      <c r="B367" s="315"/>
      <c r="C367" s="10"/>
      <c r="D367" s="10"/>
      <c r="E367" s="10"/>
      <c r="F367" s="174"/>
      <c r="G367" s="10"/>
      <c r="H367" s="10"/>
      <c r="I367" s="10"/>
      <c r="J367" s="10"/>
      <c r="K367" s="10"/>
      <c r="L367" s="10"/>
      <c r="M367" s="10"/>
      <c r="N367" s="10"/>
      <c r="O367" s="2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9.75" customHeight="1" x14ac:dyDescent="0.15">
      <c r="A368" s="10"/>
      <c r="B368" s="315"/>
      <c r="C368" s="10"/>
      <c r="D368" s="10"/>
      <c r="E368" s="10"/>
      <c r="F368" s="174"/>
      <c r="G368" s="10"/>
      <c r="H368" s="10"/>
      <c r="I368" s="10"/>
      <c r="J368" s="10"/>
      <c r="K368" s="10"/>
      <c r="L368" s="10"/>
      <c r="M368" s="10"/>
      <c r="N368" s="10"/>
      <c r="O368" s="2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9.75" customHeight="1" x14ac:dyDescent="0.15">
      <c r="A369" s="10"/>
      <c r="B369" s="315"/>
      <c r="C369" s="10"/>
      <c r="D369" s="10"/>
      <c r="E369" s="10"/>
      <c r="F369" s="174"/>
      <c r="G369" s="10"/>
      <c r="H369" s="10"/>
      <c r="I369" s="10"/>
      <c r="J369" s="10"/>
      <c r="K369" s="10"/>
      <c r="L369" s="10"/>
      <c r="M369" s="10"/>
      <c r="N369" s="10"/>
      <c r="O369" s="2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9.75" customHeight="1" x14ac:dyDescent="0.15">
      <c r="A370" s="10"/>
      <c r="B370" s="315"/>
      <c r="C370" s="10"/>
      <c r="D370" s="10"/>
      <c r="E370" s="10"/>
      <c r="F370" s="174"/>
      <c r="G370" s="10"/>
      <c r="H370" s="10"/>
      <c r="I370" s="10"/>
      <c r="J370" s="10"/>
      <c r="K370" s="10"/>
      <c r="L370" s="10"/>
      <c r="M370" s="10"/>
      <c r="N370" s="10"/>
      <c r="O370" s="2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9.75" customHeight="1" x14ac:dyDescent="0.15">
      <c r="A371" s="10"/>
      <c r="B371" s="315"/>
      <c r="C371" s="10"/>
      <c r="D371" s="10"/>
      <c r="E371" s="10"/>
      <c r="F371" s="174"/>
      <c r="G371" s="10"/>
      <c r="H371" s="10"/>
      <c r="I371" s="10"/>
      <c r="J371" s="10"/>
      <c r="K371" s="10"/>
      <c r="L371" s="10"/>
      <c r="M371" s="10"/>
      <c r="N371" s="10"/>
      <c r="O371" s="2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9.75" customHeight="1" x14ac:dyDescent="0.15">
      <c r="A372" s="10"/>
      <c r="B372" s="315"/>
      <c r="C372" s="10"/>
      <c r="D372" s="10"/>
      <c r="E372" s="10"/>
      <c r="F372" s="174"/>
      <c r="G372" s="10"/>
      <c r="H372" s="10"/>
      <c r="I372" s="10"/>
      <c r="J372" s="10"/>
      <c r="K372" s="10"/>
      <c r="L372" s="10"/>
      <c r="M372" s="10"/>
      <c r="N372" s="10"/>
      <c r="O372" s="2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9.75" customHeight="1" x14ac:dyDescent="0.15">
      <c r="A373" s="10"/>
      <c r="B373" s="315"/>
      <c r="C373" s="10"/>
      <c r="D373" s="10"/>
      <c r="E373" s="10"/>
      <c r="F373" s="174"/>
      <c r="G373" s="10"/>
      <c r="H373" s="10"/>
      <c r="I373" s="10"/>
      <c r="J373" s="10"/>
      <c r="K373" s="10"/>
      <c r="L373" s="10"/>
      <c r="M373" s="10"/>
      <c r="N373" s="10"/>
      <c r="O373" s="2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9.75" customHeight="1" x14ac:dyDescent="0.15">
      <c r="A374" s="10"/>
      <c r="B374" s="315"/>
      <c r="C374" s="10"/>
      <c r="D374" s="10"/>
      <c r="E374" s="10"/>
      <c r="F374" s="174"/>
      <c r="G374" s="10"/>
      <c r="H374" s="10"/>
      <c r="I374" s="10"/>
      <c r="J374" s="10"/>
      <c r="K374" s="10"/>
      <c r="L374" s="10"/>
      <c r="M374" s="10"/>
      <c r="N374" s="10"/>
      <c r="O374" s="2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9.75" customHeight="1" x14ac:dyDescent="0.15">
      <c r="A375" s="10"/>
      <c r="B375" s="315"/>
      <c r="C375" s="10"/>
      <c r="D375" s="10"/>
      <c r="E375" s="10"/>
      <c r="F375" s="174"/>
      <c r="G375" s="10"/>
      <c r="H375" s="10"/>
      <c r="I375" s="10"/>
      <c r="J375" s="10"/>
      <c r="K375" s="10"/>
      <c r="L375" s="10"/>
      <c r="M375" s="10"/>
      <c r="N375" s="10"/>
      <c r="O375" s="2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9.75" customHeight="1" x14ac:dyDescent="0.15">
      <c r="A376" s="10"/>
      <c r="B376" s="315"/>
      <c r="C376" s="10"/>
      <c r="D376" s="10"/>
      <c r="E376" s="10"/>
      <c r="F376" s="174"/>
      <c r="G376" s="10"/>
      <c r="H376" s="10"/>
      <c r="I376" s="10"/>
      <c r="J376" s="10"/>
      <c r="K376" s="10"/>
      <c r="L376" s="10"/>
      <c r="M376" s="10"/>
      <c r="N376" s="10"/>
      <c r="O376" s="2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9.75" customHeight="1" x14ac:dyDescent="0.15">
      <c r="A377" s="10"/>
      <c r="B377" s="315"/>
      <c r="C377" s="10"/>
      <c r="D377" s="10"/>
      <c r="E377" s="10"/>
      <c r="F377" s="174"/>
      <c r="G377" s="10"/>
      <c r="H377" s="10"/>
      <c r="I377" s="10"/>
      <c r="J377" s="10"/>
      <c r="K377" s="10"/>
      <c r="L377" s="10"/>
      <c r="M377" s="10"/>
      <c r="N377" s="10"/>
      <c r="O377" s="2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9.75" customHeight="1" x14ac:dyDescent="0.15">
      <c r="A378" s="10"/>
      <c r="B378" s="315"/>
      <c r="C378" s="10"/>
      <c r="D378" s="10"/>
      <c r="E378" s="10"/>
      <c r="F378" s="174"/>
      <c r="G378" s="10"/>
      <c r="H378" s="10"/>
      <c r="I378" s="10"/>
      <c r="J378" s="10"/>
      <c r="K378" s="10"/>
      <c r="L378" s="10"/>
      <c r="M378" s="10"/>
      <c r="N378" s="10"/>
      <c r="O378" s="2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9.75" customHeight="1" x14ac:dyDescent="0.15">
      <c r="A379" s="10"/>
      <c r="B379" s="315"/>
      <c r="C379" s="10"/>
      <c r="D379" s="10"/>
      <c r="E379" s="10"/>
      <c r="F379" s="174"/>
      <c r="G379" s="10"/>
      <c r="H379" s="10"/>
      <c r="I379" s="10"/>
      <c r="J379" s="10"/>
      <c r="K379" s="10"/>
      <c r="L379" s="10"/>
      <c r="M379" s="10"/>
      <c r="N379" s="10"/>
      <c r="O379" s="2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9.75" customHeight="1" x14ac:dyDescent="0.15">
      <c r="A380" s="10"/>
      <c r="B380" s="315"/>
      <c r="C380" s="10"/>
      <c r="D380" s="10"/>
      <c r="E380" s="10"/>
      <c r="F380" s="174"/>
      <c r="G380" s="10"/>
      <c r="H380" s="10"/>
      <c r="I380" s="10"/>
      <c r="J380" s="10"/>
      <c r="K380" s="10"/>
      <c r="L380" s="10"/>
      <c r="M380" s="10"/>
      <c r="N380" s="10"/>
      <c r="O380" s="2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9.75" customHeight="1" x14ac:dyDescent="0.15">
      <c r="A381" s="10"/>
      <c r="B381" s="315"/>
      <c r="C381" s="10"/>
      <c r="D381" s="10"/>
      <c r="E381" s="10"/>
      <c r="F381" s="174"/>
      <c r="G381" s="10"/>
      <c r="H381" s="10"/>
      <c r="I381" s="10"/>
      <c r="J381" s="10"/>
      <c r="K381" s="10"/>
      <c r="L381" s="10"/>
      <c r="M381" s="10"/>
      <c r="N381" s="10"/>
      <c r="O381" s="2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9.75" customHeight="1" x14ac:dyDescent="0.15">
      <c r="A382" s="10"/>
      <c r="B382" s="315"/>
      <c r="C382" s="10"/>
      <c r="D382" s="10"/>
      <c r="E382" s="10"/>
      <c r="F382" s="174"/>
      <c r="G382" s="10"/>
      <c r="H382" s="10"/>
      <c r="I382" s="10"/>
      <c r="J382" s="10"/>
      <c r="K382" s="10"/>
      <c r="L382" s="10"/>
      <c r="M382" s="10"/>
      <c r="N382" s="10"/>
      <c r="O382" s="2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9.75" customHeight="1" x14ac:dyDescent="0.15">
      <c r="A383" s="10"/>
      <c r="B383" s="315"/>
      <c r="C383" s="10"/>
      <c r="D383" s="10"/>
      <c r="E383" s="10"/>
      <c r="F383" s="174"/>
      <c r="G383" s="10"/>
      <c r="H383" s="10"/>
      <c r="I383" s="10"/>
      <c r="J383" s="10"/>
      <c r="K383" s="10"/>
      <c r="L383" s="10"/>
      <c r="M383" s="10"/>
      <c r="N383" s="10"/>
      <c r="O383" s="2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9.75" customHeight="1" x14ac:dyDescent="0.15">
      <c r="A384" s="10"/>
      <c r="B384" s="315"/>
      <c r="C384" s="10"/>
      <c r="D384" s="10"/>
      <c r="E384" s="10"/>
      <c r="F384" s="174"/>
      <c r="G384" s="10"/>
      <c r="H384" s="10"/>
      <c r="I384" s="10"/>
      <c r="J384" s="10"/>
      <c r="K384" s="10"/>
      <c r="L384" s="10"/>
      <c r="M384" s="10"/>
      <c r="N384" s="10"/>
      <c r="O384" s="2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9.75" customHeight="1" x14ac:dyDescent="0.15">
      <c r="A385" s="10"/>
      <c r="B385" s="315"/>
      <c r="C385" s="10"/>
      <c r="D385" s="10"/>
      <c r="E385" s="10"/>
      <c r="F385" s="174"/>
      <c r="G385" s="10"/>
      <c r="H385" s="10"/>
      <c r="I385" s="10"/>
      <c r="J385" s="10"/>
      <c r="K385" s="10"/>
      <c r="L385" s="10"/>
      <c r="M385" s="10"/>
      <c r="N385" s="10"/>
      <c r="O385" s="2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9.75" customHeight="1" x14ac:dyDescent="0.15">
      <c r="A386" s="10"/>
      <c r="B386" s="315"/>
      <c r="C386" s="10"/>
      <c r="D386" s="10"/>
      <c r="E386" s="10"/>
      <c r="F386" s="174"/>
      <c r="G386" s="10"/>
      <c r="H386" s="10"/>
      <c r="I386" s="10"/>
      <c r="J386" s="10"/>
      <c r="K386" s="10"/>
      <c r="L386" s="10"/>
      <c r="M386" s="10"/>
      <c r="N386" s="10"/>
      <c r="O386" s="2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9.75" customHeight="1" x14ac:dyDescent="0.15">
      <c r="A387" s="10"/>
      <c r="B387" s="315"/>
      <c r="C387" s="10"/>
      <c r="D387" s="10"/>
      <c r="E387" s="10"/>
      <c r="F387" s="174"/>
      <c r="G387" s="10"/>
      <c r="H387" s="10"/>
      <c r="I387" s="10"/>
      <c r="J387" s="10"/>
      <c r="K387" s="10"/>
      <c r="L387" s="10"/>
      <c r="M387" s="10"/>
      <c r="N387" s="10"/>
      <c r="O387" s="2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9.75" customHeight="1" x14ac:dyDescent="0.15">
      <c r="A388" s="10"/>
      <c r="B388" s="315"/>
      <c r="C388" s="10"/>
      <c r="D388" s="10"/>
      <c r="E388" s="10"/>
      <c r="F388" s="174"/>
      <c r="G388" s="10"/>
      <c r="H388" s="10"/>
      <c r="I388" s="10"/>
      <c r="J388" s="10"/>
      <c r="K388" s="10"/>
      <c r="L388" s="10"/>
      <c r="M388" s="10"/>
      <c r="N388" s="10"/>
      <c r="O388" s="2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9.75" customHeight="1" x14ac:dyDescent="0.15">
      <c r="A389" s="10"/>
      <c r="B389" s="315"/>
      <c r="C389" s="10"/>
      <c r="D389" s="10"/>
      <c r="E389" s="10"/>
      <c r="F389" s="174"/>
      <c r="G389" s="10"/>
      <c r="H389" s="10"/>
      <c r="I389" s="10"/>
      <c r="J389" s="10"/>
      <c r="K389" s="10"/>
      <c r="L389" s="10"/>
      <c r="M389" s="10"/>
      <c r="N389" s="10"/>
      <c r="O389" s="2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9.75" customHeight="1" x14ac:dyDescent="0.15">
      <c r="A390" s="10"/>
      <c r="B390" s="315"/>
      <c r="C390" s="10"/>
      <c r="D390" s="10"/>
      <c r="E390" s="10"/>
      <c r="F390" s="174"/>
      <c r="G390" s="10"/>
      <c r="H390" s="10"/>
      <c r="I390" s="10"/>
      <c r="J390" s="10"/>
      <c r="K390" s="10"/>
      <c r="L390" s="10"/>
      <c r="M390" s="10"/>
      <c r="N390" s="10"/>
      <c r="O390" s="2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9.75" customHeight="1" x14ac:dyDescent="0.15">
      <c r="A391" s="10"/>
      <c r="B391" s="315"/>
      <c r="C391" s="10"/>
      <c r="D391" s="10"/>
      <c r="E391" s="10"/>
      <c r="F391" s="174"/>
      <c r="G391" s="10"/>
      <c r="H391" s="10"/>
      <c r="I391" s="10"/>
      <c r="J391" s="10"/>
      <c r="K391" s="10"/>
      <c r="L391" s="10"/>
      <c r="M391" s="10"/>
      <c r="N391" s="10"/>
      <c r="O391" s="2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9.75" customHeight="1" x14ac:dyDescent="0.15">
      <c r="A392" s="10"/>
      <c r="B392" s="315"/>
      <c r="C392" s="10"/>
      <c r="D392" s="10"/>
      <c r="E392" s="10"/>
      <c r="F392" s="174"/>
      <c r="G392" s="10"/>
      <c r="H392" s="10"/>
      <c r="I392" s="10"/>
      <c r="J392" s="10"/>
      <c r="K392" s="10"/>
      <c r="L392" s="10"/>
      <c r="M392" s="10"/>
      <c r="N392" s="10"/>
      <c r="O392" s="2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9.75" customHeight="1" x14ac:dyDescent="0.15">
      <c r="A393" s="10"/>
      <c r="B393" s="315"/>
      <c r="C393" s="10"/>
      <c r="D393" s="10"/>
      <c r="E393" s="10"/>
      <c r="F393" s="174"/>
      <c r="G393" s="10"/>
      <c r="H393" s="10"/>
      <c r="I393" s="10"/>
      <c r="J393" s="10"/>
      <c r="K393" s="10"/>
      <c r="L393" s="10"/>
      <c r="M393" s="10"/>
      <c r="N393" s="10"/>
      <c r="O393" s="2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9.75" customHeight="1" x14ac:dyDescent="0.15">
      <c r="A394" s="10"/>
      <c r="B394" s="315"/>
      <c r="C394" s="10"/>
      <c r="D394" s="10"/>
      <c r="E394" s="10"/>
      <c r="F394" s="174"/>
      <c r="G394" s="10"/>
      <c r="H394" s="10"/>
      <c r="I394" s="10"/>
      <c r="J394" s="10"/>
      <c r="K394" s="10"/>
      <c r="L394" s="10"/>
      <c r="M394" s="10"/>
      <c r="N394" s="10"/>
      <c r="O394" s="2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9.75" customHeight="1" x14ac:dyDescent="0.15">
      <c r="A395" s="10"/>
      <c r="B395" s="315"/>
      <c r="C395" s="10"/>
      <c r="D395" s="10"/>
      <c r="E395" s="10"/>
      <c r="F395" s="174"/>
      <c r="G395" s="10"/>
      <c r="H395" s="10"/>
      <c r="I395" s="10"/>
      <c r="J395" s="10"/>
      <c r="K395" s="10"/>
      <c r="L395" s="10"/>
      <c r="M395" s="10"/>
      <c r="N395" s="10"/>
      <c r="O395" s="2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9.75" customHeight="1" x14ac:dyDescent="0.15">
      <c r="A396" s="10"/>
      <c r="B396" s="315"/>
      <c r="C396" s="10"/>
      <c r="D396" s="10"/>
      <c r="E396" s="10"/>
      <c r="F396" s="174"/>
      <c r="G396" s="10"/>
      <c r="H396" s="10"/>
      <c r="I396" s="10"/>
      <c r="J396" s="10"/>
      <c r="K396" s="10"/>
      <c r="L396" s="10"/>
      <c r="M396" s="10"/>
      <c r="N396" s="10"/>
      <c r="O396" s="2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9.75" customHeight="1" x14ac:dyDescent="0.15">
      <c r="A397" s="10"/>
      <c r="B397" s="315"/>
      <c r="C397" s="10"/>
      <c r="D397" s="10"/>
      <c r="E397" s="10"/>
      <c r="F397" s="174"/>
      <c r="G397" s="10"/>
      <c r="H397" s="10"/>
      <c r="I397" s="10"/>
      <c r="J397" s="10"/>
      <c r="K397" s="10"/>
      <c r="L397" s="10"/>
      <c r="M397" s="10"/>
      <c r="N397" s="10"/>
      <c r="O397" s="2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9.75" customHeight="1" x14ac:dyDescent="0.15">
      <c r="A398" s="10"/>
      <c r="B398" s="315"/>
      <c r="C398" s="10"/>
      <c r="D398" s="10"/>
      <c r="E398" s="10"/>
      <c r="F398" s="174"/>
      <c r="G398" s="10"/>
      <c r="H398" s="10"/>
      <c r="I398" s="10"/>
      <c r="J398" s="10"/>
      <c r="K398" s="10"/>
      <c r="L398" s="10"/>
      <c r="M398" s="10"/>
      <c r="N398" s="10"/>
      <c r="O398" s="2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9.75" customHeight="1" x14ac:dyDescent="0.15">
      <c r="A399" s="10"/>
      <c r="B399" s="315"/>
      <c r="C399" s="10"/>
      <c r="D399" s="10"/>
      <c r="E399" s="10"/>
      <c r="F399" s="174"/>
      <c r="G399" s="10"/>
      <c r="H399" s="10"/>
      <c r="I399" s="10"/>
      <c r="J399" s="10"/>
      <c r="K399" s="10"/>
      <c r="L399" s="10"/>
      <c r="M399" s="10"/>
      <c r="N399" s="10"/>
      <c r="O399" s="2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9.75" customHeight="1" x14ac:dyDescent="0.15">
      <c r="A400" s="10"/>
      <c r="B400" s="315"/>
      <c r="C400" s="10"/>
      <c r="D400" s="10"/>
      <c r="E400" s="10"/>
      <c r="F400" s="174"/>
      <c r="G400" s="10"/>
      <c r="H400" s="10"/>
      <c r="I400" s="10"/>
      <c r="J400" s="10"/>
      <c r="K400" s="10"/>
      <c r="L400" s="10"/>
      <c r="M400" s="10"/>
      <c r="N400" s="10"/>
      <c r="O400" s="2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9.75" customHeight="1" x14ac:dyDescent="0.15">
      <c r="A401" s="10"/>
      <c r="B401" s="315"/>
      <c r="C401" s="10"/>
      <c r="D401" s="10"/>
      <c r="E401" s="10"/>
      <c r="F401" s="174"/>
      <c r="G401" s="10"/>
      <c r="H401" s="10"/>
      <c r="I401" s="10"/>
      <c r="J401" s="10"/>
      <c r="K401" s="10"/>
      <c r="L401" s="10"/>
      <c r="M401" s="10"/>
      <c r="N401" s="10"/>
      <c r="O401" s="2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9.75" customHeight="1" x14ac:dyDescent="0.15">
      <c r="A402" s="10"/>
      <c r="B402" s="315"/>
      <c r="C402" s="10"/>
      <c r="D402" s="10"/>
      <c r="E402" s="10"/>
      <c r="F402" s="174"/>
      <c r="G402" s="10"/>
      <c r="H402" s="10"/>
      <c r="I402" s="10"/>
      <c r="J402" s="10"/>
      <c r="K402" s="10"/>
      <c r="L402" s="10"/>
      <c r="M402" s="10"/>
      <c r="N402" s="10"/>
      <c r="O402" s="2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9.75" customHeight="1" x14ac:dyDescent="0.15">
      <c r="A403" s="10"/>
      <c r="B403" s="315"/>
      <c r="C403" s="10"/>
      <c r="D403" s="10"/>
      <c r="E403" s="10"/>
      <c r="F403" s="174"/>
      <c r="G403" s="10"/>
      <c r="H403" s="10"/>
      <c r="I403" s="10"/>
      <c r="J403" s="10"/>
      <c r="K403" s="10"/>
      <c r="L403" s="10"/>
      <c r="M403" s="10"/>
      <c r="N403" s="10"/>
      <c r="O403" s="2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9.75" customHeight="1" x14ac:dyDescent="0.15">
      <c r="A404" s="10"/>
      <c r="B404" s="315"/>
      <c r="C404" s="10"/>
      <c r="D404" s="10"/>
      <c r="E404" s="10"/>
      <c r="F404" s="174"/>
      <c r="G404" s="10"/>
      <c r="H404" s="10"/>
      <c r="I404" s="10"/>
      <c r="J404" s="10"/>
      <c r="K404" s="10"/>
      <c r="L404" s="10"/>
      <c r="M404" s="10"/>
      <c r="N404" s="10"/>
      <c r="O404" s="2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9.75" customHeight="1" x14ac:dyDescent="0.15">
      <c r="A405" s="10"/>
      <c r="B405" s="315"/>
      <c r="C405" s="10"/>
      <c r="D405" s="10"/>
      <c r="E405" s="10"/>
      <c r="F405" s="174"/>
      <c r="G405" s="10"/>
      <c r="H405" s="10"/>
      <c r="I405" s="10"/>
      <c r="J405" s="10"/>
      <c r="K405" s="10"/>
      <c r="L405" s="10"/>
      <c r="M405" s="10"/>
      <c r="N405" s="10"/>
      <c r="O405" s="2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9.75" customHeight="1" x14ac:dyDescent="0.15">
      <c r="A406" s="10"/>
      <c r="B406" s="315"/>
      <c r="C406" s="10"/>
      <c r="D406" s="10"/>
      <c r="E406" s="10"/>
      <c r="F406" s="174"/>
      <c r="G406" s="10"/>
      <c r="H406" s="10"/>
      <c r="I406" s="10"/>
      <c r="J406" s="10"/>
      <c r="K406" s="10"/>
      <c r="L406" s="10"/>
      <c r="M406" s="10"/>
      <c r="N406" s="10"/>
      <c r="O406" s="2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9.75" customHeight="1" x14ac:dyDescent="0.15">
      <c r="A407" s="10"/>
      <c r="B407" s="315"/>
      <c r="C407" s="10"/>
      <c r="D407" s="10"/>
      <c r="E407" s="10"/>
      <c r="F407" s="174"/>
      <c r="G407" s="10"/>
      <c r="H407" s="10"/>
      <c r="I407" s="10"/>
      <c r="J407" s="10"/>
      <c r="K407" s="10"/>
      <c r="L407" s="10"/>
      <c r="M407" s="10"/>
      <c r="N407" s="10"/>
      <c r="O407" s="2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9.75" customHeight="1" x14ac:dyDescent="0.15">
      <c r="A408" s="10"/>
      <c r="B408" s="315"/>
      <c r="C408" s="10"/>
      <c r="D408" s="10"/>
      <c r="E408" s="10"/>
      <c r="F408" s="174"/>
      <c r="G408" s="10"/>
      <c r="H408" s="10"/>
      <c r="I408" s="10"/>
      <c r="J408" s="10"/>
      <c r="K408" s="10"/>
      <c r="L408" s="10"/>
      <c r="M408" s="10"/>
      <c r="N408" s="10"/>
      <c r="O408" s="2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9.75" customHeight="1" x14ac:dyDescent="0.15">
      <c r="A409" s="10"/>
      <c r="B409" s="315"/>
      <c r="C409" s="10"/>
      <c r="D409" s="10"/>
      <c r="E409" s="10"/>
      <c r="F409" s="174"/>
      <c r="G409" s="10"/>
      <c r="H409" s="10"/>
      <c r="I409" s="10"/>
      <c r="J409" s="10"/>
      <c r="K409" s="10"/>
      <c r="L409" s="10"/>
      <c r="M409" s="10"/>
      <c r="N409" s="10"/>
      <c r="O409" s="2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9.75" customHeight="1" x14ac:dyDescent="0.15">
      <c r="A410" s="10"/>
      <c r="B410" s="315"/>
      <c r="C410" s="10"/>
      <c r="D410" s="10"/>
      <c r="E410" s="10"/>
      <c r="F410" s="174"/>
      <c r="G410" s="10"/>
      <c r="H410" s="10"/>
      <c r="I410" s="10"/>
      <c r="J410" s="10"/>
      <c r="K410" s="10"/>
      <c r="L410" s="10"/>
      <c r="M410" s="10"/>
      <c r="N410" s="10"/>
      <c r="O410" s="2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9.75" customHeight="1" x14ac:dyDescent="0.15">
      <c r="A411" s="10"/>
      <c r="B411" s="315"/>
      <c r="C411" s="10"/>
      <c r="D411" s="10"/>
      <c r="E411" s="10"/>
      <c r="F411" s="174"/>
      <c r="G411" s="10"/>
      <c r="H411" s="10"/>
      <c r="I411" s="10"/>
      <c r="J411" s="10"/>
      <c r="K411" s="10"/>
      <c r="L411" s="10"/>
      <c r="M411" s="10"/>
      <c r="N411" s="10"/>
      <c r="O411" s="2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9.75" customHeight="1" x14ac:dyDescent="0.15">
      <c r="A412" s="10"/>
      <c r="B412" s="315"/>
      <c r="C412" s="10"/>
      <c r="D412" s="10"/>
      <c r="E412" s="10"/>
      <c r="F412" s="174"/>
      <c r="G412" s="10"/>
      <c r="H412" s="10"/>
      <c r="I412" s="10"/>
      <c r="J412" s="10"/>
      <c r="K412" s="10"/>
      <c r="L412" s="10"/>
      <c r="M412" s="10"/>
      <c r="N412" s="10"/>
      <c r="O412" s="2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9.75" customHeight="1" x14ac:dyDescent="0.15">
      <c r="A413" s="10"/>
      <c r="B413" s="315"/>
      <c r="C413" s="10"/>
      <c r="D413" s="10"/>
      <c r="E413" s="10"/>
      <c r="F413" s="174"/>
      <c r="G413" s="10"/>
      <c r="H413" s="10"/>
      <c r="I413" s="10"/>
      <c r="J413" s="10"/>
      <c r="K413" s="10"/>
      <c r="L413" s="10"/>
      <c r="M413" s="10"/>
      <c r="N413" s="10"/>
      <c r="O413" s="2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9.75" customHeight="1" x14ac:dyDescent="0.15">
      <c r="A414" s="10"/>
      <c r="B414" s="315"/>
      <c r="C414" s="10"/>
      <c r="D414" s="10"/>
      <c r="E414" s="10"/>
      <c r="F414" s="174"/>
      <c r="G414" s="10"/>
      <c r="H414" s="10"/>
      <c r="I414" s="10"/>
      <c r="J414" s="10"/>
      <c r="K414" s="10"/>
      <c r="L414" s="10"/>
      <c r="M414" s="10"/>
      <c r="N414" s="10"/>
      <c r="O414" s="2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9.75" customHeight="1" x14ac:dyDescent="0.15">
      <c r="A415" s="10"/>
      <c r="B415" s="315"/>
      <c r="C415" s="10"/>
      <c r="D415" s="10"/>
      <c r="E415" s="10"/>
      <c r="F415" s="174"/>
      <c r="G415" s="10"/>
      <c r="H415" s="10"/>
      <c r="I415" s="10"/>
      <c r="J415" s="10"/>
      <c r="K415" s="10"/>
      <c r="L415" s="10"/>
      <c r="M415" s="10"/>
      <c r="N415" s="10"/>
      <c r="O415" s="2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9.75" customHeight="1" x14ac:dyDescent="0.15">
      <c r="A416" s="10"/>
      <c r="B416" s="315"/>
      <c r="C416" s="10"/>
      <c r="D416" s="10"/>
      <c r="E416" s="10"/>
      <c r="F416" s="174"/>
      <c r="G416" s="10"/>
      <c r="H416" s="10"/>
      <c r="I416" s="10"/>
      <c r="J416" s="10"/>
      <c r="K416" s="10"/>
      <c r="L416" s="10"/>
      <c r="M416" s="10"/>
      <c r="N416" s="10"/>
      <c r="O416" s="2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9.75" customHeight="1" x14ac:dyDescent="0.15">
      <c r="A417" s="10"/>
      <c r="B417" s="315"/>
      <c r="C417" s="10"/>
      <c r="D417" s="10"/>
      <c r="E417" s="10"/>
      <c r="F417" s="174"/>
      <c r="G417" s="10"/>
      <c r="H417" s="10"/>
      <c r="I417" s="10"/>
      <c r="J417" s="10"/>
      <c r="K417" s="10"/>
      <c r="L417" s="10"/>
      <c r="M417" s="10"/>
      <c r="N417" s="10"/>
      <c r="O417" s="2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9.75" customHeight="1" x14ac:dyDescent="0.15">
      <c r="A418" s="10"/>
      <c r="B418" s="315"/>
      <c r="C418" s="10"/>
      <c r="D418" s="10"/>
      <c r="E418" s="10"/>
      <c r="F418" s="174"/>
      <c r="G418" s="10"/>
      <c r="H418" s="10"/>
      <c r="I418" s="10"/>
      <c r="J418" s="10"/>
      <c r="K418" s="10"/>
      <c r="L418" s="10"/>
      <c r="M418" s="10"/>
      <c r="N418" s="10"/>
      <c r="O418" s="2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9.75" customHeight="1" x14ac:dyDescent="0.15">
      <c r="A419" s="10"/>
      <c r="B419" s="315"/>
      <c r="C419" s="10"/>
      <c r="D419" s="10"/>
      <c r="E419" s="10"/>
      <c r="F419" s="174"/>
      <c r="G419" s="10"/>
      <c r="H419" s="10"/>
      <c r="I419" s="10"/>
      <c r="J419" s="10"/>
      <c r="K419" s="10"/>
      <c r="L419" s="10"/>
      <c r="M419" s="10"/>
      <c r="N419" s="10"/>
      <c r="O419" s="2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9.75" customHeight="1" x14ac:dyDescent="0.15">
      <c r="A420" s="10"/>
      <c r="B420" s="315"/>
      <c r="C420" s="10"/>
      <c r="D420" s="10"/>
      <c r="E420" s="10"/>
      <c r="F420" s="174"/>
      <c r="G420" s="10"/>
      <c r="H420" s="10"/>
      <c r="I420" s="10"/>
      <c r="J420" s="10"/>
      <c r="K420" s="10"/>
      <c r="L420" s="10"/>
      <c r="M420" s="10"/>
      <c r="N420" s="10"/>
      <c r="O420" s="2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9.75" customHeight="1" x14ac:dyDescent="0.15">
      <c r="A421" s="10"/>
      <c r="B421" s="315"/>
      <c r="C421" s="10"/>
      <c r="D421" s="10"/>
      <c r="E421" s="10"/>
      <c r="F421" s="174"/>
      <c r="G421" s="10"/>
      <c r="H421" s="10"/>
      <c r="I421" s="10"/>
      <c r="J421" s="10"/>
      <c r="K421" s="10"/>
      <c r="L421" s="10"/>
      <c r="M421" s="10"/>
      <c r="N421" s="10"/>
      <c r="O421" s="2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9.75" customHeight="1" x14ac:dyDescent="0.15">
      <c r="A422" s="10"/>
      <c r="B422" s="315"/>
      <c r="C422" s="10"/>
      <c r="D422" s="10"/>
      <c r="E422" s="10"/>
      <c r="F422" s="174"/>
      <c r="G422" s="10"/>
      <c r="H422" s="10"/>
      <c r="I422" s="10"/>
      <c r="J422" s="10"/>
      <c r="K422" s="10"/>
      <c r="L422" s="10"/>
      <c r="M422" s="10"/>
      <c r="N422" s="10"/>
      <c r="O422" s="2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9.75" customHeight="1" x14ac:dyDescent="0.15">
      <c r="A423" s="10"/>
      <c r="B423" s="315"/>
      <c r="C423" s="10"/>
      <c r="D423" s="10"/>
      <c r="E423" s="10"/>
      <c r="F423" s="174"/>
      <c r="G423" s="10"/>
      <c r="H423" s="10"/>
      <c r="I423" s="10"/>
      <c r="J423" s="10"/>
      <c r="K423" s="10"/>
      <c r="L423" s="10"/>
      <c r="M423" s="10"/>
      <c r="N423" s="10"/>
      <c r="O423" s="2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9.75" customHeight="1" x14ac:dyDescent="0.15">
      <c r="A424" s="10"/>
      <c r="B424" s="315"/>
      <c r="C424" s="10"/>
      <c r="D424" s="10"/>
      <c r="E424" s="10"/>
      <c r="F424" s="174"/>
      <c r="G424" s="10"/>
      <c r="H424" s="10"/>
      <c r="I424" s="10"/>
      <c r="J424" s="10"/>
      <c r="K424" s="10"/>
      <c r="L424" s="10"/>
      <c r="M424" s="10"/>
      <c r="N424" s="10"/>
      <c r="O424" s="2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9.75" customHeight="1" x14ac:dyDescent="0.15">
      <c r="A425" s="10"/>
      <c r="B425" s="315"/>
      <c r="C425" s="10"/>
      <c r="D425" s="10"/>
      <c r="E425" s="10"/>
      <c r="F425" s="174"/>
      <c r="G425" s="10"/>
      <c r="H425" s="10"/>
      <c r="I425" s="10"/>
      <c r="J425" s="10"/>
      <c r="K425" s="10"/>
      <c r="L425" s="10"/>
      <c r="M425" s="10"/>
      <c r="N425" s="10"/>
      <c r="O425" s="2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9.75" customHeight="1" x14ac:dyDescent="0.15">
      <c r="A426" s="10"/>
      <c r="B426" s="315"/>
      <c r="C426" s="10"/>
      <c r="D426" s="10"/>
      <c r="E426" s="10"/>
      <c r="F426" s="174"/>
      <c r="G426" s="10"/>
      <c r="H426" s="10"/>
      <c r="I426" s="10"/>
      <c r="J426" s="10"/>
      <c r="K426" s="10"/>
      <c r="L426" s="10"/>
      <c r="M426" s="10"/>
      <c r="N426" s="10"/>
      <c r="O426" s="2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9.75" customHeight="1" x14ac:dyDescent="0.15">
      <c r="A427" s="10"/>
      <c r="B427" s="315"/>
      <c r="C427" s="10"/>
      <c r="D427" s="10"/>
      <c r="E427" s="10"/>
      <c r="F427" s="174"/>
      <c r="G427" s="10"/>
      <c r="H427" s="10"/>
      <c r="I427" s="10"/>
      <c r="J427" s="10"/>
      <c r="K427" s="10"/>
      <c r="L427" s="10"/>
      <c r="M427" s="10"/>
      <c r="N427" s="10"/>
      <c r="O427" s="2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9.75" customHeight="1" x14ac:dyDescent="0.15">
      <c r="A428" s="10"/>
      <c r="B428" s="315"/>
      <c r="C428" s="10"/>
      <c r="D428" s="10"/>
      <c r="E428" s="10"/>
      <c r="F428" s="174"/>
      <c r="G428" s="10"/>
      <c r="H428" s="10"/>
      <c r="I428" s="10"/>
      <c r="J428" s="10"/>
      <c r="K428" s="10"/>
      <c r="L428" s="10"/>
      <c r="M428" s="10"/>
      <c r="N428" s="10"/>
      <c r="O428" s="2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9.75" customHeight="1" x14ac:dyDescent="0.15">
      <c r="A429" s="10"/>
      <c r="B429" s="315"/>
      <c r="C429" s="10"/>
      <c r="D429" s="10"/>
      <c r="E429" s="10"/>
      <c r="F429" s="174"/>
      <c r="G429" s="10"/>
      <c r="H429" s="10"/>
      <c r="I429" s="10"/>
      <c r="J429" s="10"/>
      <c r="K429" s="10"/>
      <c r="L429" s="10"/>
      <c r="M429" s="10"/>
      <c r="N429" s="10"/>
      <c r="O429" s="2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9.75" customHeight="1" x14ac:dyDescent="0.15">
      <c r="A430" s="10"/>
      <c r="B430" s="315"/>
      <c r="C430" s="10"/>
      <c r="D430" s="10"/>
      <c r="E430" s="10"/>
      <c r="F430" s="174"/>
      <c r="G430" s="10"/>
      <c r="H430" s="10"/>
      <c r="I430" s="10"/>
      <c r="J430" s="10"/>
      <c r="K430" s="10"/>
      <c r="L430" s="10"/>
      <c r="M430" s="10"/>
      <c r="N430" s="10"/>
      <c r="O430" s="2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9.75" customHeight="1" x14ac:dyDescent="0.15">
      <c r="A431" s="10"/>
      <c r="B431" s="315"/>
      <c r="C431" s="10"/>
      <c r="D431" s="10"/>
      <c r="E431" s="10"/>
      <c r="F431" s="174"/>
      <c r="G431" s="10"/>
      <c r="H431" s="10"/>
      <c r="I431" s="10"/>
      <c r="J431" s="10"/>
      <c r="K431" s="10"/>
      <c r="L431" s="10"/>
      <c r="M431" s="10"/>
      <c r="N431" s="10"/>
      <c r="O431" s="2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9.75" customHeight="1" x14ac:dyDescent="0.15">
      <c r="A432" s="10"/>
      <c r="B432" s="315"/>
      <c r="C432" s="10"/>
      <c r="D432" s="10"/>
      <c r="E432" s="10"/>
      <c r="F432" s="174"/>
      <c r="G432" s="10"/>
      <c r="H432" s="10"/>
      <c r="I432" s="10"/>
      <c r="J432" s="10"/>
      <c r="K432" s="10"/>
      <c r="L432" s="10"/>
      <c r="M432" s="10"/>
      <c r="N432" s="10"/>
      <c r="O432" s="2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9.75" customHeight="1" x14ac:dyDescent="0.15">
      <c r="A433" s="10"/>
      <c r="B433" s="315"/>
      <c r="C433" s="10"/>
      <c r="D433" s="10"/>
      <c r="E433" s="10"/>
      <c r="F433" s="174"/>
      <c r="G433" s="10"/>
      <c r="H433" s="10"/>
      <c r="I433" s="10"/>
      <c r="J433" s="10"/>
      <c r="K433" s="10"/>
      <c r="L433" s="10"/>
      <c r="M433" s="10"/>
      <c r="N433" s="10"/>
      <c r="O433" s="2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9.75" customHeight="1" x14ac:dyDescent="0.15">
      <c r="A434" s="10"/>
      <c r="B434" s="315"/>
      <c r="C434" s="10"/>
      <c r="D434" s="10"/>
      <c r="E434" s="10"/>
      <c r="F434" s="174"/>
      <c r="G434" s="10"/>
      <c r="H434" s="10"/>
      <c r="I434" s="10"/>
      <c r="J434" s="10"/>
      <c r="K434" s="10"/>
      <c r="L434" s="10"/>
      <c r="M434" s="10"/>
      <c r="N434" s="10"/>
      <c r="O434" s="2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9.75" customHeight="1" x14ac:dyDescent="0.15">
      <c r="A435" s="10"/>
      <c r="B435" s="315"/>
      <c r="C435" s="10"/>
      <c r="D435" s="10"/>
      <c r="E435" s="10"/>
      <c r="F435" s="174"/>
      <c r="G435" s="10"/>
      <c r="H435" s="10"/>
      <c r="I435" s="10"/>
      <c r="J435" s="10"/>
      <c r="K435" s="10"/>
      <c r="L435" s="10"/>
      <c r="M435" s="10"/>
      <c r="N435" s="10"/>
      <c r="O435" s="2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9.75" customHeight="1" x14ac:dyDescent="0.15">
      <c r="A436" s="10"/>
      <c r="B436" s="315"/>
      <c r="C436" s="10"/>
      <c r="D436" s="10"/>
      <c r="E436" s="10"/>
      <c r="F436" s="174"/>
      <c r="G436" s="10"/>
      <c r="H436" s="10"/>
      <c r="I436" s="10"/>
      <c r="J436" s="10"/>
      <c r="K436" s="10"/>
      <c r="L436" s="10"/>
      <c r="M436" s="10"/>
      <c r="N436" s="10"/>
      <c r="O436" s="2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9.75" customHeight="1" x14ac:dyDescent="0.15">
      <c r="A437" s="10"/>
      <c r="B437" s="315"/>
      <c r="C437" s="10"/>
      <c r="D437" s="10"/>
      <c r="E437" s="10"/>
      <c r="F437" s="174"/>
      <c r="G437" s="10"/>
      <c r="H437" s="10"/>
      <c r="I437" s="10"/>
      <c r="J437" s="10"/>
      <c r="K437" s="10"/>
      <c r="L437" s="10"/>
      <c r="M437" s="10"/>
      <c r="N437" s="10"/>
      <c r="O437" s="2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9.75" customHeight="1" x14ac:dyDescent="0.15">
      <c r="A438" s="10"/>
      <c r="B438" s="315"/>
      <c r="C438" s="10"/>
      <c r="D438" s="10"/>
      <c r="E438" s="10"/>
      <c r="F438" s="174"/>
      <c r="G438" s="10"/>
      <c r="H438" s="10"/>
      <c r="I438" s="10"/>
      <c r="J438" s="10"/>
      <c r="K438" s="10"/>
      <c r="L438" s="10"/>
      <c r="M438" s="10"/>
      <c r="N438" s="10"/>
      <c r="O438" s="2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9.75" customHeight="1" x14ac:dyDescent="0.15">
      <c r="A439" s="10"/>
      <c r="B439" s="315"/>
      <c r="C439" s="10"/>
      <c r="D439" s="10"/>
      <c r="E439" s="10"/>
      <c r="F439" s="174"/>
      <c r="G439" s="10"/>
      <c r="H439" s="10"/>
      <c r="I439" s="10"/>
      <c r="J439" s="10"/>
      <c r="K439" s="10"/>
      <c r="L439" s="10"/>
      <c r="M439" s="10"/>
      <c r="N439" s="10"/>
      <c r="O439" s="2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9.75" customHeight="1" x14ac:dyDescent="0.15">
      <c r="A440" s="10"/>
      <c r="B440" s="315"/>
      <c r="C440" s="10"/>
      <c r="D440" s="10"/>
      <c r="E440" s="10"/>
      <c r="F440" s="174"/>
      <c r="G440" s="10"/>
      <c r="H440" s="10"/>
      <c r="I440" s="10"/>
      <c r="J440" s="10"/>
      <c r="K440" s="10"/>
      <c r="L440" s="10"/>
      <c r="M440" s="10"/>
      <c r="N440" s="10"/>
      <c r="O440" s="2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9.75" customHeight="1" x14ac:dyDescent="0.15">
      <c r="A441" s="10"/>
      <c r="B441" s="315"/>
      <c r="C441" s="10"/>
      <c r="D441" s="10"/>
      <c r="E441" s="10"/>
      <c r="F441" s="174"/>
      <c r="G441" s="10"/>
      <c r="H441" s="10"/>
      <c r="I441" s="10"/>
      <c r="J441" s="10"/>
      <c r="K441" s="10"/>
      <c r="L441" s="10"/>
      <c r="M441" s="10"/>
      <c r="N441" s="10"/>
      <c r="O441" s="2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5.75" customHeight="1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mergeCells count="4">
    <mergeCell ref="P2:Q2"/>
    <mergeCell ref="P3:Q3"/>
    <mergeCell ref="P240:Q240"/>
    <mergeCell ref="P241:Q241"/>
  </mergeCells>
  <dataValidations count="1">
    <dataValidation type="list" allowBlank="1" showErrorMessage="1" sqref="D9:N9" xr:uid="{00000000-0002-0000-0800-000000000000}">
      <formula1>"Q1,Q2,Q3,Q4"</formula1>
    </dataValidation>
  </dataValidations>
  <pageMargins left="0.7" right="0.7" top="0.75" bottom="0.75" header="0" footer="0"/>
  <pageSetup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ModelCover</vt:lpstr>
      <vt:lpstr>Balance Sheet</vt:lpstr>
      <vt:lpstr>Income Statement</vt:lpstr>
      <vt:lpstr>AFFO Calculation</vt:lpstr>
      <vt:lpstr>Cash Flow Statement</vt:lpstr>
      <vt:lpstr>Revenue Build</vt:lpstr>
      <vt:lpstr>CapEx + D&amp;A</vt:lpstr>
      <vt:lpstr>Δ NWC</vt:lpstr>
      <vt:lpstr>Comps Inputs</vt:lpstr>
      <vt:lpstr>Comparable Companies</vt:lpstr>
      <vt:lpstr>BETA &amp; DDM</vt:lpstr>
      <vt:lpstr>DCF</vt:lpstr>
      <vt:lpstr>WACC</vt:lpstr>
      <vt:lpstr>Diluted_shares</vt:lpstr>
      <vt:lpstr>'Comparable Companies'!WACC</vt:lpstr>
      <vt:lpstr>'Comps Inputs'!WACC</vt:lpstr>
      <vt:lpstr>WACC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 suny</dc:creator>
  <cp:lastModifiedBy>Microsoft Office User</cp:lastModifiedBy>
  <dcterms:created xsi:type="dcterms:W3CDTF">2016-04-18T16:54:52Z</dcterms:created>
  <dcterms:modified xsi:type="dcterms:W3CDTF">2021-11-14T23:14:30Z</dcterms:modified>
</cp:coreProperties>
</file>