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cb034cbd77fbe2f/BIF/"/>
    </mc:Choice>
  </mc:AlternateContent>
  <xr:revisionPtr revIDLastSave="0" documentId="8_{8362223D-26A8-48A0-8B90-EA73AE5B5872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Cover" sheetId="1" r:id="rId1"/>
    <sheet name="Income Statement" sheetId="3" r:id="rId2"/>
    <sheet name="Revenue Build" sheetId="10" r:id="rId3"/>
    <sheet name="Balance Sheet" sheetId="4" r:id="rId4"/>
    <sheet name="Cash Flow Statement" sheetId="5" r:id="rId5"/>
    <sheet name="CapEx + D&amp;A" sheetId="6" r:id="rId6"/>
    <sheet name="NWC" sheetId="17" r:id="rId7"/>
    <sheet name="Beta" sheetId="12" r:id="rId8"/>
    <sheet name="WACC" sheetId="14" r:id="rId9"/>
    <sheet name="Comps SOTP" sheetId="16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2" i="16" l="1"/>
  <c r="T22" i="16" l="1"/>
  <c r="M37" i="16"/>
  <c r="N37" i="16" s="1"/>
  <c r="H27" i="16" l="1"/>
  <c r="H28" i="16" s="1"/>
  <c r="H29" i="16" s="1"/>
  <c r="H30" i="16" s="1"/>
  <c r="H31" i="16" s="1"/>
  <c r="F27" i="16"/>
  <c r="F28" i="16" s="1"/>
  <c r="F29" i="16" s="1"/>
  <c r="F30" i="16" s="1"/>
  <c r="F31" i="16" s="1"/>
  <c r="E31" i="16"/>
  <c r="E27" i="16"/>
  <c r="E28" i="16" s="1"/>
  <c r="E29" i="16" s="1"/>
  <c r="E30" i="16" s="1"/>
  <c r="U7" i="3" l="1"/>
  <c r="T9" i="16"/>
  <c r="S9" i="16"/>
  <c r="R9" i="16"/>
  <c r="Q9" i="16"/>
  <c r="P9" i="16"/>
  <c r="O9" i="16"/>
  <c r="T19" i="16"/>
  <c r="S19" i="16"/>
  <c r="R19" i="16"/>
  <c r="Q19" i="16"/>
  <c r="P19" i="16"/>
  <c r="O19" i="16"/>
  <c r="K4" i="16"/>
  <c r="M4" i="16"/>
  <c r="I4" i="16"/>
  <c r="J4" i="16"/>
  <c r="E39" i="16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X25" i="17"/>
  <c r="Y25" i="17"/>
  <c r="AC25" i="17"/>
  <c r="AD25" i="17"/>
  <c r="AH25" i="17"/>
  <c r="AI25" i="17"/>
  <c r="AM25" i="17"/>
  <c r="AN25" i="17"/>
  <c r="AR25" i="17"/>
  <c r="AS25" i="17"/>
  <c r="D25" i="17"/>
  <c r="V16" i="17"/>
  <c r="W16" i="17"/>
  <c r="X16" i="17"/>
  <c r="Y16" i="17"/>
  <c r="Z16" i="17"/>
  <c r="AA16" i="17"/>
  <c r="AB16" i="17"/>
  <c r="AD16" i="17"/>
  <c r="AE16" i="17"/>
  <c r="AF16" i="17"/>
  <c r="AI16" i="17"/>
  <c r="AJ16" i="17"/>
  <c r="AN16" i="17"/>
  <c r="AS16" i="17" s="1"/>
  <c r="U16" i="17"/>
  <c r="AU5" i="17"/>
  <c r="AT5" i="17"/>
  <c r="AS5" i="17"/>
  <c r="AR5" i="17"/>
  <c r="AQ5" i="17"/>
  <c r="AP5" i="17"/>
  <c r="AO5" i="17"/>
  <c r="AN5" i="17"/>
  <c r="AM5" i="17"/>
  <c r="AL5" i="17"/>
  <c r="AK5" i="17"/>
  <c r="AJ5" i="17"/>
  <c r="AI5" i="17"/>
  <c r="AH5" i="17"/>
  <c r="AG5" i="17"/>
  <c r="AF5" i="17"/>
  <c r="AE5" i="17"/>
  <c r="AD5" i="17"/>
  <c r="AC5" i="17"/>
  <c r="AB5" i="17"/>
  <c r="AA5" i="17"/>
  <c r="Z5" i="17"/>
  <c r="Y5" i="17"/>
  <c r="X5" i="17"/>
  <c r="W5" i="17"/>
  <c r="U5" i="17"/>
  <c r="V5" i="17"/>
  <c r="V6" i="17"/>
  <c r="AA6" i="17" s="1"/>
  <c r="W6" i="17"/>
  <c r="X6" i="17"/>
  <c r="Y6" i="17"/>
  <c r="Z6" i="17"/>
  <c r="AE6" i="17" s="1"/>
  <c r="AB6" i="17"/>
  <c r="AC6" i="17"/>
  <c r="AD6" i="17"/>
  <c r="AI6" i="17" s="1"/>
  <c r="AG6" i="17"/>
  <c r="AH6" i="17"/>
  <c r="AM6" i="17" s="1"/>
  <c r="AL6" i="17"/>
  <c r="AQ6" i="17" s="1"/>
  <c r="U6" i="17"/>
  <c r="K6" i="17"/>
  <c r="AT20" i="17"/>
  <c r="AU19" i="17"/>
  <c r="AU20" i="17" s="1"/>
  <c r="AT19" i="17"/>
  <c r="AS19" i="17"/>
  <c r="AR19" i="17"/>
  <c r="AQ19" i="17"/>
  <c r="AQ20" i="17" s="1"/>
  <c r="AU18" i="17"/>
  <c r="AT18" i="17"/>
  <c r="AS18" i="17"/>
  <c r="AS20" i="17" s="1"/>
  <c r="AR18" i="17"/>
  <c r="AR20" i="17" s="1"/>
  <c r="AQ18" i="17"/>
  <c r="AS17" i="17"/>
  <c r="AR17" i="17"/>
  <c r="AQ17" i="17"/>
  <c r="AS10" i="17"/>
  <c r="AS8" i="17" s="1"/>
  <c r="AR10" i="17"/>
  <c r="AQ10" i="17"/>
  <c r="AU9" i="17"/>
  <c r="AT9" i="17"/>
  <c r="AS9" i="17"/>
  <c r="AR9" i="17"/>
  <c r="AQ9" i="17"/>
  <c r="AR8" i="17"/>
  <c r="AQ8" i="17"/>
  <c r="AU7" i="17"/>
  <c r="AT7" i="17"/>
  <c r="AS7" i="17"/>
  <c r="AR7" i="17"/>
  <c r="AQ7" i="17"/>
  <c r="AP19" i="17"/>
  <c r="AO19" i="17"/>
  <c r="AN19" i="17"/>
  <c r="AM19" i="17"/>
  <c r="AL19" i="17"/>
  <c r="AP18" i="17"/>
  <c r="AP20" i="17" s="1"/>
  <c r="AO18" i="17"/>
  <c r="AO20" i="17" s="1"/>
  <c r="AN18" i="17"/>
  <c r="AN20" i="17" s="1"/>
  <c r="AM18" i="17"/>
  <c r="AM20" i="17" s="1"/>
  <c r="AL18" i="17"/>
  <c r="AL20" i="17" s="1"/>
  <c r="AN17" i="17"/>
  <c r="AM17" i="17"/>
  <c r="AL17" i="17"/>
  <c r="AN15" i="17"/>
  <c r="AN22" i="17" s="1"/>
  <c r="AN10" i="17"/>
  <c r="AM10" i="17"/>
  <c r="AL10" i="17"/>
  <c r="AP9" i="17"/>
  <c r="AO9" i="17"/>
  <c r="AN9" i="17"/>
  <c r="AM9" i="17"/>
  <c r="AL9" i="17"/>
  <c r="AN8" i="17"/>
  <c r="AM8" i="17"/>
  <c r="AL8" i="17"/>
  <c r="AP7" i="17"/>
  <c r="AO7" i="17"/>
  <c r="AN7" i="17"/>
  <c r="AM7" i="17"/>
  <c r="AL7" i="17"/>
  <c r="AK19" i="17"/>
  <c r="AJ19" i="17"/>
  <c r="AI19" i="17"/>
  <c r="AH19" i="17"/>
  <c r="AG19" i="17"/>
  <c r="AK18" i="17"/>
  <c r="AK20" i="17" s="1"/>
  <c r="AJ18" i="17"/>
  <c r="AJ20" i="17" s="1"/>
  <c r="AI18" i="17"/>
  <c r="AI20" i="17" s="1"/>
  <c r="AH18" i="17"/>
  <c r="AH20" i="17" s="1"/>
  <c r="AG18" i="17"/>
  <c r="AG20" i="17" s="1"/>
  <c r="AI17" i="17"/>
  <c r="AH17" i="17"/>
  <c r="AG17" i="17"/>
  <c r="AI15" i="17"/>
  <c r="AI22" i="17" s="1"/>
  <c r="AI10" i="17"/>
  <c r="AH10" i="17"/>
  <c r="AG10" i="17"/>
  <c r="AK9" i="17"/>
  <c r="AJ9" i="17"/>
  <c r="AI9" i="17"/>
  <c r="AH9" i="17"/>
  <c r="AG9" i="17"/>
  <c r="AI8" i="17"/>
  <c r="AH8" i="17"/>
  <c r="AG8" i="17"/>
  <c r="AK7" i="17"/>
  <c r="AJ7" i="17"/>
  <c r="AI7" i="17"/>
  <c r="AH7" i="17"/>
  <c r="AG7" i="17"/>
  <c r="AF19" i="17"/>
  <c r="AE19" i="17"/>
  <c r="AD19" i="17"/>
  <c r="AC19" i="17"/>
  <c r="AB19" i="17"/>
  <c r="AF18" i="17"/>
  <c r="AF20" i="17" s="1"/>
  <c r="AE18" i="17"/>
  <c r="AE20" i="17" s="1"/>
  <c r="AD18" i="17"/>
  <c r="AD20" i="17" s="1"/>
  <c r="AC18" i="17"/>
  <c r="AC20" i="17" s="1"/>
  <c r="AB18" i="17"/>
  <c r="AB20" i="17" s="1"/>
  <c r="AD17" i="17"/>
  <c r="AC17" i="17"/>
  <c r="AB17" i="17"/>
  <c r="AD15" i="17"/>
  <c r="AD22" i="17" s="1"/>
  <c r="AB15" i="17"/>
  <c r="AB22" i="17" s="1"/>
  <c r="AD10" i="17"/>
  <c r="AC10" i="17"/>
  <c r="AB10" i="17"/>
  <c r="AF9" i="17"/>
  <c r="AE9" i="17"/>
  <c r="AD9" i="17"/>
  <c r="AC9" i="17"/>
  <c r="AB9" i="17"/>
  <c r="AD8" i="17"/>
  <c r="AC8" i="17"/>
  <c r="AB8" i="17"/>
  <c r="AF7" i="17"/>
  <c r="AE7" i="17"/>
  <c r="AD7" i="17"/>
  <c r="AC7" i="17"/>
  <c r="AB7" i="17"/>
  <c r="AD12" i="17"/>
  <c r="AD24" i="17" s="1"/>
  <c r="AC12" i="17"/>
  <c r="AB12" i="17"/>
  <c r="AA19" i="17"/>
  <c r="Z19" i="17"/>
  <c r="Y19" i="17"/>
  <c r="X19" i="17"/>
  <c r="W19" i="17"/>
  <c r="AA18" i="17"/>
  <c r="AA20" i="17" s="1"/>
  <c r="Z18" i="17"/>
  <c r="Z20" i="17" s="1"/>
  <c r="Y18" i="17"/>
  <c r="Y20" i="17" s="1"/>
  <c r="X18" i="17"/>
  <c r="X20" i="17" s="1"/>
  <c r="W18" i="17"/>
  <c r="W20" i="17" s="1"/>
  <c r="Y17" i="17"/>
  <c r="X17" i="17"/>
  <c r="W17" i="17"/>
  <c r="Y15" i="17"/>
  <c r="Y22" i="17" s="1"/>
  <c r="X15" i="17"/>
  <c r="X22" i="17" s="1"/>
  <c r="W15" i="17"/>
  <c r="W22" i="17" s="1"/>
  <c r="Y10" i="17"/>
  <c r="X10" i="17"/>
  <c r="W10" i="17"/>
  <c r="AA9" i="17"/>
  <c r="Z9" i="17"/>
  <c r="Y9" i="17"/>
  <c r="X9" i="17"/>
  <c r="W9" i="17"/>
  <c r="Y8" i="17"/>
  <c r="X8" i="17"/>
  <c r="W8" i="17"/>
  <c r="AA7" i="17"/>
  <c r="Z7" i="17"/>
  <c r="Y7" i="17"/>
  <c r="X7" i="17"/>
  <c r="W7" i="17"/>
  <c r="Y12" i="17"/>
  <c r="X12" i="17"/>
  <c r="W12" i="17"/>
  <c r="W24" i="17" s="1"/>
  <c r="V19" i="17"/>
  <c r="U19" i="17"/>
  <c r="V18" i="17"/>
  <c r="V20" i="17" s="1"/>
  <c r="U18" i="17"/>
  <c r="U20" i="17" s="1"/>
  <c r="V9" i="17"/>
  <c r="U9" i="17"/>
  <c r="V7" i="17"/>
  <c r="U7" i="17"/>
  <c r="D24" i="17"/>
  <c r="E24" i="17"/>
  <c r="F24" i="17"/>
  <c r="G24" i="17"/>
  <c r="H24" i="17"/>
  <c r="I24" i="17"/>
  <c r="J24" i="17"/>
  <c r="L24" i="17"/>
  <c r="M24" i="17"/>
  <c r="N24" i="17"/>
  <c r="O24" i="17"/>
  <c r="P24" i="17"/>
  <c r="Q24" i="17"/>
  <c r="R24" i="17"/>
  <c r="S24" i="17"/>
  <c r="T24" i="17"/>
  <c r="G12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C24" i="17"/>
  <c r="C22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C20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D15" i="17"/>
  <c r="E15" i="17"/>
  <c r="F15" i="17"/>
  <c r="C15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C18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C19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C17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C16" i="17"/>
  <c r="T8" i="17"/>
  <c r="S8" i="17"/>
  <c r="R8" i="17"/>
  <c r="Q8" i="17"/>
  <c r="P8" i="17"/>
  <c r="O8" i="17"/>
  <c r="O12" i="17" s="1"/>
  <c r="N8" i="17"/>
  <c r="M8" i="17"/>
  <c r="L8" i="17"/>
  <c r="K8" i="17"/>
  <c r="J8" i="17"/>
  <c r="I8" i="17"/>
  <c r="H8" i="17"/>
  <c r="G8" i="17"/>
  <c r="F8" i="17"/>
  <c r="E8" i="17"/>
  <c r="D8" i="17"/>
  <c r="C8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D5" i="17"/>
  <c r="E5" i="17"/>
  <c r="F5" i="17"/>
  <c r="C5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C10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C9" i="17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C7" i="17"/>
  <c r="D6" i="17"/>
  <c r="E6" i="17"/>
  <c r="F6" i="17"/>
  <c r="G6" i="17"/>
  <c r="H6" i="17"/>
  <c r="I6" i="17"/>
  <c r="J6" i="17"/>
  <c r="L6" i="17"/>
  <c r="M6" i="17"/>
  <c r="N6" i="17"/>
  <c r="O6" i="17"/>
  <c r="P6" i="17"/>
  <c r="Q6" i="17"/>
  <c r="R6" i="17"/>
  <c r="S6" i="17"/>
  <c r="T6" i="17"/>
  <c r="C6" i="17"/>
  <c r="G10" i="4"/>
  <c r="G16" i="4"/>
  <c r="G21" i="4" s="1"/>
  <c r="G23" i="4" s="1"/>
  <c r="G19" i="4"/>
  <c r="G34" i="4"/>
  <c r="G54" i="4" s="1"/>
  <c r="G44" i="4"/>
  <c r="G52" i="4"/>
  <c r="L10" i="4"/>
  <c r="L23" i="4" s="1"/>
  <c r="L16" i="4"/>
  <c r="L21" i="4"/>
  <c r="L34" i="4"/>
  <c r="L54" i="4" s="1"/>
  <c r="L44" i="4"/>
  <c r="L52" i="4"/>
  <c r="Q52" i="4"/>
  <c r="Q44" i="4"/>
  <c r="Q34" i="4"/>
  <c r="Q16" i="4"/>
  <c r="Q21" i="4" s="1"/>
  <c r="Q23" i="4" s="1"/>
  <c r="Q10" i="4"/>
  <c r="D47" i="16" l="1"/>
  <c r="D43" i="16"/>
  <c r="D46" i="16"/>
  <c r="D45" i="16"/>
  <c r="D44" i="16"/>
  <c r="AL16" i="17"/>
  <c r="AL15" i="17" s="1"/>
  <c r="AL22" i="17" s="1"/>
  <c r="AO16" i="17"/>
  <c r="AK16" i="17"/>
  <c r="AP16" i="17" s="1"/>
  <c r="AG16" i="17"/>
  <c r="AC16" i="17"/>
  <c r="AS15" i="17"/>
  <c r="AS22" i="17" s="1"/>
  <c r="AQ12" i="17"/>
  <c r="AG12" i="17"/>
  <c r="AK6" i="17"/>
  <c r="AR6" i="17"/>
  <c r="AN6" i="17"/>
  <c r="AS6" i="17" s="1"/>
  <c r="AJ6" i="17"/>
  <c r="AF6" i="17"/>
  <c r="AI12" i="17"/>
  <c r="AI24" i="17" s="1"/>
  <c r="AH12" i="17"/>
  <c r="AR12" i="17"/>
  <c r="AN12" i="17"/>
  <c r="AN24" i="17" s="1"/>
  <c r="AL12" i="17"/>
  <c r="AL24" i="17" s="1"/>
  <c r="AM12" i="17"/>
  <c r="AB24" i="17"/>
  <c r="X24" i="17"/>
  <c r="Y24" i="17"/>
  <c r="S12" i="17"/>
  <c r="Q54" i="4"/>
  <c r="Q12" i="17"/>
  <c r="M12" i="17"/>
  <c r="P12" i="17"/>
  <c r="L12" i="17"/>
  <c r="H12" i="17"/>
  <c r="K12" i="17"/>
  <c r="K24" i="17" s="1"/>
  <c r="D12" i="17"/>
  <c r="I12" i="17"/>
  <c r="E12" i="17"/>
  <c r="AQ16" i="17" l="1"/>
  <c r="AQ15" i="17" s="1"/>
  <c r="AQ22" i="17" s="1"/>
  <c r="AQ24" i="17" s="1"/>
  <c r="AG15" i="17"/>
  <c r="AG22" i="17" s="1"/>
  <c r="AG24" i="17" s="1"/>
  <c r="AT16" i="17"/>
  <c r="AC15" i="17"/>
  <c r="AC22" i="17" s="1"/>
  <c r="AC24" i="17" s="1"/>
  <c r="AU16" i="17"/>
  <c r="AH16" i="17"/>
  <c r="AM16" i="17" s="1"/>
  <c r="AM15" i="17" s="1"/>
  <c r="AM22" i="17" s="1"/>
  <c r="AM24" i="17" s="1"/>
  <c r="AP6" i="17"/>
  <c r="AU6" i="17" s="1"/>
  <c r="AO6" i="17"/>
  <c r="AT6" i="17" s="1"/>
  <c r="AS12" i="17"/>
  <c r="AS24" i="17" s="1"/>
  <c r="T12" i="17"/>
  <c r="F12" i="17"/>
  <c r="J12" i="17"/>
  <c r="N12" i="17"/>
  <c r="R12" i="17"/>
  <c r="AH15" i="17" l="1"/>
  <c r="AH22" i="17" s="1"/>
  <c r="AH24" i="17" s="1"/>
  <c r="AR16" i="17"/>
  <c r="AR15" i="17" s="1"/>
  <c r="AR22" i="17" s="1"/>
  <c r="AR24" i="17" s="1"/>
  <c r="T8" i="16" l="1"/>
  <c r="T12" i="16"/>
  <c r="T13" i="16"/>
  <c r="T14" i="16"/>
  <c r="T17" i="16"/>
  <c r="T18" i="16"/>
  <c r="S8" i="16"/>
  <c r="S12" i="16"/>
  <c r="S13" i="16"/>
  <c r="S14" i="16"/>
  <c r="S17" i="16"/>
  <c r="S18" i="16"/>
  <c r="R8" i="16"/>
  <c r="R12" i="16"/>
  <c r="R13" i="16"/>
  <c r="R14" i="16"/>
  <c r="R17" i="16"/>
  <c r="R18" i="16"/>
  <c r="Q8" i="16"/>
  <c r="Q12" i="16"/>
  <c r="Q13" i="16"/>
  <c r="Q14" i="16"/>
  <c r="Q17" i="16"/>
  <c r="Q18" i="16"/>
  <c r="P8" i="16"/>
  <c r="P12" i="16"/>
  <c r="P13" i="16"/>
  <c r="P14" i="16"/>
  <c r="P17" i="16"/>
  <c r="P18" i="16"/>
  <c r="O8" i="16"/>
  <c r="O12" i="16"/>
  <c r="O13" i="16"/>
  <c r="O14" i="16"/>
  <c r="O17" i="16"/>
  <c r="O18" i="16"/>
  <c r="H35" i="16"/>
  <c r="H36" i="16" s="1"/>
  <c r="H37" i="16" s="1"/>
  <c r="H38" i="16" s="1"/>
  <c r="H39" i="16" s="1"/>
  <c r="F35" i="16"/>
  <c r="F36" i="16" s="1"/>
  <c r="F37" i="16" s="1"/>
  <c r="F38" i="16" s="1"/>
  <c r="F39" i="16" s="1"/>
  <c r="E35" i="16"/>
  <c r="E36" i="16" s="1"/>
  <c r="E37" i="16" s="1"/>
  <c r="E38" i="16" s="1"/>
  <c r="T7" i="16"/>
  <c r="S7" i="16"/>
  <c r="R7" i="16"/>
  <c r="Q7" i="16"/>
  <c r="P7" i="16"/>
  <c r="O7" i="16"/>
  <c r="S4" i="16"/>
  <c r="Q4" i="16"/>
  <c r="P4" i="16"/>
  <c r="O4" i="16"/>
  <c r="W7" i="3"/>
  <c r="X7" i="3"/>
  <c r="Y7" i="3"/>
  <c r="Z7" i="3"/>
  <c r="AE7" i="3" s="1"/>
  <c r="AJ7" i="3" s="1"/>
  <c r="AB7" i="3"/>
  <c r="AC7" i="3"/>
  <c r="AD7" i="3"/>
  <c r="AG7" i="3"/>
  <c r="AQ7" i="3" s="1"/>
  <c r="AH7" i="3"/>
  <c r="AI7" i="3"/>
  <c r="AN7" i="3" s="1"/>
  <c r="AS7" i="3" s="1"/>
  <c r="AL7" i="3"/>
  <c r="AM7" i="3"/>
  <c r="AR7" i="3"/>
  <c r="U27" i="3"/>
  <c r="Z27" i="3"/>
  <c r="AE27" i="3"/>
  <c r="AJ27" i="3"/>
  <c r="AO27" i="3"/>
  <c r="AT27" i="3"/>
  <c r="U13" i="3"/>
  <c r="U21" i="3"/>
  <c r="AR27" i="3"/>
  <c r="AQ27" i="3"/>
  <c r="AM27" i="3"/>
  <c r="AL27" i="3"/>
  <c r="AH27" i="3"/>
  <c r="AG27" i="3"/>
  <c r="W27" i="3"/>
  <c r="X27" i="3"/>
  <c r="Y27" i="3"/>
  <c r="AC27" i="3"/>
  <c r="AB27" i="3"/>
  <c r="U16" i="10"/>
  <c r="Z16" i="10" s="1"/>
  <c r="U12" i="10"/>
  <c r="U13" i="10" s="1"/>
  <c r="U8" i="10"/>
  <c r="U9" i="10" s="1"/>
  <c r="U4" i="10"/>
  <c r="Z4" i="10" s="1"/>
  <c r="AE4" i="10" s="1"/>
  <c r="V8" i="10"/>
  <c r="V4" i="10"/>
  <c r="Y16" i="10"/>
  <c r="X16" i="10"/>
  <c r="W16" i="10"/>
  <c r="Y12" i="10"/>
  <c r="X12" i="10"/>
  <c r="W12" i="10"/>
  <c r="Y8" i="10"/>
  <c r="X8" i="10"/>
  <c r="W8" i="10"/>
  <c r="X4" i="10"/>
  <c r="AC4" i="10" s="1"/>
  <c r="Y4" i="10"/>
  <c r="AD4" i="10" s="1"/>
  <c r="P16" i="10"/>
  <c r="K16" i="10"/>
  <c r="F16" i="10"/>
  <c r="P12" i="10"/>
  <c r="K12" i="10"/>
  <c r="F12" i="10"/>
  <c r="C28" i="16" l="1"/>
  <c r="D28" i="16" s="1"/>
  <c r="C30" i="16"/>
  <c r="D30" i="16" s="1"/>
  <c r="C27" i="16"/>
  <c r="D27" i="16" s="1"/>
  <c r="G27" i="16" s="1"/>
  <c r="C29" i="16"/>
  <c r="D29" i="16" s="1"/>
  <c r="C44" i="16"/>
  <c r="E44" i="16" s="1"/>
  <c r="C47" i="16"/>
  <c r="E47" i="16" s="1"/>
  <c r="C43" i="16"/>
  <c r="E43" i="16" s="1"/>
  <c r="M40" i="16" s="1"/>
  <c r="C46" i="16"/>
  <c r="E46" i="16" s="1"/>
  <c r="C45" i="16"/>
  <c r="E45" i="16" s="1"/>
  <c r="M29" i="16" s="1"/>
  <c r="C39" i="16"/>
  <c r="C52" i="16"/>
  <c r="C55" i="16"/>
  <c r="C53" i="16"/>
  <c r="C51" i="16"/>
  <c r="P21" i="16"/>
  <c r="C35" i="16"/>
  <c r="C36" i="16"/>
  <c r="C37" i="16"/>
  <c r="C38" i="16"/>
  <c r="S21" i="16"/>
  <c r="T21" i="16"/>
  <c r="O21" i="16"/>
  <c r="Q21" i="16"/>
  <c r="C31" i="16" s="1"/>
  <c r="D31" i="16" s="1"/>
  <c r="R21" i="16"/>
  <c r="S30" i="16"/>
  <c r="S27" i="16"/>
  <c r="S28" i="16"/>
  <c r="S26" i="16"/>
  <c r="T26" i="16" s="1"/>
  <c r="S29" i="16"/>
  <c r="AO7" i="3"/>
  <c r="AT7" i="3" s="1"/>
  <c r="U17" i="10"/>
  <c r="Z12" i="10"/>
  <c r="Z13" i="10" s="1"/>
  <c r="U5" i="10"/>
  <c r="Y13" i="10"/>
  <c r="X17" i="10"/>
  <c r="W13" i="10"/>
  <c r="W17" i="10"/>
  <c r="Y17" i="10"/>
  <c r="X13" i="10"/>
  <c r="AB12" i="10"/>
  <c r="AG12" i="10" s="1"/>
  <c r="AL12" i="10" s="1"/>
  <c r="AQ12" i="10" s="1"/>
  <c r="AC12" i="10"/>
  <c r="AD12" i="10"/>
  <c r="AB16" i="10"/>
  <c r="AG16" i="10" s="1"/>
  <c r="AL16" i="10" s="1"/>
  <c r="AQ16" i="10" s="1"/>
  <c r="AC16" i="10"/>
  <c r="AD16" i="10"/>
  <c r="Z17" i="10"/>
  <c r="AE16" i="10"/>
  <c r="AE12" i="10"/>
  <c r="Z8" i="10"/>
  <c r="AA8" i="10" s="1"/>
  <c r="AA9" i="10" s="1"/>
  <c r="N40" i="16" l="1"/>
  <c r="C54" i="16"/>
  <c r="AB13" i="10"/>
  <c r="AB17" i="10"/>
  <c r="AI12" i="10"/>
  <c r="AD13" i="10"/>
  <c r="AC13" i="10"/>
  <c r="AH12" i="10"/>
  <c r="AD17" i="10"/>
  <c r="AI16" i="10"/>
  <c r="AC17" i="10"/>
  <c r="AH16" i="10"/>
  <c r="AG17" i="10"/>
  <c r="AJ16" i="10"/>
  <c r="AE17" i="10"/>
  <c r="AE13" i="10"/>
  <c r="AJ12" i="10"/>
  <c r="AG13" i="10"/>
  <c r="AM12" i="10" l="1"/>
  <c r="AH13" i="10"/>
  <c r="AI13" i="10"/>
  <c r="AN12" i="10"/>
  <c r="AI17" i="10"/>
  <c r="AN16" i="10"/>
  <c r="AH17" i="10"/>
  <c r="AM16" i="10"/>
  <c r="AJ17" i="10"/>
  <c r="AL17" i="10"/>
  <c r="AO16" i="10"/>
  <c r="AJ13" i="10"/>
  <c r="AO12" i="10"/>
  <c r="AL13" i="10"/>
  <c r="AS12" i="10" l="1"/>
  <c r="AN13" i="10"/>
  <c r="AR12" i="10"/>
  <c r="AR13" i="10" s="1"/>
  <c r="AM13" i="10"/>
  <c r="AM17" i="10"/>
  <c r="AR16" i="10"/>
  <c r="AR17" i="10" s="1"/>
  <c r="AN17" i="10"/>
  <c r="AS16" i="10"/>
  <c r="AT16" i="10"/>
  <c r="AQ17" i="10"/>
  <c r="AO17" i="10"/>
  <c r="AO13" i="10"/>
  <c r="AT12" i="10"/>
  <c r="AT13" i="10" s="1"/>
  <c r="AQ13" i="10"/>
  <c r="AS17" i="10" l="1"/>
  <c r="AS13" i="10"/>
  <c r="AT17" i="10"/>
  <c r="F5" i="14" l="1"/>
  <c r="C14" i="14"/>
  <c r="C13" i="14"/>
  <c r="C15" i="14" s="1"/>
  <c r="C17" i="14" s="1"/>
  <c r="F11" i="14"/>
  <c r="C3" i="14" s="1"/>
  <c r="C10" i="14"/>
  <c r="C7" i="14"/>
  <c r="C9" i="14" s="1"/>
  <c r="D4" i="12"/>
  <c r="F4" i="12"/>
  <c r="D5" i="12"/>
  <c r="F5" i="12"/>
  <c r="D6" i="12"/>
  <c r="F6" i="12"/>
  <c r="D7" i="12"/>
  <c r="F7" i="12"/>
  <c r="D8" i="12"/>
  <c r="F8" i="12"/>
  <c r="D9" i="12"/>
  <c r="F9" i="12"/>
  <c r="D10" i="12"/>
  <c r="F10" i="12"/>
  <c r="D11" i="12"/>
  <c r="F11" i="12"/>
  <c r="D12" i="12"/>
  <c r="F12" i="12"/>
  <c r="D13" i="12"/>
  <c r="F13" i="12"/>
  <c r="D14" i="12"/>
  <c r="F14" i="12"/>
  <c r="D15" i="12"/>
  <c r="F15" i="12"/>
  <c r="D16" i="12"/>
  <c r="F16" i="12"/>
  <c r="D17" i="12"/>
  <c r="F17" i="12"/>
  <c r="D18" i="12"/>
  <c r="F18" i="12"/>
  <c r="D19" i="12"/>
  <c r="F19" i="12"/>
  <c r="D20" i="12"/>
  <c r="F20" i="12"/>
  <c r="D21" i="12"/>
  <c r="F21" i="12"/>
  <c r="D22" i="12"/>
  <c r="F22" i="12"/>
  <c r="D23" i="12"/>
  <c r="F23" i="12"/>
  <c r="D24" i="12"/>
  <c r="F24" i="12"/>
  <c r="D25" i="12"/>
  <c r="F25" i="12"/>
  <c r="D26" i="12"/>
  <c r="F26" i="12"/>
  <c r="D27" i="12"/>
  <c r="F27" i="12"/>
  <c r="D28" i="12"/>
  <c r="F28" i="12"/>
  <c r="D29" i="12"/>
  <c r="F29" i="12"/>
  <c r="D30" i="12"/>
  <c r="F30" i="12"/>
  <c r="D31" i="12"/>
  <c r="F31" i="12"/>
  <c r="D32" i="12"/>
  <c r="F32" i="12"/>
  <c r="D33" i="12"/>
  <c r="F33" i="12"/>
  <c r="D34" i="12"/>
  <c r="F34" i="12"/>
  <c r="D35" i="12"/>
  <c r="F35" i="12"/>
  <c r="D36" i="12"/>
  <c r="F36" i="12"/>
  <c r="D37" i="12"/>
  <c r="F37" i="12"/>
  <c r="D38" i="12"/>
  <c r="F38" i="12"/>
  <c r="D39" i="12"/>
  <c r="F39" i="12"/>
  <c r="D40" i="12"/>
  <c r="F40" i="12"/>
  <c r="D41" i="12"/>
  <c r="F41" i="12"/>
  <c r="D42" i="12"/>
  <c r="F42" i="12"/>
  <c r="D43" i="12"/>
  <c r="F43" i="12"/>
  <c r="D44" i="12"/>
  <c r="F44" i="12"/>
  <c r="D45" i="12"/>
  <c r="F45" i="12"/>
  <c r="D46" i="12"/>
  <c r="F46" i="12"/>
  <c r="D47" i="12"/>
  <c r="F47" i="12"/>
  <c r="D48" i="12"/>
  <c r="F48" i="12"/>
  <c r="D49" i="12"/>
  <c r="F49" i="12"/>
  <c r="D50" i="12"/>
  <c r="F50" i="12"/>
  <c r="D51" i="12"/>
  <c r="F51" i="12"/>
  <c r="D52" i="12"/>
  <c r="F52" i="12"/>
  <c r="D53" i="12"/>
  <c r="F53" i="12"/>
  <c r="D54" i="12"/>
  <c r="F54" i="12"/>
  <c r="D55" i="12"/>
  <c r="F55" i="12"/>
  <c r="D56" i="12"/>
  <c r="F56" i="12"/>
  <c r="D57" i="12"/>
  <c r="F57" i="12"/>
  <c r="D58" i="12"/>
  <c r="F58" i="12"/>
  <c r="D59" i="12"/>
  <c r="F59" i="12"/>
  <c r="D60" i="12"/>
  <c r="F60" i="12"/>
  <c r="D61" i="12"/>
  <c r="F61" i="12"/>
  <c r="D62" i="12"/>
  <c r="F62" i="12"/>
  <c r="D63" i="12"/>
  <c r="F63" i="12"/>
  <c r="D64" i="12"/>
  <c r="F64" i="12"/>
  <c r="D65" i="12"/>
  <c r="F65" i="12"/>
  <c r="D66" i="12"/>
  <c r="F66" i="12"/>
  <c r="D67" i="12"/>
  <c r="F67" i="12"/>
  <c r="D68" i="12"/>
  <c r="F68" i="12"/>
  <c r="D69" i="12"/>
  <c r="F69" i="12"/>
  <c r="D70" i="12"/>
  <c r="F70" i="12"/>
  <c r="D71" i="12"/>
  <c r="F71" i="12"/>
  <c r="D72" i="12"/>
  <c r="F72" i="12"/>
  <c r="D73" i="12"/>
  <c r="F73" i="12"/>
  <c r="D74" i="12"/>
  <c r="F74" i="12"/>
  <c r="D75" i="12"/>
  <c r="F75" i="12"/>
  <c r="D76" i="12"/>
  <c r="F76" i="12"/>
  <c r="D77" i="12"/>
  <c r="F77" i="12"/>
  <c r="D78" i="12"/>
  <c r="F78" i="12"/>
  <c r="D79" i="12"/>
  <c r="F79" i="12"/>
  <c r="D80" i="12"/>
  <c r="F80" i="12"/>
  <c r="D81" i="12"/>
  <c r="F81" i="12"/>
  <c r="D82" i="12"/>
  <c r="F82" i="12"/>
  <c r="D83" i="12"/>
  <c r="F83" i="12"/>
  <c r="D84" i="12"/>
  <c r="F84" i="12"/>
  <c r="D85" i="12"/>
  <c r="F85" i="12"/>
  <c r="D86" i="12"/>
  <c r="F86" i="12"/>
  <c r="D87" i="12"/>
  <c r="F87" i="12"/>
  <c r="D88" i="12"/>
  <c r="F88" i="12"/>
  <c r="D89" i="12"/>
  <c r="F89" i="12"/>
  <c r="D90" i="12"/>
  <c r="F90" i="12"/>
  <c r="D91" i="12"/>
  <c r="F91" i="12"/>
  <c r="D92" i="12"/>
  <c r="F92" i="12"/>
  <c r="D93" i="12"/>
  <c r="F93" i="12"/>
  <c r="D94" i="12"/>
  <c r="F94" i="12"/>
  <c r="D95" i="12"/>
  <c r="F95" i="12"/>
  <c r="D96" i="12"/>
  <c r="F96" i="12"/>
  <c r="D97" i="12"/>
  <c r="F97" i="12"/>
  <c r="D98" i="12"/>
  <c r="F98" i="12"/>
  <c r="D99" i="12"/>
  <c r="F99" i="12"/>
  <c r="D100" i="12"/>
  <c r="F100" i="12"/>
  <c r="D101" i="12"/>
  <c r="F101" i="12"/>
  <c r="D102" i="12"/>
  <c r="F102" i="12"/>
  <c r="D103" i="12"/>
  <c r="F103" i="12"/>
  <c r="D104" i="12"/>
  <c r="F104" i="12"/>
  <c r="D105" i="12"/>
  <c r="F105" i="12"/>
  <c r="D106" i="12"/>
  <c r="F106" i="12"/>
  <c r="D107" i="12"/>
  <c r="F107" i="12"/>
  <c r="D108" i="12"/>
  <c r="F108" i="12"/>
  <c r="D109" i="12"/>
  <c r="F109" i="12"/>
  <c r="D110" i="12"/>
  <c r="F110" i="12"/>
  <c r="D111" i="12"/>
  <c r="F111" i="12"/>
  <c r="D112" i="12"/>
  <c r="F112" i="12"/>
  <c r="D113" i="12"/>
  <c r="F113" i="12"/>
  <c r="D114" i="12"/>
  <c r="F114" i="12"/>
  <c r="D115" i="12"/>
  <c r="F115" i="12"/>
  <c r="D116" i="12"/>
  <c r="F116" i="12"/>
  <c r="D117" i="12"/>
  <c r="F117" i="12"/>
  <c r="D118" i="12"/>
  <c r="F118" i="12"/>
  <c r="D119" i="12"/>
  <c r="F119" i="12"/>
  <c r="D120" i="12"/>
  <c r="F120" i="12"/>
  <c r="D121" i="12"/>
  <c r="F121" i="12"/>
  <c r="D122" i="12"/>
  <c r="F122" i="12"/>
  <c r="D123" i="12"/>
  <c r="F123" i="12"/>
  <c r="D124" i="12"/>
  <c r="F124" i="12"/>
  <c r="D125" i="12"/>
  <c r="F125" i="12"/>
  <c r="D126" i="12"/>
  <c r="F126" i="12"/>
  <c r="D127" i="12"/>
  <c r="F127" i="12"/>
  <c r="D128" i="12"/>
  <c r="F128" i="12"/>
  <c r="D129" i="12"/>
  <c r="F129" i="12"/>
  <c r="D130" i="12"/>
  <c r="F130" i="12"/>
  <c r="D131" i="12"/>
  <c r="F131" i="12"/>
  <c r="D132" i="12"/>
  <c r="F132" i="12"/>
  <c r="D133" i="12"/>
  <c r="F133" i="12"/>
  <c r="D134" i="12"/>
  <c r="F134" i="12"/>
  <c r="D135" i="12"/>
  <c r="F135" i="12"/>
  <c r="D136" i="12"/>
  <c r="F136" i="12"/>
  <c r="D137" i="12"/>
  <c r="F137" i="12"/>
  <c r="D138" i="12"/>
  <c r="F138" i="12"/>
  <c r="D139" i="12"/>
  <c r="F139" i="12"/>
  <c r="D140" i="12"/>
  <c r="F140" i="12"/>
  <c r="D141" i="12"/>
  <c r="F141" i="12"/>
  <c r="D142" i="12"/>
  <c r="F142" i="12"/>
  <c r="D143" i="12"/>
  <c r="F143" i="12"/>
  <c r="D144" i="12"/>
  <c r="F144" i="12"/>
  <c r="D145" i="12"/>
  <c r="F145" i="12"/>
  <c r="D146" i="12"/>
  <c r="F146" i="12"/>
  <c r="D147" i="12"/>
  <c r="F147" i="12"/>
  <c r="D148" i="12"/>
  <c r="F148" i="12"/>
  <c r="D149" i="12"/>
  <c r="F149" i="12"/>
  <c r="D150" i="12"/>
  <c r="F150" i="12"/>
  <c r="D151" i="12"/>
  <c r="F151" i="12"/>
  <c r="D152" i="12"/>
  <c r="F152" i="12"/>
  <c r="D153" i="12"/>
  <c r="F153" i="12"/>
  <c r="D154" i="12"/>
  <c r="F154" i="12"/>
  <c r="D155" i="12"/>
  <c r="F155" i="12"/>
  <c r="D156" i="12"/>
  <c r="F156" i="12"/>
  <c r="D157" i="12"/>
  <c r="F157" i="12"/>
  <c r="D158" i="12"/>
  <c r="F158" i="12"/>
  <c r="D159" i="12"/>
  <c r="F159" i="12"/>
  <c r="D160" i="12"/>
  <c r="F160" i="12"/>
  <c r="D161" i="12"/>
  <c r="F161" i="12"/>
  <c r="D162" i="12"/>
  <c r="F162" i="12"/>
  <c r="D163" i="12"/>
  <c r="F163" i="12"/>
  <c r="D164" i="12"/>
  <c r="F164" i="12"/>
  <c r="D165" i="12"/>
  <c r="F165" i="12"/>
  <c r="D166" i="12"/>
  <c r="F166" i="12"/>
  <c r="D167" i="12"/>
  <c r="F167" i="12"/>
  <c r="D168" i="12"/>
  <c r="F168" i="12"/>
  <c r="D169" i="12"/>
  <c r="F169" i="12"/>
  <c r="D170" i="12"/>
  <c r="F170" i="12"/>
  <c r="D171" i="12"/>
  <c r="F171" i="12"/>
  <c r="D172" i="12"/>
  <c r="F172" i="12"/>
  <c r="D173" i="12"/>
  <c r="F173" i="12"/>
  <c r="D174" i="12"/>
  <c r="F174" i="12"/>
  <c r="D175" i="12"/>
  <c r="F175" i="12"/>
  <c r="D176" i="12"/>
  <c r="F176" i="12"/>
  <c r="D177" i="12"/>
  <c r="F177" i="12"/>
  <c r="D178" i="12"/>
  <c r="F178" i="12"/>
  <c r="D179" i="12"/>
  <c r="F179" i="12"/>
  <c r="D180" i="12"/>
  <c r="F180" i="12"/>
  <c r="D181" i="12"/>
  <c r="F181" i="12"/>
  <c r="D182" i="12"/>
  <c r="F182" i="12"/>
  <c r="D183" i="12"/>
  <c r="F183" i="12"/>
  <c r="D184" i="12"/>
  <c r="F184" i="12"/>
  <c r="D185" i="12"/>
  <c r="F185" i="12"/>
  <c r="D186" i="12"/>
  <c r="F186" i="12"/>
  <c r="D187" i="12"/>
  <c r="F187" i="12"/>
  <c r="D188" i="12"/>
  <c r="F188" i="12"/>
  <c r="D189" i="12"/>
  <c r="F189" i="12"/>
  <c r="D190" i="12"/>
  <c r="F190" i="12"/>
  <c r="D191" i="12"/>
  <c r="F191" i="12"/>
  <c r="D192" i="12"/>
  <c r="F192" i="12"/>
  <c r="D193" i="12"/>
  <c r="F193" i="12"/>
  <c r="D194" i="12"/>
  <c r="F194" i="12"/>
  <c r="D195" i="12"/>
  <c r="F195" i="12"/>
  <c r="D196" i="12"/>
  <c r="F196" i="12"/>
  <c r="D197" i="12"/>
  <c r="F197" i="12"/>
  <c r="D198" i="12"/>
  <c r="F198" i="12"/>
  <c r="D199" i="12"/>
  <c r="F199" i="12"/>
  <c r="D200" i="12"/>
  <c r="F200" i="12"/>
  <c r="D201" i="12"/>
  <c r="F201" i="12"/>
  <c r="D202" i="12"/>
  <c r="F202" i="12"/>
  <c r="D203" i="12"/>
  <c r="F203" i="12"/>
  <c r="D204" i="12"/>
  <c r="F204" i="12"/>
  <c r="D205" i="12"/>
  <c r="F205" i="12"/>
  <c r="D206" i="12"/>
  <c r="F206" i="12"/>
  <c r="D207" i="12"/>
  <c r="F207" i="12"/>
  <c r="D208" i="12"/>
  <c r="F208" i="12"/>
  <c r="D209" i="12"/>
  <c r="F209" i="12"/>
  <c r="D210" i="12"/>
  <c r="F210" i="12"/>
  <c r="D211" i="12"/>
  <c r="F211" i="12"/>
  <c r="D212" i="12"/>
  <c r="F212" i="12"/>
  <c r="D213" i="12"/>
  <c r="F213" i="12"/>
  <c r="D214" i="12"/>
  <c r="F214" i="12"/>
  <c r="D215" i="12"/>
  <c r="F215" i="12"/>
  <c r="D216" i="12"/>
  <c r="F216" i="12"/>
  <c r="D217" i="12"/>
  <c r="F217" i="12"/>
  <c r="D218" i="12"/>
  <c r="F218" i="12"/>
  <c r="D219" i="12"/>
  <c r="F219" i="12"/>
  <c r="D220" i="12"/>
  <c r="F220" i="12"/>
  <c r="D221" i="12"/>
  <c r="F221" i="12"/>
  <c r="D222" i="12"/>
  <c r="F222" i="12"/>
  <c r="D223" i="12"/>
  <c r="F223" i="12"/>
  <c r="D224" i="12"/>
  <c r="F224" i="12"/>
  <c r="D225" i="12"/>
  <c r="F225" i="12"/>
  <c r="D226" i="12"/>
  <c r="F226" i="12"/>
  <c r="D227" i="12"/>
  <c r="F227" i="12"/>
  <c r="D228" i="12"/>
  <c r="F228" i="12"/>
  <c r="D229" i="12"/>
  <c r="F229" i="12"/>
  <c r="D230" i="12"/>
  <c r="F230" i="12"/>
  <c r="D231" i="12"/>
  <c r="F231" i="12"/>
  <c r="D232" i="12"/>
  <c r="F232" i="12"/>
  <c r="D233" i="12"/>
  <c r="F233" i="12"/>
  <c r="D234" i="12"/>
  <c r="F234" i="12"/>
  <c r="D235" i="12"/>
  <c r="F235" i="12"/>
  <c r="D236" i="12"/>
  <c r="F236" i="12"/>
  <c r="D237" i="12"/>
  <c r="F237" i="12"/>
  <c r="D238" i="12"/>
  <c r="F238" i="12"/>
  <c r="D239" i="12"/>
  <c r="F239" i="12"/>
  <c r="D240" i="12"/>
  <c r="F240" i="12"/>
  <c r="D241" i="12"/>
  <c r="F241" i="12"/>
  <c r="D242" i="12"/>
  <c r="F242" i="12"/>
  <c r="D243" i="12"/>
  <c r="F243" i="12"/>
  <c r="D244" i="12"/>
  <c r="F244" i="12"/>
  <c r="D245" i="12"/>
  <c r="F245" i="12"/>
  <c r="D246" i="12"/>
  <c r="F246" i="12"/>
  <c r="D247" i="12"/>
  <c r="F247" i="12"/>
  <c r="D248" i="12"/>
  <c r="F248" i="12"/>
  <c r="D249" i="12"/>
  <c r="F249" i="12"/>
  <c r="D250" i="12"/>
  <c r="F250" i="12"/>
  <c r="D251" i="12"/>
  <c r="F251" i="12"/>
  <c r="D252" i="12"/>
  <c r="F252" i="12"/>
  <c r="D253" i="12"/>
  <c r="F253" i="12"/>
  <c r="D254" i="12"/>
  <c r="F254" i="12"/>
  <c r="D255" i="12"/>
  <c r="F255" i="12"/>
  <c r="D256" i="12"/>
  <c r="F256" i="12"/>
  <c r="D257" i="12"/>
  <c r="F257" i="12"/>
  <c r="D258" i="12"/>
  <c r="F258" i="12"/>
  <c r="D259" i="12"/>
  <c r="F259" i="12"/>
  <c r="D260" i="12"/>
  <c r="F260" i="12"/>
  <c r="D261" i="12"/>
  <c r="F261" i="12"/>
  <c r="D262" i="12"/>
  <c r="F262" i="12"/>
  <c r="D263" i="12"/>
  <c r="F263" i="12"/>
  <c r="D264" i="12"/>
  <c r="F264" i="12"/>
  <c r="D265" i="12"/>
  <c r="F265" i="12"/>
  <c r="D266" i="12"/>
  <c r="F266" i="12"/>
  <c r="D267" i="12"/>
  <c r="F267" i="12"/>
  <c r="D268" i="12"/>
  <c r="F268" i="12"/>
  <c r="D269" i="12"/>
  <c r="F269" i="12"/>
  <c r="D270" i="12"/>
  <c r="F270" i="12"/>
  <c r="D271" i="12"/>
  <c r="F271" i="12"/>
  <c r="D272" i="12"/>
  <c r="F272" i="12"/>
  <c r="D273" i="12"/>
  <c r="F273" i="12"/>
  <c r="D274" i="12"/>
  <c r="F274" i="12"/>
  <c r="D275" i="12"/>
  <c r="F275" i="12"/>
  <c r="D276" i="12"/>
  <c r="F276" i="12"/>
  <c r="D277" i="12"/>
  <c r="F277" i="12"/>
  <c r="D278" i="12"/>
  <c r="F278" i="12"/>
  <c r="D279" i="12"/>
  <c r="F279" i="12"/>
  <c r="D280" i="12"/>
  <c r="F280" i="12"/>
  <c r="D281" i="12"/>
  <c r="F281" i="12"/>
  <c r="D282" i="12"/>
  <c r="F282" i="12"/>
  <c r="D283" i="12"/>
  <c r="F283" i="12"/>
  <c r="D284" i="12"/>
  <c r="F284" i="12"/>
  <c r="D285" i="12"/>
  <c r="F285" i="12"/>
  <c r="D286" i="12"/>
  <c r="F286" i="12"/>
  <c r="D287" i="12"/>
  <c r="F287" i="12"/>
  <c r="D288" i="12"/>
  <c r="F288" i="12"/>
  <c r="D289" i="12"/>
  <c r="F289" i="12"/>
  <c r="D290" i="12"/>
  <c r="F290" i="12"/>
  <c r="D291" i="12"/>
  <c r="F291" i="12"/>
  <c r="D292" i="12"/>
  <c r="F292" i="12"/>
  <c r="D293" i="12"/>
  <c r="F293" i="12"/>
  <c r="D294" i="12"/>
  <c r="F294" i="12"/>
  <c r="D295" i="12"/>
  <c r="F295" i="12"/>
  <c r="D296" i="12"/>
  <c r="F296" i="12"/>
  <c r="D297" i="12"/>
  <c r="F297" i="12"/>
  <c r="D298" i="12"/>
  <c r="F298" i="12"/>
  <c r="D299" i="12"/>
  <c r="F299" i="12"/>
  <c r="D300" i="12"/>
  <c r="F300" i="12"/>
  <c r="D301" i="12"/>
  <c r="F301" i="12"/>
  <c r="D302" i="12"/>
  <c r="F302" i="12"/>
  <c r="D303" i="12"/>
  <c r="F303" i="12"/>
  <c r="D304" i="12"/>
  <c r="F304" i="12"/>
  <c r="D305" i="12"/>
  <c r="F305" i="12"/>
  <c r="D306" i="12"/>
  <c r="F306" i="12"/>
  <c r="D307" i="12"/>
  <c r="F307" i="12"/>
  <c r="D308" i="12"/>
  <c r="F308" i="12"/>
  <c r="D309" i="12"/>
  <c r="F309" i="12"/>
  <c r="D310" i="12"/>
  <c r="F310" i="12"/>
  <c r="D311" i="12"/>
  <c r="F311" i="12"/>
  <c r="D312" i="12"/>
  <c r="F312" i="12"/>
  <c r="D313" i="12"/>
  <c r="F313" i="12"/>
  <c r="D314" i="12"/>
  <c r="F314" i="12"/>
  <c r="D315" i="12"/>
  <c r="F315" i="12"/>
  <c r="D316" i="12"/>
  <c r="F316" i="12"/>
  <c r="D317" i="12"/>
  <c r="F317" i="12"/>
  <c r="D318" i="12"/>
  <c r="F318" i="12"/>
  <c r="D319" i="12"/>
  <c r="F319" i="12"/>
  <c r="D320" i="12"/>
  <c r="F320" i="12"/>
  <c r="D321" i="12"/>
  <c r="F321" i="12"/>
  <c r="D322" i="12"/>
  <c r="F322" i="12"/>
  <c r="D323" i="12"/>
  <c r="F323" i="12"/>
  <c r="D324" i="12"/>
  <c r="F324" i="12"/>
  <c r="D325" i="12"/>
  <c r="F325" i="12"/>
  <c r="D326" i="12"/>
  <c r="F326" i="12"/>
  <c r="D327" i="12"/>
  <c r="F327" i="12"/>
  <c r="D328" i="12"/>
  <c r="F328" i="12"/>
  <c r="D329" i="12"/>
  <c r="F329" i="12"/>
  <c r="D330" i="12"/>
  <c r="F330" i="12"/>
  <c r="D331" i="12"/>
  <c r="F331" i="12"/>
  <c r="D332" i="12"/>
  <c r="F332" i="12"/>
  <c r="D333" i="12"/>
  <c r="F333" i="12"/>
  <c r="D334" i="12"/>
  <c r="F334" i="12"/>
  <c r="D335" i="12"/>
  <c r="F335" i="12"/>
  <c r="D336" i="12"/>
  <c r="F336" i="12"/>
  <c r="D337" i="12"/>
  <c r="F337" i="12"/>
  <c r="D338" i="12"/>
  <c r="F338" i="12"/>
  <c r="D339" i="12"/>
  <c r="F339" i="12"/>
  <c r="D340" i="12"/>
  <c r="F340" i="12"/>
  <c r="D341" i="12"/>
  <c r="F341" i="12"/>
  <c r="D342" i="12"/>
  <c r="F342" i="12"/>
  <c r="D343" i="12"/>
  <c r="F343" i="12"/>
  <c r="D344" i="12"/>
  <c r="F344" i="12"/>
  <c r="D345" i="12"/>
  <c r="F345" i="12"/>
  <c r="D346" i="12"/>
  <c r="F346" i="12"/>
  <c r="D347" i="12"/>
  <c r="F347" i="12"/>
  <c r="D348" i="12"/>
  <c r="F348" i="12"/>
  <c r="D349" i="12"/>
  <c r="F349" i="12"/>
  <c r="D350" i="12"/>
  <c r="F350" i="12"/>
  <c r="D351" i="12"/>
  <c r="F351" i="12"/>
  <c r="D352" i="12"/>
  <c r="F352" i="12"/>
  <c r="D353" i="12"/>
  <c r="F353" i="12"/>
  <c r="D354" i="12"/>
  <c r="F354" i="12"/>
  <c r="D355" i="12"/>
  <c r="F355" i="12"/>
  <c r="D356" i="12"/>
  <c r="F356" i="12"/>
  <c r="D357" i="12"/>
  <c r="F357" i="12"/>
  <c r="D358" i="12"/>
  <c r="F358" i="12"/>
  <c r="D359" i="12"/>
  <c r="F359" i="12"/>
  <c r="D360" i="12"/>
  <c r="F360" i="12"/>
  <c r="D361" i="12"/>
  <c r="F361" i="12"/>
  <c r="D362" i="12"/>
  <c r="F362" i="12"/>
  <c r="D363" i="12"/>
  <c r="F363" i="12"/>
  <c r="D364" i="12"/>
  <c r="F364" i="12"/>
  <c r="D365" i="12"/>
  <c r="F365" i="12"/>
  <c r="D366" i="12"/>
  <c r="F366" i="12"/>
  <c r="D367" i="12"/>
  <c r="F367" i="12"/>
  <c r="D368" i="12"/>
  <c r="F368" i="12"/>
  <c r="D369" i="12"/>
  <c r="F369" i="12"/>
  <c r="D370" i="12"/>
  <c r="F370" i="12"/>
  <c r="D371" i="12"/>
  <c r="F371" i="12"/>
  <c r="D372" i="12"/>
  <c r="F372" i="12"/>
  <c r="D373" i="12"/>
  <c r="F373" i="12"/>
  <c r="D374" i="12"/>
  <c r="F374" i="12"/>
  <c r="D375" i="12"/>
  <c r="F375" i="12"/>
  <c r="D376" i="12"/>
  <c r="F376" i="12"/>
  <c r="D377" i="12"/>
  <c r="F377" i="12"/>
  <c r="D378" i="12"/>
  <c r="F378" i="12"/>
  <c r="D379" i="12"/>
  <c r="F379" i="12"/>
  <c r="D380" i="12"/>
  <c r="F380" i="12"/>
  <c r="D381" i="12"/>
  <c r="F381" i="12"/>
  <c r="D382" i="12"/>
  <c r="F382" i="12"/>
  <c r="D383" i="12"/>
  <c r="F383" i="12"/>
  <c r="D384" i="12"/>
  <c r="F384" i="12"/>
  <c r="D385" i="12"/>
  <c r="F385" i="12"/>
  <c r="D386" i="12"/>
  <c r="F386" i="12"/>
  <c r="D387" i="12"/>
  <c r="F387" i="12"/>
  <c r="D388" i="12"/>
  <c r="F388" i="12"/>
  <c r="D389" i="12"/>
  <c r="F389" i="12"/>
  <c r="D390" i="12"/>
  <c r="F390" i="12"/>
  <c r="D391" i="12"/>
  <c r="F391" i="12"/>
  <c r="D392" i="12"/>
  <c r="F392" i="12"/>
  <c r="D393" i="12"/>
  <c r="F393" i="12"/>
  <c r="D394" i="12"/>
  <c r="F394" i="12"/>
  <c r="D395" i="12"/>
  <c r="F395" i="12"/>
  <c r="D396" i="12"/>
  <c r="F396" i="12"/>
  <c r="D397" i="12"/>
  <c r="F397" i="12"/>
  <c r="D398" i="12"/>
  <c r="F398" i="12"/>
  <c r="D399" i="12"/>
  <c r="F399" i="12"/>
  <c r="D400" i="12"/>
  <c r="F400" i="12"/>
  <c r="D401" i="12"/>
  <c r="F401" i="12"/>
  <c r="D402" i="12"/>
  <c r="F402" i="12"/>
  <c r="D403" i="12"/>
  <c r="F403" i="12"/>
  <c r="D404" i="12"/>
  <c r="F404" i="12"/>
  <c r="D405" i="12"/>
  <c r="F405" i="12"/>
  <c r="D406" i="12"/>
  <c r="F406" i="12"/>
  <c r="D407" i="12"/>
  <c r="F407" i="12"/>
  <c r="D408" i="12"/>
  <c r="F408" i="12"/>
  <c r="D409" i="12"/>
  <c r="F409" i="12"/>
  <c r="D410" i="12"/>
  <c r="F410" i="12"/>
  <c r="D411" i="12"/>
  <c r="F411" i="12"/>
  <c r="D412" i="12"/>
  <c r="F412" i="12"/>
  <c r="D413" i="12"/>
  <c r="F413" i="12"/>
  <c r="D414" i="12"/>
  <c r="F414" i="12"/>
  <c r="D415" i="12"/>
  <c r="F415" i="12"/>
  <c r="D416" i="12"/>
  <c r="F416" i="12"/>
  <c r="D417" i="12"/>
  <c r="F417" i="12"/>
  <c r="D418" i="12"/>
  <c r="F418" i="12"/>
  <c r="D419" i="12"/>
  <c r="F419" i="12"/>
  <c r="D420" i="12"/>
  <c r="F420" i="12"/>
  <c r="D421" i="12"/>
  <c r="F421" i="12"/>
  <c r="D422" i="12"/>
  <c r="F422" i="12"/>
  <c r="D423" i="12"/>
  <c r="F423" i="12"/>
  <c r="D424" i="12"/>
  <c r="F424" i="12"/>
  <c r="D425" i="12"/>
  <c r="F425" i="12"/>
  <c r="D426" i="12"/>
  <c r="F426" i="12"/>
  <c r="D427" i="12"/>
  <c r="F427" i="12"/>
  <c r="D428" i="12"/>
  <c r="F428" i="12"/>
  <c r="D429" i="12"/>
  <c r="F429" i="12"/>
  <c r="D430" i="12"/>
  <c r="F430" i="12"/>
  <c r="D431" i="12"/>
  <c r="F431" i="12"/>
  <c r="D432" i="12"/>
  <c r="F432" i="12"/>
  <c r="D433" i="12"/>
  <c r="F433" i="12"/>
  <c r="D434" i="12"/>
  <c r="F434" i="12"/>
  <c r="D435" i="12"/>
  <c r="F435" i="12"/>
  <c r="D436" i="12"/>
  <c r="F436" i="12"/>
  <c r="D437" i="12"/>
  <c r="F437" i="12"/>
  <c r="D438" i="12"/>
  <c r="F438" i="12"/>
  <c r="D439" i="12"/>
  <c r="F439" i="12"/>
  <c r="D440" i="12"/>
  <c r="F440" i="12"/>
  <c r="D441" i="12"/>
  <c r="F441" i="12"/>
  <c r="D442" i="12"/>
  <c r="F442" i="12"/>
  <c r="D443" i="12"/>
  <c r="F443" i="12"/>
  <c r="D444" i="12"/>
  <c r="F444" i="12"/>
  <c r="D445" i="12"/>
  <c r="F445" i="12"/>
  <c r="D446" i="12"/>
  <c r="F446" i="12"/>
  <c r="D447" i="12"/>
  <c r="F447" i="12"/>
  <c r="D448" i="12"/>
  <c r="F448" i="12"/>
  <c r="D449" i="12"/>
  <c r="F449" i="12"/>
  <c r="D450" i="12"/>
  <c r="F450" i="12"/>
  <c r="D451" i="12"/>
  <c r="F451" i="12"/>
  <c r="D452" i="12"/>
  <c r="F452" i="12"/>
  <c r="D453" i="12"/>
  <c r="F453" i="12"/>
  <c r="D454" i="12"/>
  <c r="F454" i="12"/>
  <c r="D455" i="12"/>
  <c r="F455" i="12"/>
  <c r="D456" i="12"/>
  <c r="F456" i="12"/>
  <c r="D457" i="12"/>
  <c r="F457" i="12"/>
  <c r="D458" i="12"/>
  <c r="F458" i="12"/>
  <c r="D459" i="12"/>
  <c r="F459" i="12"/>
  <c r="D460" i="12"/>
  <c r="F460" i="12"/>
  <c r="D461" i="12"/>
  <c r="F461" i="12"/>
  <c r="D462" i="12"/>
  <c r="F462" i="12"/>
  <c r="D463" i="12"/>
  <c r="F463" i="12"/>
  <c r="D464" i="12"/>
  <c r="F464" i="12"/>
  <c r="D465" i="12"/>
  <c r="F465" i="12"/>
  <c r="D466" i="12"/>
  <c r="F466" i="12"/>
  <c r="D467" i="12"/>
  <c r="F467" i="12"/>
  <c r="D468" i="12"/>
  <c r="F468" i="12"/>
  <c r="D469" i="12"/>
  <c r="F469" i="12"/>
  <c r="D470" i="12"/>
  <c r="F470" i="12"/>
  <c r="D471" i="12"/>
  <c r="F471" i="12"/>
  <c r="D472" i="12"/>
  <c r="F472" i="12"/>
  <c r="D473" i="12"/>
  <c r="F473" i="12"/>
  <c r="D474" i="12"/>
  <c r="F474" i="12"/>
  <c r="D475" i="12"/>
  <c r="F475" i="12"/>
  <c r="D476" i="12"/>
  <c r="F476" i="12"/>
  <c r="D477" i="12"/>
  <c r="F477" i="12"/>
  <c r="D478" i="12"/>
  <c r="F478" i="12"/>
  <c r="D479" i="12"/>
  <c r="F479" i="12"/>
  <c r="D480" i="12"/>
  <c r="F480" i="12"/>
  <c r="D481" i="12"/>
  <c r="F481" i="12"/>
  <c r="D482" i="12"/>
  <c r="F482" i="12"/>
  <c r="D483" i="12"/>
  <c r="F483" i="12"/>
  <c r="D484" i="12"/>
  <c r="F484" i="12"/>
  <c r="D485" i="12"/>
  <c r="F485" i="12"/>
  <c r="D486" i="12"/>
  <c r="F486" i="12"/>
  <c r="D487" i="12"/>
  <c r="F487" i="12"/>
  <c r="D488" i="12"/>
  <c r="F488" i="12"/>
  <c r="D489" i="12"/>
  <c r="F489" i="12"/>
  <c r="D490" i="12"/>
  <c r="F490" i="12"/>
  <c r="D491" i="12"/>
  <c r="F491" i="12"/>
  <c r="D492" i="12"/>
  <c r="F492" i="12"/>
  <c r="D493" i="12"/>
  <c r="F493" i="12"/>
  <c r="D494" i="12"/>
  <c r="F494" i="12"/>
  <c r="D495" i="12"/>
  <c r="F495" i="12"/>
  <c r="D496" i="12"/>
  <c r="F496" i="12"/>
  <c r="D497" i="12"/>
  <c r="F497" i="12"/>
  <c r="D498" i="12"/>
  <c r="F498" i="12"/>
  <c r="D499" i="12"/>
  <c r="F499" i="12"/>
  <c r="D500" i="12"/>
  <c r="F500" i="12"/>
  <c r="D501" i="12"/>
  <c r="F501" i="12"/>
  <c r="D502" i="12"/>
  <c r="F502" i="12"/>
  <c r="D503" i="12"/>
  <c r="F503" i="12"/>
  <c r="D504" i="12"/>
  <c r="F504" i="12"/>
  <c r="D505" i="12"/>
  <c r="F505" i="12"/>
  <c r="D506" i="12"/>
  <c r="F506" i="12"/>
  <c r="D507" i="12"/>
  <c r="F507" i="12"/>
  <c r="D508" i="12"/>
  <c r="F508" i="12"/>
  <c r="D509" i="12"/>
  <c r="F509" i="12"/>
  <c r="D510" i="12"/>
  <c r="F510" i="12"/>
  <c r="D511" i="12"/>
  <c r="F511" i="12"/>
  <c r="D512" i="12"/>
  <c r="F512" i="12"/>
  <c r="D513" i="12"/>
  <c r="F513" i="12"/>
  <c r="D514" i="12"/>
  <c r="F514" i="12"/>
  <c r="D515" i="12"/>
  <c r="F515" i="12"/>
  <c r="D516" i="12"/>
  <c r="F516" i="12"/>
  <c r="D517" i="12"/>
  <c r="F517" i="12"/>
  <c r="D518" i="12"/>
  <c r="F518" i="12"/>
  <c r="D519" i="12"/>
  <c r="F519" i="12"/>
  <c r="D520" i="12"/>
  <c r="F520" i="12"/>
  <c r="D521" i="12"/>
  <c r="F521" i="12"/>
  <c r="D522" i="12"/>
  <c r="F522" i="12"/>
  <c r="D523" i="12"/>
  <c r="F523" i="12"/>
  <c r="D524" i="12"/>
  <c r="F524" i="12"/>
  <c r="D525" i="12"/>
  <c r="F525" i="12"/>
  <c r="D526" i="12"/>
  <c r="F526" i="12"/>
  <c r="D527" i="12"/>
  <c r="F527" i="12"/>
  <c r="D528" i="12"/>
  <c r="F528" i="12"/>
  <c r="D529" i="12"/>
  <c r="F529" i="12"/>
  <c r="D530" i="12"/>
  <c r="F530" i="12"/>
  <c r="D531" i="12"/>
  <c r="F531" i="12"/>
  <c r="D532" i="12"/>
  <c r="F532" i="12"/>
  <c r="D533" i="12"/>
  <c r="F533" i="12"/>
  <c r="D534" i="12"/>
  <c r="F534" i="12"/>
  <c r="D535" i="12"/>
  <c r="F535" i="12"/>
  <c r="D536" i="12"/>
  <c r="F536" i="12"/>
  <c r="D537" i="12"/>
  <c r="F537" i="12"/>
  <c r="D538" i="12"/>
  <c r="F538" i="12"/>
  <c r="D539" i="12"/>
  <c r="F539" i="12"/>
  <c r="D540" i="12"/>
  <c r="F540" i="12"/>
  <c r="D541" i="12"/>
  <c r="F541" i="12"/>
  <c r="D542" i="12"/>
  <c r="F542" i="12"/>
  <c r="D543" i="12"/>
  <c r="F543" i="12"/>
  <c r="D544" i="12"/>
  <c r="F544" i="12"/>
  <c r="D545" i="12"/>
  <c r="F545" i="12"/>
  <c r="D546" i="12"/>
  <c r="F546" i="12"/>
  <c r="D547" i="12"/>
  <c r="F547" i="12"/>
  <c r="D548" i="12"/>
  <c r="F548" i="12"/>
  <c r="D549" i="12"/>
  <c r="F549" i="12"/>
  <c r="D550" i="12"/>
  <c r="F550" i="12"/>
  <c r="D551" i="12"/>
  <c r="F551" i="12"/>
  <c r="D552" i="12"/>
  <c r="F552" i="12"/>
  <c r="D553" i="12"/>
  <c r="F553" i="12"/>
  <c r="D554" i="12"/>
  <c r="F554" i="12"/>
  <c r="D555" i="12"/>
  <c r="F555" i="12"/>
  <c r="D556" i="12"/>
  <c r="F556" i="12"/>
  <c r="D557" i="12"/>
  <c r="F557" i="12"/>
  <c r="D558" i="12"/>
  <c r="F558" i="12"/>
  <c r="D559" i="12"/>
  <c r="F559" i="12"/>
  <c r="D560" i="12"/>
  <c r="F560" i="12"/>
  <c r="D561" i="12"/>
  <c r="F561" i="12"/>
  <c r="D562" i="12"/>
  <c r="F562" i="12"/>
  <c r="D563" i="12"/>
  <c r="F563" i="12"/>
  <c r="D564" i="12"/>
  <c r="F564" i="12"/>
  <c r="D565" i="12"/>
  <c r="F565" i="12"/>
  <c r="D566" i="12"/>
  <c r="F566" i="12"/>
  <c r="D567" i="12"/>
  <c r="F567" i="12"/>
  <c r="D568" i="12"/>
  <c r="F568" i="12"/>
  <c r="D569" i="12"/>
  <c r="F569" i="12"/>
  <c r="D570" i="12"/>
  <c r="F570" i="12"/>
  <c r="D571" i="12"/>
  <c r="F571" i="12"/>
  <c r="D572" i="12"/>
  <c r="F572" i="12"/>
  <c r="D573" i="12"/>
  <c r="F573" i="12"/>
  <c r="D574" i="12"/>
  <c r="F574" i="12"/>
  <c r="D575" i="12"/>
  <c r="F575" i="12"/>
  <c r="D576" i="12"/>
  <c r="F576" i="12"/>
  <c r="D577" i="12"/>
  <c r="F577" i="12"/>
  <c r="D578" i="12"/>
  <c r="F578" i="12"/>
  <c r="D579" i="12"/>
  <c r="F579" i="12"/>
  <c r="D580" i="12"/>
  <c r="F580" i="12"/>
  <c r="D581" i="12"/>
  <c r="F581" i="12"/>
  <c r="D582" i="12"/>
  <c r="F582" i="12"/>
  <c r="D583" i="12"/>
  <c r="F583" i="12"/>
  <c r="D584" i="12"/>
  <c r="F584" i="12"/>
  <c r="D585" i="12"/>
  <c r="F585" i="12"/>
  <c r="D586" i="12"/>
  <c r="F586" i="12"/>
  <c r="D587" i="12"/>
  <c r="F587" i="12"/>
  <c r="D588" i="12"/>
  <c r="F588" i="12"/>
  <c r="D589" i="12"/>
  <c r="F589" i="12"/>
  <c r="D590" i="12"/>
  <c r="F590" i="12"/>
  <c r="D591" i="12"/>
  <c r="F591" i="12"/>
  <c r="D592" i="12"/>
  <c r="F592" i="12"/>
  <c r="D593" i="12"/>
  <c r="F593" i="12"/>
  <c r="D594" i="12"/>
  <c r="F594" i="12"/>
  <c r="D595" i="12"/>
  <c r="F595" i="12"/>
  <c r="D596" i="12"/>
  <c r="F596" i="12"/>
  <c r="D597" i="12"/>
  <c r="F597" i="12"/>
  <c r="D598" i="12"/>
  <c r="F598" i="12"/>
  <c r="D599" i="12"/>
  <c r="F599" i="12"/>
  <c r="D600" i="12"/>
  <c r="F600" i="12"/>
  <c r="D601" i="12"/>
  <c r="F601" i="12"/>
  <c r="D602" i="12"/>
  <c r="F602" i="12"/>
  <c r="D603" i="12"/>
  <c r="F603" i="12"/>
  <c r="D604" i="12"/>
  <c r="F604" i="12"/>
  <c r="D605" i="12"/>
  <c r="F605" i="12"/>
  <c r="D606" i="12"/>
  <c r="F606" i="12"/>
  <c r="D607" i="12"/>
  <c r="F607" i="12"/>
  <c r="D608" i="12"/>
  <c r="F608" i="12"/>
  <c r="D609" i="12"/>
  <c r="F609" i="12"/>
  <c r="D610" i="12"/>
  <c r="F610" i="12"/>
  <c r="D611" i="12"/>
  <c r="F611" i="12"/>
  <c r="D612" i="12"/>
  <c r="F612" i="12"/>
  <c r="D613" i="12"/>
  <c r="F613" i="12"/>
  <c r="D614" i="12"/>
  <c r="F614" i="12"/>
  <c r="D615" i="12"/>
  <c r="F615" i="12"/>
  <c r="D616" i="12"/>
  <c r="F616" i="12"/>
  <c r="D617" i="12"/>
  <c r="F617" i="12"/>
  <c r="D618" i="12"/>
  <c r="F618" i="12"/>
  <c r="D619" i="12"/>
  <c r="F619" i="12"/>
  <c r="D620" i="12"/>
  <c r="F620" i="12"/>
  <c r="D621" i="12"/>
  <c r="F621" i="12"/>
  <c r="D622" i="12"/>
  <c r="F622" i="12"/>
  <c r="D623" i="12"/>
  <c r="F623" i="12"/>
  <c r="D624" i="12"/>
  <c r="F624" i="12"/>
  <c r="D625" i="12"/>
  <c r="F625" i="12"/>
  <c r="D626" i="12"/>
  <c r="F626" i="12"/>
  <c r="D627" i="12"/>
  <c r="F627" i="12"/>
  <c r="D628" i="12"/>
  <c r="F628" i="12"/>
  <c r="D629" i="12"/>
  <c r="F629" i="12"/>
  <c r="D630" i="12"/>
  <c r="F630" i="12"/>
  <c r="D631" i="12"/>
  <c r="F631" i="12"/>
  <c r="D632" i="12"/>
  <c r="F632" i="12"/>
  <c r="D633" i="12"/>
  <c r="F633" i="12"/>
  <c r="D634" i="12"/>
  <c r="F634" i="12"/>
  <c r="D635" i="12"/>
  <c r="F635" i="12"/>
  <c r="D636" i="12"/>
  <c r="F636" i="12"/>
  <c r="D637" i="12"/>
  <c r="F637" i="12"/>
  <c r="D638" i="12"/>
  <c r="F638" i="12"/>
  <c r="D639" i="12"/>
  <c r="F639" i="12"/>
  <c r="D640" i="12"/>
  <c r="F640" i="12"/>
  <c r="D641" i="12"/>
  <c r="F641" i="12"/>
  <c r="D642" i="12"/>
  <c r="F642" i="12"/>
  <c r="D643" i="12"/>
  <c r="F643" i="12"/>
  <c r="D644" i="12"/>
  <c r="F644" i="12"/>
  <c r="D645" i="12"/>
  <c r="F645" i="12"/>
  <c r="D646" i="12"/>
  <c r="F646" i="12"/>
  <c r="D647" i="12"/>
  <c r="F647" i="12"/>
  <c r="D648" i="12"/>
  <c r="F648" i="12"/>
  <c r="D649" i="12"/>
  <c r="F649" i="12"/>
  <c r="D650" i="12"/>
  <c r="F650" i="12"/>
  <c r="D651" i="12"/>
  <c r="F651" i="12"/>
  <c r="D652" i="12"/>
  <c r="F652" i="12"/>
  <c r="D653" i="12"/>
  <c r="F653" i="12"/>
  <c r="D654" i="12"/>
  <c r="F654" i="12"/>
  <c r="D655" i="12"/>
  <c r="F655" i="12"/>
  <c r="D656" i="12"/>
  <c r="F656" i="12"/>
  <c r="D657" i="12"/>
  <c r="F657" i="12"/>
  <c r="D658" i="12"/>
  <c r="F658" i="12"/>
  <c r="D659" i="12"/>
  <c r="F659" i="12"/>
  <c r="D660" i="12"/>
  <c r="F660" i="12"/>
  <c r="D661" i="12"/>
  <c r="F661" i="12"/>
  <c r="D662" i="12"/>
  <c r="F662" i="12"/>
  <c r="D663" i="12"/>
  <c r="F663" i="12"/>
  <c r="D664" i="12"/>
  <c r="F664" i="12"/>
  <c r="D665" i="12"/>
  <c r="F665" i="12"/>
  <c r="D666" i="12"/>
  <c r="F666" i="12"/>
  <c r="D667" i="12"/>
  <c r="F667" i="12"/>
  <c r="D668" i="12"/>
  <c r="F668" i="12"/>
  <c r="D669" i="12"/>
  <c r="F669" i="12"/>
  <c r="D670" i="12"/>
  <c r="F670" i="12"/>
  <c r="D671" i="12"/>
  <c r="F671" i="12"/>
  <c r="D672" i="12"/>
  <c r="F672" i="12"/>
  <c r="D673" i="12"/>
  <c r="F673" i="12"/>
  <c r="D674" i="12"/>
  <c r="F674" i="12"/>
  <c r="D675" i="12"/>
  <c r="F675" i="12"/>
  <c r="D676" i="12"/>
  <c r="F676" i="12"/>
  <c r="D677" i="12"/>
  <c r="F677" i="12"/>
  <c r="D678" i="12"/>
  <c r="F678" i="12"/>
  <c r="D679" i="12"/>
  <c r="F679" i="12"/>
  <c r="D680" i="12"/>
  <c r="F680" i="12"/>
  <c r="D681" i="12"/>
  <c r="F681" i="12"/>
  <c r="D682" i="12"/>
  <c r="F682" i="12"/>
  <c r="D683" i="12"/>
  <c r="F683" i="12"/>
  <c r="D684" i="12"/>
  <c r="F684" i="12"/>
  <c r="D685" i="12"/>
  <c r="F685" i="12"/>
  <c r="D686" i="12"/>
  <c r="F686" i="12"/>
  <c r="D687" i="12"/>
  <c r="F687" i="12"/>
  <c r="D688" i="12"/>
  <c r="F688" i="12"/>
  <c r="D689" i="12"/>
  <c r="F689" i="12"/>
  <c r="D690" i="12"/>
  <c r="F690" i="12"/>
  <c r="D691" i="12"/>
  <c r="F691" i="12"/>
  <c r="D692" i="12"/>
  <c r="F692" i="12"/>
  <c r="D693" i="12"/>
  <c r="F693" i="12"/>
  <c r="D694" i="12"/>
  <c r="F694" i="12"/>
  <c r="D695" i="12"/>
  <c r="F695" i="12"/>
  <c r="D696" i="12"/>
  <c r="F696" i="12"/>
  <c r="D697" i="12"/>
  <c r="F697" i="12"/>
  <c r="D698" i="12"/>
  <c r="F698" i="12"/>
  <c r="D699" i="12"/>
  <c r="F699" i="12"/>
  <c r="D700" i="12"/>
  <c r="F700" i="12"/>
  <c r="D701" i="12"/>
  <c r="F701" i="12"/>
  <c r="D702" i="12"/>
  <c r="F702" i="12"/>
  <c r="D703" i="12"/>
  <c r="F703" i="12"/>
  <c r="D704" i="12"/>
  <c r="F704" i="12"/>
  <c r="D705" i="12"/>
  <c r="F705" i="12"/>
  <c r="D706" i="12"/>
  <c r="F706" i="12"/>
  <c r="D707" i="12"/>
  <c r="F707" i="12"/>
  <c r="D708" i="12"/>
  <c r="F708" i="12"/>
  <c r="D709" i="12"/>
  <c r="F709" i="12"/>
  <c r="D710" i="12"/>
  <c r="F710" i="12"/>
  <c r="D711" i="12"/>
  <c r="F711" i="12"/>
  <c r="D712" i="12"/>
  <c r="F712" i="12"/>
  <c r="D713" i="12"/>
  <c r="F713" i="12"/>
  <c r="D714" i="12"/>
  <c r="F714" i="12"/>
  <c r="D715" i="12"/>
  <c r="F715" i="12"/>
  <c r="D716" i="12"/>
  <c r="F716" i="12"/>
  <c r="D717" i="12"/>
  <c r="F717" i="12"/>
  <c r="D718" i="12"/>
  <c r="F718" i="12"/>
  <c r="D719" i="12"/>
  <c r="F719" i="12"/>
  <c r="D720" i="12"/>
  <c r="F720" i="12"/>
  <c r="D721" i="12"/>
  <c r="F721" i="12"/>
  <c r="D722" i="12"/>
  <c r="F722" i="12"/>
  <c r="D723" i="12"/>
  <c r="F723" i="12"/>
  <c r="D724" i="12"/>
  <c r="F724" i="12"/>
  <c r="D725" i="12"/>
  <c r="F725" i="12"/>
  <c r="D726" i="12"/>
  <c r="F726" i="12"/>
  <c r="D727" i="12"/>
  <c r="F727" i="12"/>
  <c r="D728" i="12"/>
  <c r="F728" i="12"/>
  <c r="D729" i="12"/>
  <c r="F729" i="12"/>
  <c r="D730" i="12"/>
  <c r="F730" i="12"/>
  <c r="D731" i="12"/>
  <c r="F731" i="12"/>
  <c r="D732" i="12"/>
  <c r="F732" i="12"/>
  <c r="D733" i="12"/>
  <c r="F733" i="12"/>
  <c r="D734" i="12"/>
  <c r="F734" i="12"/>
  <c r="D735" i="12"/>
  <c r="F735" i="12"/>
  <c r="D736" i="12"/>
  <c r="F736" i="12"/>
  <c r="D737" i="12"/>
  <c r="F737" i="12"/>
  <c r="D738" i="12"/>
  <c r="F738" i="12"/>
  <c r="D739" i="12"/>
  <c r="F739" i="12"/>
  <c r="D740" i="12"/>
  <c r="F740" i="12"/>
  <c r="D741" i="12"/>
  <c r="F741" i="12"/>
  <c r="D742" i="12"/>
  <c r="F742" i="12"/>
  <c r="D743" i="12"/>
  <c r="F743" i="12"/>
  <c r="D744" i="12"/>
  <c r="F744" i="12"/>
  <c r="D745" i="12"/>
  <c r="F745" i="12"/>
  <c r="D746" i="12"/>
  <c r="F746" i="12"/>
  <c r="D747" i="12"/>
  <c r="F747" i="12"/>
  <c r="D748" i="12"/>
  <c r="F748" i="12"/>
  <c r="D749" i="12"/>
  <c r="F749" i="12"/>
  <c r="D750" i="12"/>
  <c r="F750" i="12"/>
  <c r="D751" i="12"/>
  <c r="F751" i="12"/>
  <c r="D752" i="12"/>
  <c r="F752" i="12"/>
  <c r="D753" i="12"/>
  <c r="F753" i="12"/>
  <c r="D754" i="12"/>
  <c r="F754" i="12"/>
  <c r="D755" i="12"/>
  <c r="F755" i="12"/>
  <c r="D756" i="12"/>
  <c r="F756" i="12"/>
  <c r="D757" i="12"/>
  <c r="F757" i="12"/>
  <c r="D758" i="12"/>
  <c r="F758" i="12"/>
  <c r="D759" i="12"/>
  <c r="F759" i="12"/>
  <c r="D760" i="12"/>
  <c r="F760" i="12"/>
  <c r="D761" i="12"/>
  <c r="F761" i="12"/>
  <c r="D762" i="12"/>
  <c r="F762" i="12"/>
  <c r="D763" i="12"/>
  <c r="F763" i="12"/>
  <c r="D764" i="12"/>
  <c r="F764" i="12"/>
  <c r="D765" i="12"/>
  <c r="F765" i="12"/>
  <c r="D766" i="12"/>
  <c r="F766" i="12"/>
  <c r="D767" i="12"/>
  <c r="F767" i="12"/>
  <c r="D768" i="12"/>
  <c r="F768" i="12"/>
  <c r="D769" i="12"/>
  <c r="F769" i="12"/>
  <c r="D770" i="12"/>
  <c r="F770" i="12"/>
  <c r="D771" i="12"/>
  <c r="F771" i="12"/>
  <c r="D772" i="12"/>
  <c r="F772" i="12"/>
  <c r="D773" i="12"/>
  <c r="F773" i="12"/>
  <c r="D774" i="12"/>
  <c r="F774" i="12"/>
  <c r="D775" i="12"/>
  <c r="F775" i="12"/>
  <c r="D776" i="12"/>
  <c r="F776" i="12"/>
  <c r="D777" i="12"/>
  <c r="F777" i="12"/>
  <c r="D778" i="12"/>
  <c r="F778" i="12"/>
  <c r="D779" i="12"/>
  <c r="F779" i="12"/>
  <c r="D780" i="12"/>
  <c r="F780" i="12"/>
  <c r="D781" i="12"/>
  <c r="F781" i="12"/>
  <c r="D782" i="12"/>
  <c r="F782" i="12"/>
  <c r="D783" i="12"/>
  <c r="F783" i="12"/>
  <c r="D784" i="12"/>
  <c r="F784" i="12"/>
  <c r="D785" i="12"/>
  <c r="F785" i="12"/>
  <c r="D786" i="12"/>
  <c r="F786" i="12"/>
  <c r="D787" i="12"/>
  <c r="F787" i="12"/>
  <c r="D788" i="12"/>
  <c r="F788" i="12"/>
  <c r="D789" i="12"/>
  <c r="F789" i="12"/>
  <c r="D790" i="12"/>
  <c r="F790" i="12"/>
  <c r="D791" i="12"/>
  <c r="F791" i="12"/>
  <c r="D792" i="12"/>
  <c r="F792" i="12"/>
  <c r="D793" i="12"/>
  <c r="F793" i="12"/>
  <c r="D794" i="12"/>
  <c r="F794" i="12"/>
  <c r="D795" i="12"/>
  <c r="F795" i="12"/>
  <c r="D796" i="12"/>
  <c r="F796" i="12"/>
  <c r="D797" i="12"/>
  <c r="F797" i="12"/>
  <c r="D798" i="12"/>
  <c r="F798" i="12"/>
  <c r="D799" i="12"/>
  <c r="F799" i="12"/>
  <c r="D800" i="12"/>
  <c r="F800" i="12"/>
  <c r="D801" i="12"/>
  <c r="F801" i="12"/>
  <c r="D802" i="12"/>
  <c r="F802" i="12"/>
  <c r="D803" i="12"/>
  <c r="F803" i="12"/>
  <c r="D804" i="12"/>
  <c r="F804" i="12"/>
  <c r="D805" i="12"/>
  <c r="F805" i="12"/>
  <c r="D806" i="12"/>
  <c r="F806" i="12"/>
  <c r="D807" i="12"/>
  <c r="F807" i="12"/>
  <c r="D808" i="12"/>
  <c r="F808" i="12"/>
  <c r="D809" i="12"/>
  <c r="F809" i="12"/>
  <c r="D810" i="12"/>
  <c r="F810" i="12"/>
  <c r="D811" i="12"/>
  <c r="F811" i="12"/>
  <c r="D812" i="12"/>
  <c r="F812" i="12"/>
  <c r="D813" i="12"/>
  <c r="F813" i="12"/>
  <c r="D814" i="12"/>
  <c r="F814" i="12"/>
  <c r="D815" i="12"/>
  <c r="F815" i="12"/>
  <c r="D816" i="12"/>
  <c r="F816" i="12"/>
  <c r="D817" i="12"/>
  <c r="F817" i="12"/>
  <c r="D818" i="12"/>
  <c r="F818" i="12"/>
  <c r="D819" i="12"/>
  <c r="F819" i="12"/>
  <c r="D820" i="12"/>
  <c r="F820" i="12"/>
  <c r="D821" i="12"/>
  <c r="F821" i="12"/>
  <c r="D822" i="12"/>
  <c r="F822" i="12"/>
  <c r="D823" i="12"/>
  <c r="F823" i="12"/>
  <c r="D824" i="12"/>
  <c r="F824" i="12"/>
  <c r="D825" i="12"/>
  <c r="F825" i="12"/>
  <c r="D826" i="12"/>
  <c r="F826" i="12"/>
  <c r="D827" i="12"/>
  <c r="F827" i="12"/>
  <c r="D828" i="12"/>
  <c r="F828" i="12"/>
  <c r="D829" i="12"/>
  <c r="F829" i="12"/>
  <c r="D830" i="12"/>
  <c r="F830" i="12"/>
  <c r="D831" i="12"/>
  <c r="F831" i="12"/>
  <c r="D832" i="12"/>
  <c r="F832" i="12"/>
  <c r="D833" i="12"/>
  <c r="F833" i="12"/>
  <c r="D834" i="12"/>
  <c r="F834" i="12"/>
  <c r="D835" i="12"/>
  <c r="F835" i="12"/>
  <c r="D836" i="12"/>
  <c r="F836" i="12"/>
  <c r="D837" i="12"/>
  <c r="F837" i="12"/>
  <c r="D838" i="12"/>
  <c r="F838" i="12"/>
  <c r="D839" i="12"/>
  <c r="F839" i="12"/>
  <c r="D840" i="12"/>
  <c r="F840" i="12"/>
  <c r="D841" i="12"/>
  <c r="F841" i="12"/>
  <c r="D842" i="12"/>
  <c r="F842" i="12"/>
  <c r="D843" i="12"/>
  <c r="F843" i="12"/>
  <c r="D844" i="12"/>
  <c r="F844" i="12"/>
  <c r="D845" i="12"/>
  <c r="F845" i="12"/>
  <c r="D846" i="12"/>
  <c r="F846" i="12"/>
  <c r="D847" i="12"/>
  <c r="F847" i="12"/>
  <c r="D848" i="12"/>
  <c r="F848" i="12"/>
  <c r="D849" i="12"/>
  <c r="F849" i="12"/>
  <c r="D850" i="12"/>
  <c r="F850" i="12"/>
  <c r="D851" i="12"/>
  <c r="F851" i="12"/>
  <c r="D852" i="12"/>
  <c r="F852" i="12"/>
  <c r="D853" i="12"/>
  <c r="F853" i="12"/>
  <c r="D854" i="12"/>
  <c r="F854" i="12"/>
  <c r="D855" i="12"/>
  <c r="F855" i="12"/>
  <c r="D856" i="12"/>
  <c r="F856" i="12"/>
  <c r="D857" i="12"/>
  <c r="F857" i="12"/>
  <c r="D858" i="12"/>
  <c r="F858" i="12"/>
  <c r="D859" i="12"/>
  <c r="F859" i="12"/>
  <c r="D860" i="12"/>
  <c r="F860" i="12"/>
  <c r="D861" i="12"/>
  <c r="F861" i="12"/>
  <c r="D862" i="12"/>
  <c r="F862" i="12"/>
  <c r="D863" i="12"/>
  <c r="F863" i="12"/>
  <c r="D864" i="12"/>
  <c r="F864" i="12"/>
  <c r="D865" i="12"/>
  <c r="F865" i="12"/>
  <c r="D866" i="12"/>
  <c r="F866" i="12"/>
  <c r="D867" i="12"/>
  <c r="F867" i="12"/>
  <c r="D868" i="12"/>
  <c r="F868" i="12"/>
  <c r="D869" i="12"/>
  <c r="F869" i="12"/>
  <c r="D870" i="12"/>
  <c r="F870" i="12"/>
  <c r="D871" i="12"/>
  <c r="F871" i="12"/>
  <c r="D872" i="12"/>
  <c r="F872" i="12"/>
  <c r="D873" i="12"/>
  <c r="F873" i="12"/>
  <c r="D874" i="12"/>
  <c r="F874" i="12"/>
  <c r="D875" i="12"/>
  <c r="F875" i="12"/>
  <c r="D876" i="12"/>
  <c r="F876" i="12"/>
  <c r="D877" i="12"/>
  <c r="F877" i="12"/>
  <c r="D878" i="12"/>
  <c r="F878" i="12"/>
  <c r="D879" i="12"/>
  <c r="F879" i="12"/>
  <c r="D880" i="12"/>
  <c r="F880" i="12"/>
  <c r="D881" i="12"/>
  <c r="F881" i="12"/>
  <c r="D882" i="12"/>
  <c r="F882" i="12"/>
  <c r="D883" i="12"/>
  <c r="F883" i="12"/>
  <c r="D884" i="12"/>
  <c r="F884" i="12"/>
  <c r="D885" i="12"/>
  <c r="F885" i="12"/>
  <c r="D886" i="12"/>
  <c r="F886" i="12"/>
  <c r="D887" i="12"/>
  <c r="F887" i="12"/>
  <c r="D888" i="12"/>
  <c r="F888" i="12"/>
  <c r="D889" i="12"/>
  <c r="F889" i="12"/>
  <c r="D890" i="12"/>
  <c r="F890" i="12"/>
  <c r="D891" i="12"/>
  <c r="F891" i="12"/>
  <c r="D892" i="12"/>
  <c r="F892" i="12"/>
  <c r="D893" i="12"/>
  <c r="F893" i="12"/>
  <c r="D894" i="12"/>
  <c r="F894" i="12"/>
  <c r="D895" i="12"/>
  <c r="F895" i="12"/>
  <c r="D896" i="12"/>
  <c r="F896" i="12"/>
  <c r="D897" i="12"/>
  <c r="F897" i="12"/>
  <c r="D898" i="12"/>
  <c r="F898" i="12"/>
  <c r="D899" i="12"/>
  <c r="F899" i="12"/>
  <c r="D900" i="12"/>
  <c r="F900" i="12"/>
  <c r="D901" i="12"/>
  <c r="F901" i="12"/>
  <c r="D902" i="12"/>
  <c r="F902" i="12"/>
  <c r="D903" i="12"/>
  <c r="F903" i="12"/>
  <c r="D904" i="12"/>
  <c r="F904" i="12"/>
  <c r="D905" i="12"/>
  <c r="F905" i="12"/>
  <c r="D906" i="12"/>
  <c r="F906" i="12"/>
  <c r="D907" i="12"/>
  <c r="F907" i="12"/>
  <c r="D908" i="12"/>
  <c r="F908" i="12"/>
  <c r="D909" i="12"/>
  <c r="F909" i="12"/>
  <c r="D910" i="12"/>
  <c r="F910" i="12"/>
  <c r="D911" i="12"/>
  <c r="F911" i="12"/>
  <c r="D912" i="12"/>
  <c r="F912" i="12"/>
  <c r="D913" i="12"/>
  <c r="F913" i="12"/>
  <c r="D914" i="12"/>
  <c r="F914" i="12"/>
  <c r="D915" i="12"/>
  <c r="F915" i="12"/>
  <c r="D916" i="12"/>
  <c r="F916" i="12"/>
  <c r="D917" i="12"/>
  <c r="F917" i="12"/>
  <c r="D918" i="12"/>
  <c r="F918" i="12"/>
  <c r="D919" i="12"/>
  <c r="F919" i="12"/>
  <c r="D920" i="12"/>
  <c r="F920" i="12"/>
  <c r="D921" i="12"/>
  <c r="F921" i="12"/>
  <c r="D922" i="12"/>
  <c r="F922" i="12"/>
  <c r="D923" i="12"/>
  <c r="F923" i="12"/>
  <c r="D924" i="12"/>
  <c r="F924" i="12"/>
  <c r="D925" i="12"/>
  <c r="F925" i="12"/>
  <c r="D926" i="12"/>
  <c r="F926" i="12"/>
  <c r="D927" i="12"/>
  <c r="F927" i="12"/>
  <c r="D928" i="12"/>
  <c r="F928" i="12"/>
  <c r="D929" i="12"/>
  <c r="F929" i="12"/>
  <c r="D930" i="12"/>
  <c r="F930" i="12"/>
  <c r="D931" i="12"/>
  <c r="F931" i="12"/>
  <c r="D932" i="12"/>
  <c r="F932" i="12"/>
  <c r="D933" i="12"/>
  <c r="F933" i="12"/>
  <c r="D934" i="12"/>
  <c r="F934" i="12"/>
  <c r="D935" i="12"/>
  <c r="F935" i="12"/>
  <c r="D936" i="12"/>
  <c r="F936" i="12"/>
  <c r="D937" i="12"/>
  <c r="F937" i="12"/>
  <c r="D938" i="12"/>
  <c r="F938" i="12"/>
  <c r="D939" i="12"/>
  <c r="F939" i="12"/>
  <c r="D940" i="12"/>
  <c r="F940" i="12"/>
  <c r="D941" i="12"/>
  <c r="F941" i="12"/>
  <c r="D942" i="12"/>
  <c r="F942" i="12"/>
  <c r="D943" i="12"/>
  <c r="F943" i="12"/>
  <c r="D944" i="12"/>
  <c r="F944" i="12"/>
  <c r="D945" i="12"/>
  <c r="F945" i="12"/>
  <c r="D946" i="12"/>
  <c r="F946" i="12"/>
  <c r="D947" i="12"/>
  <c r="F947" i="12"/>
  <c r="D948" i="12"/>
  <c r="F948" i="12"/>
  <c r="D949" i="12"/>
  <c r="F949" i="12"/>
  <c r="D950" i="12"/>
  <c r="F950" i="12"/>
  <c r="D951" i="12"/>
  <c r="F951" i="12"/>
  <c r="D952" i="12"/>
  <c r="F952" i="12"/>
  <c r="D953" i="12"/>
  <c r="F953" i="12"/>
  <c r="D954" i="12"/>
  <c r="F954" i="12"/>
  <c r="D955" i="12"/>
  <c r="F955" i="12"/>
  <c r="D956" i="12"/>
  <c r="F956" i="12"/>
  <c r="D957" i="12"/>
  <c r="F957" i="12"/>
  <c r="D958" i="12"/>
  <c r="F958" i="12"/>
  <c r="D959" i="12"/>
  <c r="F959" i="12"/>
  <c r="D960" i="12"/>
  <c r="F960" i="12"/>
  <c r="D961" i="12"/>
  <c r="F961" i="12"/>
  <c r="D962" i="12"/>
  <c r="F962" i="12"/>
  <c r="D963" i="12"/>
  <c r="F963" i="12"/>
  <c r="D964" i="12"/>
  <c r="F964" i="12"/>
  <c r="D965" i="12"/>
  <c r="F965" i="12"/>
  <c r="D966" i="12"/>
  <c r="F966" i="12"/>
  <c r="D967" i="12"/>
  <c r="F967" i="12"/>
  <c r="D968" i="12"/>
  <c r="F968" i="12"/>
  <c r="D969" i="12"/>
  <c r="F969" i="12"/>
  <c r="D970" i="12"/>
  <c r="F970" i="12"/>
  <c r="D971" i="12"/>
  <c r="F971" i="12"/>
  <c r="D972" i="12"/>
  <c r="F972" i="12"/>
  <c r="D973" i="12"/>
  <c r="F973" i="12"/>
  <c r="D974" i="12"/>
  <c r="F974" i="12"/>
  <c r="D975" i="12"/>
  <c r="F975" i="12"/>
  <c r="D976" i="12"/>
  <c r="F976" i="12"/>
  <c r="D977" i="12"/>
  <c r="F977" i="12"/>
  <c r="D978" i="12"/>
  <c r="F978" i="12"/>
  <c r="D979" i="12"/>
  <c r="F979" i="12"/>
  <c r="D980" i="12"/>
  <c r="F980" i="12"/>
  <c r="D981" i="12"/>
  <c r="F981" i="12"/>
  <c r="D982" i="12"/>
  <c r="F982" i="12"/>
  <c r="D983" i="12"/>
  <c r="F983" i="12"/>
  <c r="D984" i="12"/>
  <c r="F984" i="12"/>
  <c r="D985" i="12"/>
  <c r="F985" i="12"/>
  <c r="D986" i="12"/>
  <c r="F986" i="12"/>
  <c r="D987" i="12"/>
  <c r="F987" i="12"/>
  <c r="D988" i="12"/>
  <c r="F988" i="12"/>
  <c r="D989" i="12"/>
  <c r="F989" i="12"/>
  <c r="D990" i="12"/>
  <c r="F990" i="12"/>
  <c r="D991" i="12"/>
  <c r="F991" i="12"/>
  <c r="D992" i="12"/>
  <c r="F992" i="12"/>
  <c r="D993" i="12"/>
  <c r="F993" i="12"/>
  <c r="D994" i="12"/>
  <c r="F994" i="12"/>
  <c r="D995" i="12"/>
  <c r="F995" i="12"/>
  <c r="D996" i="12"/>
  <c r="F996" i="12"/>
  <c r="D997" i="12"/>
  <c r="F997" i="12"/>
  <c r="D998" i="12"/>
  <c r="F998" i="12"/>
  <c r="D999" i="12"/>
  <c r="F999" i="12"/>
  <c r="D1000" i="12"/>
  <c r="F1000" i="12"/>
  <c r="D1001" i="12"/>
  <c r="F1001" i="12"/>
  <c r="D1002" i="12"/>
  <c r="F1002" i="12"/>
  <c r="D1003" i="12"/>
  <c r="F1003" i="12"/>
  <c r="D1004" i="12"/>
  <c r="F1004" i="12"/>
  <c r="D1005" i="12"/>
  <c r="F1005" i="12"/>
  <c r="D1006" i="12"/>
  <c r="F1006" i="12"/>
  <c r="D1007" i="12"/>
  <c r="F1007" i="12"/>
  <c r="D1008" i="12"/>
  <c r="F1008" i="12"/>
  <c r="D1009" i="12"/>
  <c r="F1009" i="12"/>
  <c r="D1010" i="12"/>
  <c r="F1010" i="12"/>
  <c r="D1011" i="12"/>
  <c r="F1011" i="12"/>
  <c r="D1012" i="12"/>
  <c r="F1012" i="12"/>
  <c r="D1013" i="12"/>
  <c r="F1013" i="12"/>
  <c r="D1014" i="12"/>
  <c r="F1014" i="12"/>
  <c r="D1015" i="12"/>
  <c r="F1015" i="12"/>
  <c r="D1016" i="12"/>
  <c r="F1016" i="12"/>
  <c r="D1017" i="12"/>
  <c r="F1017" i="12"/>
  <c r="D1018" i="12"/>
  <c r="F1018" i="12"/>
  <c r="D1019" i="12"/>
  <c r="F1019" i="12"/>
  <c r="D1020" i="12"/>
  <c r="F1020" i="12"/>
  <c r="D1021" i="12"/>
  <c r="F1021" i="12"/>
  <c r="D1022" i="12"/>
  <c r="F1022" i="12"/>
  <c r="D1023" i="12"/>
  <c r="F1023" i="12"/>
  <c r="D1024" i="12"/>
  <c r="F1024" i="12"/>
  <c r="D1025" i="12"/>
  <c r="F1025" i="12"/>
  <c r="D1026" i="12"/>
  <c r="F1026" i="12"/>
  <c r="D1027" i="12"/>
  <c r="F1027" i="12"/>
  <c r="D1028" i="12"/>
  <c r="F1028" i="12"/>
  <c r="D1029" i="12"/>
  <c r="F1029" i="12"/>
  <c r="D1030" i="12"/>
  <c r="F1030" i="12"/>
  <c r="D1031" i="12"/>
  <c r="F1031" i="12"/>
  <c r="D1032" i="12"/>
  <c r="F1032" i="12"/>
  <c r="D1033" i="12"/>
  <c r="F1033" i="12"/>
  <c r="D1034" i="12"/>
  <c r="F1034" i="12"/>
  <c r="D1035" i="12"/>
  <c r="F1035" i="12"/>
  <c r="D1036" i="12"/>
  <c r="F1036" i="12"/>
  <c r="D1037" i="12"/>
  <c r="F1037" i="12"/>
  <c r="D1038" i="12"/>
  <c r="F1038" i="12"/>
  <c r="D1039" i="12"/>
  <c r="F1039" i="12"/>
  <c r="D1040" i="12"/>
  <c r="F1040" i="12"/>
  <c r="D1041" i="12"/>
  <c r="F1041" i="12"/>
  <c r="D1042" i="12"/>
  <c r="F1042" i="12"/>
  <c r="D1043" i="12"/>
  <c r="F1043" i="12"/>
  <c r="D1044" i="12"/>
  <c r="F1044" i="12"/>
  <c r="D1045" i="12"/>
  <c r="F1045" i="12"/>
  <c r="D1046" i="12"/>
  <c r="F1046" i="12"/>
  <c r="D1047" i="12"/>
  <c r="F1047" i="12"/>
  <c r="D1048" i="12"/>
  <c r="F1048" i="12"/>
  <c r="D1049" i="12"/>
  <c r="F1049" i="12"/>
  <c r="D1050" i="12"/>
  <c r="F1050" i="12"/>
  <c r="D1051" i="12"/>
  <c r="F1051" i="12"/>
  <c r="D1052" i="12"/>
  <c r="F1052" i="12"/>
  <c r="D1053" i="12"/>
  <c r="F1053" i="12"/>
  <c r="D1054" i="12"/>
  <c r="F1054" i="12"/>
  <c r="D1055" i="12"/>
  <c r="F1055" i="12"/>
  <c r="D1056" i="12"/>
  <c r="F1056" i="12"/>
  <c r="D1057" i="12"/>
  <c r="F1057" i="12"/>
  <c r="D1058" i="12"/>
  <c r="F1058" i="12"/>
  <c r="D1059" i="12"/>
  <c r="F1059" i="12"/>
  <c r="D1060" i="12"/>
  <c r="F1060" i="12"/>
  <c r="D1061" i="12"/>
  <c r="F1061" i="12"/>
  <c r="D1062" i="12"/>
  <c r="F1062" i="12"/>
  <c r="D1063" i="12"/>
  <c r="F1063" i="12"/>
  <c r="D1064" i="12"/>
  <c r="F1064" i="12"/>
  <c r="D1065" i="12"/>
  <c r="F1065" i="12"/>
  <c r="D1066" i="12"/>
  <c r="F1066" i="12"/>
  <c r="D1067" i="12"/>
  <c r="F1067" i="12"/>
  <c r="D1068" i="12"/>
  <c r="F1068" i="12"/>
  <c r="D1069" i="12"/>
  <c r="F1069" i="12"/>
  <c r="D1070" i="12"/>
  <c r="F1070" i="12"/>
  <c r="D1071" i="12"/>
  <c r="F1071" i="12"/>
  <c r="D1072" i="12"/>
  <c r="F1072" i="12"/>
  <c r="D1073" i="12"/>
  <c r="F1073" i="12"/>
  <c r="D1074" i="12"/>
  <c r="F1074" i="12"/>
  <c r="D1075" i="12"/>
  <c r="F1075" i="12"/>
  <c r="D1076" i="12"/>
  <c r="F1076" i="12"/>
  <c r="D1077" i="12"/>
  <c r="F1077" i="12"/>
  <c r="D1078" i="12"/>
  <c r="F1078" i="12"/>
  <c r="D1079" i="12"/>
  <c r="F1079" i="12"/>
  <c r="D1080" i="12"/>
  <c r="F1080" i="12"/>
  <c r="D1081" i="12"/>
  <c r="F1081" i="12"/>
  <c r="D1082" i="12"/>
  <c r="F1082" i="12"/>
  <c r="D1083" i="12"/>
  <c r="F1083" i="12"/>
  <c r="D1084" i="12"/>
  <c r="F1084" i="12"/>
  <c r="D1085" i="12"/>
  <c r="F1085" i="12"/>
  <c r="D1086" i="12"/>
  <c r="F1086" i="12"/>
  <c r="D1087" i="12"/>
  <c r="F1087" i="12"/>
  <c r="D1088" i="12"/>
  <c r="F1088" i="12"/>
  <c r="D1089" i="12"/>
  <c r="F1089" i="12"/>
  <c r="D1090" i="12"/>
  <c r="F1090" i="12"/>
  <c r="D1091" i="12"/>
  <c r="F1091" i="12"/>
  <c r="D1092" i="12"/>
  <c r="F1092" i="12"/>
  <c r="D1093" i="12"/>
  <c r="F1093" i="12"/>
  <c r="D1094" i="12"/>
  <c r="F1094" i="12"/>
  <c r="D1095" i="12"/>
  <c r="F1095" i="12"/>
  <c r="D1096" i="12"/>
  <c r="F1096" i="12"/>
  <c r="D1097" i="12"/>
  <c r="F1097" i="12"/>
  <c r="D1098" i="12"/>
  <c r="F1098" i="12"/>
  <c r="D1099" i="12"/>
  <c r="F1099" i="12"/>
  <c r="D1100" i="12"/>
  <c r="F1100" i="12"/>
  <c r="D1101" i="12"/>
  <c r="F1101" i="12"/>
  <c r="D1102" i="12"/>
  <c r="F1102" i="12"/>
  <c r="D1103" i="12"/>
  <c r="F1103" i="12"/>
  <c r="D1104" i="12"/>
  <c r="F1104" i="12"/>
  <c r="D1105" i="12"/>
  <c r="F1105" i="12"/>
  <c r="I5" i="12" s="1"/>
  <c r="D1106" i="12"/>
  <c r="F1106" i="12"/>
  <c r="D1107" i="12"/>
  <c r="F1107" i="12"/>
  <c r="D1108" i="12"/>
  <c r="F1108" i="12"/>
  <c r="D1109" i="12"/>
  <c r="F1109" i="12"/>
  <c r="D1110" i="12"/>
  <c r="F1110" i="12"/>
  <c r="D1111" i="12"/>
  <c r="F1111" i="12"/>
  <c r="D1112" i="12"/>
  <c r="F1112" i="12"/>
  <c r="D1113" i="12"/>
  <c r="F1113" i="12"/>
  <c r="D1114" i="12"/>
  <c r="F1114" i="12"/>
  <c r="D1115" i="12"/>
  <c r="F1115" i="12"/>
  <c r="D1116" i="12"/>
  <c r="F1116" i="12"/>
  <c r="D1117" i="12"/>
  <c r="F1117" i="12"/>
  <c r="D1118" i="12"/>
  <c r="F1118" i="12"/>
  <c r="D1119" i="12"/>
  <c r="F1119" i="12"/>
  <c r="D1120" i="12"/>
  <c r="F1120" i="12"/>
  <c r="D1121" i="12"/>
  <c r="F1121" i="12"/>
  <c r="D1122" i="12"/>
  <c r="F1122" i="12"/>
  <c r="D1123" i="12"/>
  <c r="F1123" i="12"/>
  <c r="D1124" i="12"/>
  <c r="F1124" i="12"/>
  <c r="D1125" i="12"/>
  <c r="F1125" i="12"/>
  <c r="D1126" i="12"/>
  <c r="F1126" i="12"/>
  <c r="D1127" i="12"/>
  <c r="F1127" i="12"/>
  <c r="D1128" i="12"/>
  <c r="F1128" i="12"/>
  <c r="D1129" i="12"/>
  <c r="F1129" i="12"/>
  <c r="D1130" i="12"/>
  <c r="F1130" i="12"/>
  <c r="D1131" i="12"/>
  <c r="F1131" i="12"/>
  <c r="D1132" i="12"/>
  <c r="F1132" i="12"/>
  <c r="D1133" i="12"/>
  <c r="F1133" i="12"/>
  <c r="D1134" i="12"/>
  <c r="F1134" i="12"/>
  <c r="D1135" i="12"/>
  <c r="F1135" i="12"/>
  <c r="D1136" i="12"/>
  <c r="F1136" i="12"/>
  <c r="D1137" i="12"/>
  <c r="F1137" i="12"/>
  <c r="D1138" i="12"/>
  <c r="F1138" i="12"/>
  <c r="D1139" i="12"/>
  <c r="F1139" i="12"/>
  <c r="D1140" i="12"/>
  <c r="F1140" i="12"/>
  <c r="D1141" i="12"/>
  <c r="F1141" i="12"/>
  <c r="D1142" i="12"/>
  <c r="F1142" i="12"/>
  <c r="D1143" i="12"/>
  <c r="F1143" i="12"/>
  <c r="D1144" i="12"/>
  <c r="F1144" i="12"/>
  <c r="D1145" i="12"/>
  <c r="F1145" i="12"/>
  <c r="D1146" i="12"/>
  <c r="F1146" i="12"/>
  <c r="D1147" i="12"/>
  <c r="F1147" i="12"/>
  <c r="D1148" i="12"/>
  <c r="F1148" i="12"/>
  <c r="D1149" i="12"/>
  <c r="F1149" i="12"/>
  <c r="D1150" i="12"/>
  <c r="F1150" i="12"/>
  <c r="D1151" i="12"/>
  <c r="F1151" i="12"/>
  <c r="D1152" i="12"/>
  <c r="F1152" i="12"/>
  <c r="D1153" i="12"/>
  <c r="F1153" i="12"/>
  <c r="D1154" i="12"/>
  <c r="F1154" i="12"/>
  <c r="D1155" i="12"/>
  <c r="F1155" i="12"/>
  <c r="D1156" i="12"/>
  <c r="F1156" i="12"/>
  <c r="D1157" i="12"/>
  <c r="F1157" i="12"/>
  <c r="D1158" i="12"/>
  <c r="F1158" i="12"/>
  <c r="D1159" i="12"/>
  <c r="F1159" i="12"/>
  <c r="D1160" i="12"/>
  <c r="F1160" i="12"/>
  <c r="D1161" i="12"/>
  <c r="F1161" i="12"/>
  <c r="D1162" i="12"/>
  <c r="F1162" i="12"/>
  <c r="D1163" i="12"/>
  <c r="F1163" i="12"/>
  <c r="D1164" i="12"/>
  <c r="F1164" i="12"/>
  <c r="D1165" i="12"/>
  <c r="F1165" i="12"/>
  <c r="D1166" i="12"/>
  <c r="F1166" i="12"/>
  <c r="D1167" i="12"/>
  <c r="F1167" i="12"/>
  <c r="D1168" i="12"/>
  <c r="F1168" i="12"/>
  <c r="D1169" i="12"/>
  <c r="F1169" i="12"/>
  <c r="D1170" i="12"/>
  <c r="F1170" i="12"/>
  <c r="D1171" i="12"/>
  <c r="F1171" i="12"/>
  <c r="D1172" i="12"/>
  <c r="F1172" i="12"/>
  <c r="D1173" i="12"/>
  <c r="F1173" i="12"/>
  <c r="D1174" i="12"/>
  <c r="F1174" i="12"/>
  <c r="D1175" i="12"/>
  <c r="F1175" i="12"/>
  <c r="D1176" i="12"/>
  <c r="F1176" i="12"/>
  <c r="D1177" i="12"/>
  <c r="F1177" i="12"/>
  <c r="D1178" i="12"/>
  <c r="F1178" i="12"/>
  <c r="D1179" i="12"/>
  <c r="F1179" i="12"/>
  <c r="D1180" i="12"/>
  <c r="F1180" i="12"/>
  <c r="D1181" i="12"/>
  <c r="F1181" i="12"/>
  <c r="D1182" i="12"/>
  <c r="F1182" i="12"/>
  <c r="D1183" i="12"/>
  <c r="F1183" i="12"/>
  <c r="D1184" i="12"/>
  <c r="F1184" i="12"/>
  <c r="D1185" i="12"/>
  <c r="F1185" i="12"/>
  <c r="D1186" i="12"/>
  <c r="F1186" i="12"/>
  <c r="D1187" i="12"/>
  <c r="F1187" i="12"/>
  <c r="D1188" i="12"/>
  <c r="F1188" i="12"/>
  <c r="D1189" i="12"/>
  <c r="F1189" i="12"/>
  <c r="D1190" i="12"/>
  <c r="F1190" i="12"/>
  <c r="D1191" i="12"/>
  <c r="F1191" i="12"/>
  <c r="D1192" i="12"/>
  <c r="F1192" i="12"/>
  <c r="D1193" i="12"/>
  <c r="F1193" i="12"/>
  <c r="D1194" i="12"/>
  <c r="F1194" i="12"/>
  <c r="D1195" i="12"/>
  <c r="F1195" i="12"/>
  <c r="D1196" i="12"/>
  <c r="F1196" i="12"/>
  <c r="D1197" i="12"/>
  <c r="F1197" i="12"/>
  <c r="D1198" i="12"/>
  <c r="F1198" i="12"/>
  <c r="D1199" i="12"/>
  <c r="F1199" i="12"/>
  <c r="D1200" i="12"/>
  <c r="F1200" i="12"/>
  <c r="D1201" i="12"/>
  <c r="F1201" i="12"/>
  <c r="D1202" i="12"/>
  <c r="F1202" i="12"/>
  <c r="D1203" i="12"/>
  <c r="F1203" i="12"/>
  <c r="D1204" i="12"/>
  <c r="F1204" i="12"/>
  <c r="D1205" i="12"/>
  <c r="F1205" i="12"/>
  <c r="D1206" i="12"/>
  <c r="F1206" i="12"/>
  <c r="D1207" i="12"/>
  <c r="F1207" i="12"/>
  <c r="D1208" i="12"/>
  <c r="F1208" i="12"/>
  <c r="D1209" i="12"/>
  <c r="F1209" i="12"/>
  <c r="D1210" i="12"/>
  <c r="F1210" i="12"/>
  <c r="D1211" i="12"/>
  <c r="F1211" i="12"/>
  <c r="D1212" i="12"/>
  <c r="F1212" i="12"/>
  <c r="D1213" i="12"/>
  <c r="F1213" i="12"/>
  <c r="D1214" i="12"/>
  <c r="F1214" i="12"/>
  <c r="D1215" i="12"/>
  <c r="F1215" i="12"/>
  <c r="D1216" i="12"/>
  <c r="F1216" i="12"/>
  <c r="D1217" i="12"/>
  <c r="F1217" i="12"/>
  <c r="D1218" i="12"/>
  <c r="F1218" i="12"/>
  <c r="D1219" i="12"/>
  <c r="F1219" i="12"/>
  <c r="D1220" i="12"/>
  <c r="F1220" i="12"/>
  <c r="D1221" i="12"/>
  <c r="F1221" i="12"/>
  <c r="D1222" i="12"/>
  <c r="F1222" i="12"/>
  <c r="D1223" i="12"/>
  <c r="F1223" i="12"/>
  <c r="D1224" i="12"/>
  <c r="F1224" i="12"/>
  <c r="D1225" i="12"/>
  <c r="F1225" i="12"/>
  <c r="D1226" i="12"/>
  <c r="F1226" i="12"/>
  <c r="D1227" i="12"/>
  <c r="F1227" i="12"/>
  <c r="D1228" i="12"/>
  <c r="F1228" i="12"/>
  <c r="D1229" i="12"/>
  <c r="F1229" i="12"/>
  <c r="D1230" i="12"/>
  <c r="F1230" i="12"/>
  <c r="D1231" i="12"/>
  <c r="F1231" i="12"/>
  <c r="D1232" i="12"/>
  <c r="F1232" i="12"/>
  <c r="D1233" i="12"/>
  <c r="F1233" i="12"/>
  <c r="D1234" i="12"/>
  <c r="F1234" i="12"/>
  <c r="D1235" i="12"/>
  <c r="F1235" i="12"/>
  <c r="D1236" i="12"/>
  <c r="F1236" i="12"/>
  <c r="D1237" i="12"/>
  <c r="F1237" i="12"/>
  <c r="D1238" i="12"/>
  <c r="F1238" i="12"/>
  <c r="D1239" i="12"/>
  <c r="F1239" i="12"/>
  <c r="D1240" i="12"/>
  <c r="F1240" i="12"/>
  <c r="D1241" i="12"/>
  <c r="F1241" i="12"/>
  <c r="D1242" i="12"/>
  <c r="F1242" i="12"/>
  <c r="D1243" i="12"/>
  <c r="F1243" i="12"/>
  <c r="D1244" i="12"/>
  <c r="F1244" i="12"/>
  <c r="D1245" i="12"/>
  <c r="F1245" i="12"/>
  <c r="D1246" i="12"/>
  <c r="F1246" i="12"/>
  <c r="D1247" i="12"/>
  <c r="F1247" i="12"/>
  <c r="D1248" i="12"/>
  <c r="F1248" i="12"/>
  <c r="D1249" i="12"/>
  <c r="F1249" i="12"/>
  <c r="D1250" i="12"/>
  <c r="F1250" i="12"/>
  <c r="D1251" i="12"/>
  <c r="F1251" i="12"/>
  <c r="D1252" i="12"/>
  <c r="F1252" i="12"/>
  <c r="D1253" i="12"/>
  <c r="F1253" i="12"/>
  <c r="D1254" i="12"/>
  <c r="F1254" i="12"/>
  <c r="D1255" i="12"/>
  <c r="F1255" i="12"/>
  <c r="D1256" i="12"/>
  <c r="F1256" i="12"/>
  <c r="D1257" i="12"/>
  <c r="F1257" i="12"/>
  <c r="D1258" i="12"/>
  <c r="F1258" i="12"/>
  <c r="D1259" i="12"/>
  <c r="F1259" i="12"/>
  <c r="D1260" i="12"/>
  <c r="F1260" i="12"/>
  <c r="D1261" i="12"/>
  <c r="F1261" i="12"/>
  <c r="C18" i="14" l="1"/>
  <c r="C11" i="14"/>
  <c r="I4" i="12"/>
  <c r="I6" i="12" s="1"/>
  <c r="T5" i="6" l="1"/>
  <c r="T32" i="3" l="1"/>
  <c r="S32" i="3"/>
  <c r="R32" i="3"/>
  <c r="Q32" i="3"/>
  <c r="O32" i="3"/>
  <c r="Y32" i="3" s="1"/>
  <c r="N32" i="3"/>
  <c r="X32" i="3" s="1"/>
  <c r="M32" i="3"/>
  <c r="W32" i="3" s="1"/>
  <c r="L32" i="3"/>
  <c r="V32" i="3" s="1"/>
  <c r="J32" i="3"/>
  <c r="I32" i="3"/>
  <c r="H32" i="3"/>
  <c r="R14" i="3"/>
  <c r="S14" i="3"/>
  <c r="T14" i="3"/>
  <c r="AB32" i="3" l="1"/>
  <c r="AG32" i="3"/>
  <c r="AC32" i="3"/>
  <c r="AD32" i="3"/>
  <c r="AA32" i="3"/>
  <c r="AF32" i="3" s="1"/>
  <c r="G24" i="3"/>
  <c r="L24" i="3"/>
  <c r="J24" i="3"/>
  <c r="T7" i="6"/>
  <c r="T8" i="6" s="1"/>
  <c r="E52" i="4"/>
  <c r="F52" i="4"/>
  <c r="J52" i="4"/>
  <c r="K52" i="4"/>
  <c r="O52" i="4"/>
  <c r="C52" i="4"/>
  <c r="D52" i="4"/>
  <c r="H52" i="4"/>
  <c r="I52" i="4"/>
  <c r="M52" i="4"/>
  <c r="N52" i="4"/>
  <c r="R52" i="4"/>
  <c r="P52" i="4"/>
  <c r="T46" i="4"/>
  <c r="T52" i="4" s="1"/>
  <c r="T24" i="3"/>
  <c r="AH32" i="3" l="1"/>
  <c r="AI32" i="3"/>
  <c r="AL32" i="3"/>
  <c r="AQ32" i="3" s="1"/>
  <c r="AK32" i="3"/>
  <c r="AP32" i="3" s="1"/>
  <c r="AM32" i="3" l="1"/>
  <c r="AR32" i="3" s="1"/>
  <c r="AN32" i="3"/>
  <c r="AS32" i="3" s="1"/>
  <c r="AU32" i="3"/>
  <c r="T20" i="10" l="1"/>
  <c r="T15" i="10" s="1"/>
  <c r="S20" i="10"/>
  <c r="R20" i="10"/>
  <c r="R15" i="10" s="1"/>
  <c r="Q20" i="10"/>
  <c r="Q11" i="10" s="1"/>
  <c r="O20" i="10"/>
  <c r="O11" i="10" s="1"/>
  <c r="N20" i="10"/>
  <c r="M20" i="10"/>
  <c r="M15" i="10" s="1"/>
  <c r="L20" i="10"/>
  <c r="J20" i="10"/>
  <c r="J15" i="10" s="1"/>
  <c r="I20" i="10"/>
  <c r="H20" i="10"/>
  <c r="H11" i="10" s="1"/>
  <c r="G20" i="10"/>
  <c r="E20" i="10"/>
  <c r="E19" i="10" s="1"/>
  <c r="D20" i="10"/>
  <c r="C20" i="10"/>
  <c r="C7" i="10" s="1"/>
  <c r="S19" i="10"/>
  <c r="O19" i="10"/>
  <c r="I19" i="10"/>
  <c r="T17" i="10"/>
  <c r="S17" i="10"/>
  <c r="Q17" i="10"/>
  <c r="O17" i="10"/>
  <c r="N17" i="10"/>
  <c r="L17" i="10"/>
  <c r="J17" i="10"/>
  <c r="I17" i="10"/>
  <c r="R17" i="10"/>
  <c r="H17" i="10"/>
  <c r="S15" i="10"/>
  <c r="N15" i="10"/>
  <c r="I15" i="10"/>
  <c r="H15" i="10"/>
  <c r="E15" i="10"/>
  <c r="D15" i="10"/>
  <c r="C15" i="10"/>
  <c r="T13" i="10"/>
  <c r="S13" i="10"/>
  <c r="Q13" i="10"/>
  <c r="O13" i="10"/>
  <c r="N13" i="10"/>
  <c r="L13" i="10"/>
  <c r="K13" i="10"/>
  <c r="J13" i="10"/>
  <c r="I13" i="10"/>
  <c r="E13" i="10"/>
  <c r="D13" i="10"/>
  <c r="R13" i="10"/>
  <c r="M13" i="10"/>
  <c r="T11" i="10"/>
  <c r="S11" i="10"/>
  <c r="R11" i="10"/>
  <c r="N11" i="10"/>
  <c r="I11" i="10"/>
  <c r="D11" i="10"/>
  <c r="C11" i="10"/>
  <c r="T9" i="10"/>
  <c r="S9" i="10"/>
  <c r="Q9" i="10"/>
  <c r="O9" i="10"/>
  <c r="N9" i="10"/>
  <c r="L9" i="10"/>
  <c r="J9" i="10"/>
  <c r="I9" i="10"/>
  <c r="E9" i="10"/>
  <c r="D9" i="10"/>
  <c r="AC8" i="10"/>
  <c r="AH8" i="10" s="1"/>
  <c r="AM8" i="10" s="1"/>
  <c r="P8" i="10"/>
  <c r="R9" i="10" s="1"/>
  <c r="K8" i="10"/>
  <c r="M9" i="10" s="1"/>
  <c r="F8" i="10"/>
  <c r="S7" i="10"/>
  <c r="R7" i="10"/>
  <c r="N7" i="10"/>
  <c r="M7" i="10"/>
  <c r="I7" i="10"/>
  <c r="H7" i="10"/>
  <c r="D7" i="10"/>
  <c r="T5" i="10"/>
  <c r="S5" i="10"/>
  <c r="Q5" i="10"/>
  <c r="O5" i="10"/>
  <c r="N5" i="10"/>
  <c r="L5" i="10"/>
  <c r="J5" i="10"/>
  <c r="I5" i="10"/>
  <c r="E5" i="10"/>
  <c r="D5" i="10"/>
  <c r="W4" i="10"/>
  <c r="AB4" i="10" s="1"/>
  <c r="P4" i="10"/>
  <c r="K4" i="10"/>
  <c r="K5" i="10" s="1"/>
  <c r="F4" i="10"/>
  <c r="H5" i="10" s="1"/>
  <c r="E7" i="10" l="1"/>
  <c r="K9" i="10"/>
  <c r="E11" i="10"/>
  <c r="O15" i="10"/>
  <c r="O7" i="10"/>
  <c r="T7" i="10"/>
  <c r="J7" i="10"/>
  <c r="J11" i="10"/>
  <c r="M11" i="10"/>
  <c r="M19" i="10"/>
  <c r="P20" i="10"/>
  <c r="P21" i="10" s="1"/>
  <c r="P9" i="10"/>
  <c r="G11" i="10"/>
  <c r="G4" i="6"/>
  <c r="L4" i="6"/>
  <c r="L4" i="3"/>
  <c r="C22" i="10"/>
  <c r="C4" i="6"/>
  <c r="C4" i="3"/>
  <c r="C13" i="3" s="1"/>
  <c r="H4" i="6"/>
  <c r="H4" i="3"/>
  <c r="M22" i="10"/>
  <c r="M4" i="6"/>
  <c r="M4" i="3"/>
  <c r="R22" i="10"/>
  <c r="R4" i="6"/>
  <c r="R4" i="3"/>
  <c r="M5" i="10"/>
  <c r="L7" i="10"/>
  <c r="Q7" i="10"/>
  <c r="L11" i="10"/>
  <c r="C19" i="10"/>
  <c r="D19" i="10"/>
  <c r="D4" i="6"/>
  <c r="D4" i="3"/>
  <c r="D13" i="3" s="1"/>
  <c r="I22" i="10"/>
  <c r="I4" i="6"/>
  <c r="I4" i="3"/>
  <c r="N22" i="10"/>
  <c r="N4" i="6"/>
  <c r="N4" i="3"/>
  <c r="S22" i="10"/>
  <c r="S4" i="6"/>
  <c r="S4" i="3"/>
  <c r="Q22" i="10"/>
  <c r="Q4" i="6"/>
  <c r="Q4" i="3"/>
  <c r="L15" i="10"/>
  <c r="Q15" i="10"/>
  <c r="Q19" i="10"/>
  <c r="E22" i="10"/>
  <c r="E4" i="6"/>
  <c r="E4" i="3"/>
  <c r="E13" i="3" s="1"/>
  <c r="J22" i="10"/>
  <c r="J4" i="6"/>
  <c r="J4" i="3"/>
  <c r="O22" i="10"/>
  <c r="O4" i="6"/>
  <c r="O4" i="3"/>
  <c r="T21" i="10"/>
  <c r="T4" i="6"/>
  <c r="T6" i="6" s="1"/>
  <c r="T4" i="3"/>
  <c r="G22" i="10"/>
  <c r="G4" i="3"/>
  <c r="G13" i="3" s="1"/>
  <c r="L21" i="10"/>
  <c r="G15" i="10"/>
  <c r="G7" i="10"/>
  <c r="G19" i="10"/>
  <c r="Y9" i="10"/>
  <c r="AD8" i="10"/>
  <c r="AI8" i="10" s="1"/>
  <c r="AN8" i="10" s="1"/>
  <c r="AE8" i="10"/>
  <c r="AJ8" i="10" s="1"/>
  <c r="W9" i="10"/>
  <c r="AR8" i="10"/>
  <c r="R5" i="10"/>
  <c r="H9" i="10"/>
  <c r="X9" i="10"/>
  <c r="P22" i="10"/>
  <c r="F9" i="10"/>
  <c r="M17" i="10"/>
  <c r="K17" i="10"/>
  <c r="AG4" i="10"/>
  <c r="F20" i="10"/>
  <c r="F4" i="6" s="1"/>
  <c r="F5" i="10"/>
  <c r="AB8" i="10"/>
  <c r="P11" i="10"/>
  <c r="Y5" i="10"/>
  <c r="H13" i="10"/>
  <c r="K20" i="10"/>
  <c r="K11" i="10" s="1"/>
  <c r="P5" i="10"/>
  <c r="X5" i="10"/>
  <c r="V9" i="10"/>
  <c r="F13" i="10"/>
  <c r="J19" i="10"/>
  <c r="N19" i="10"/>
  <c r="R19" i="10"/>
  <c r="I21" i="10"/>
  <c r="Q21" i="10"/>
  <c r="D22" i="10"/>
  <c r="H22" i="10"/>
  <c r="L22" i="10"/>
  <c r="T22" i="10"/>
  <c r="P17" i="10"/>
  <c r="J21" i="10"/>
  <c r="N21" i="10"/>
  <c r="R21" i="10"/>
  <c r="P13" i="10"/>
  <c r="K15" i="10"/>
  <c r="H19" i="10"/>
  <c r="L19" i="10"/>
  <c r="T19" i="10"/>
  <c r="O21" i="10"/>
  <c r="S21" i="10"/>
  <c r="F7" i="10" l="1"/>
  <c r="F19" i="10"/>
  <c r="F15" i="10"/>
  <c r="M21" i="10"/>
  <c r="O13" i="3"/>
  <c r="O30" i="3"/>
  <c r="S13" i="3"/>
  <c r="S30" i="3"/>
  <c r="S16" i="3"/>
  <c r="H13" i="3"/>
  <c r="H30" i="3"/>
  <c r="J13" i="3"/>
  <c r="J30" i="3"/>
  <c r="P4" i="6"/>
  <c r="P4" i="3"/>
  <c r="K19" i="10"/>
  <c r="K4" i="6"/>
  <c r="K4" i="3"/>
  <c r="T23" i="3"/>
  <c r="T16" i="3"/>
  <c r="T30" i="3"/>
  <c r="T19" i="3"/>
  <c r="T21" i="3"/>
  <c r="T11" i="3"/>
  <c r="T9" i="3"/>
  <c r="T13" i="3"/>
  <c r="T7" i="3"/>
  <c r="Q13" i="3"/>
  <c r="Q30" i="3"/>
  <c r="M13" i="3"/>
  <c r="M30" i="3"/>
  <c r="N13" i="3"/>
  <c r="N30" i="3"/>
  <c r="P19" i="10"/>
  <c r="K7" i="10"/>
  <c r="P15" i="10"/>
  <c r="P7" i="10"/>
  <c r="I13" i="3"/>
  <c r="I30" i="3"/>
  <c r="R13" i="3"/>
  <c r="R30" i="3"/>
  <c r="R16" i="3"/>
  <c r="L13" i="3"/>
  <c r="L30" i="3"/>
  <c r="F22" i="10"/>
  <c r="F4" i="3"/>
  <c r="AE9" i="10"/>
  <c r="AI9" i="10"/>
  <c r="AD9" i="10"/>
  <c r="Z9" i="10"/>
  <c r="AH4" i="10"/>
  <c r="AC5" i="10"/>
  <c r="AI4" i="10"/>
  <c r="AD5" i="10"/>
  <c r="AG8" i="10"/>
  <c r="AF8" i="10"/>
  <c r="AB9" i="10"/>
  <c r="AO8" i="10"/>
  <c r="AJ9" i="10"/>
  <c r="AS8" i="10"/>
  <c r="AN9" i="10"/>
  <c r="AC9" i="10"/>
  <c r="AL4" i="10"/>
  <c r="K22" i="10"/>
  <c r="K21" i="10"/>
  <c r="H21" i="10"/>
  <c r="F11" i="10"/>
  <c r="V30" i="3" l="1"/>
  <c r="AA30" i="3" s="1"/>
  <c r="AF30" i="3" s="1"/>
  <c r="V16" i="10"/>
  <c r="X13" i="3"/>
  <c r="AC13" i="3" s="1"/>
  <c r="AH13" i="3" s="1"/>
  <c r="T25" i="3"/>
  <c r="T27" i="3" s="1"/>
  <c r="C4" i="14" s="1"/>
  <c r="C5" i="14" s="1"/>
  <c r="C20" i="14" s="1"/>
  <c r="F4" i="14"/>
  <c r="F6" i="14" s="1"/>
  <c r="X30" i="3"/>
  <c r="AC30" i="3" s="1"/>
  <c r="W30" i="3"/>
  <c r="AB30" i="3" s="1"/>
  <c r="W13" i="3"/>
  <c r="P13" i="3"/>
  <c r="Y30" i="3"/>
  <c r="Y13" i="3"/>
  <c r="AM4" i="10"/>
  <c r="AH5" i="10"/>
  <c r="AF9" i="10"/>
  <c r="AQ4" i="10"/>
  <c r="AT8" i="10"/>
  <c r="AO9" i="10"/>
  <c r="AS9" i="10"/>
  <c r="AK8" i="10"/>
  <c r="AL8" i="10"/>
  <c r="AG9" i="10"/>
  <c r="AH9" i="10"/>
  <c r="AN4" i="10"/>
  <c r="AI5" i="10"/>
  <c r="G5" i="6"/>
  <c r="H5" i="6"/>
  <c r="L5" i="6"/>
  <c r="M5" i="6"/>
  <c r="Q5" i="6"/>
  <c r="R5" i="6"/>
  <c r="S5" i="6"/>
  <c r="C5" i="6"/>
  <c r="G7" i="6"/>
  <c r="H7" i="6"/>
  <c r="L7" i="6"/>
  <c r="M7" i="6"/>
  <c r="Q7" i="6"/>
  <c r="Q8" i="6" s="1"/>
  <c r="R7" i="6"/>
  <c r="S7" i="6"/>
  <c r="C7" i="6"/>
  <c r="C8" i="6" s="1"/>
  <c r="M8" i="6" l="1"/>
  <c r="L8" i="6"/>
  <c r="AA16" i="10"/>
  <c r="AH30" i="3"/>
  <c r="T28" i="3"/>
  <c r="T33" i="3" s="1"/>
  <c r="V12" i="10"/>
  <c r="AM13" i="3"/>
  <c r="AR13" i="3" s="1"/>
  <c r="AM30" i="3"/>
  <c r="AR30" i="3" s="1"/>
  <c r="AD30" i="3"/>
  <c r="H8" i="6"/>
  <c r="AG30" i="3"/>
  <c r="AL30" i="3" s="1"/>
  <c r="R8" i="6"/>
  <c r="W8" i="6" s="1"/>
  <c r="S8" i="6"/>
  <c r="G8" i="6"/>
  <c r="AD13" i="3"/>
  <c r="AK30" i="3"/>
  <c r="AP30" i="3" s="1"/>
  <c r="AU30" i="3" s="1"/>
  <c r="AB13" i="3"/>
  <c r="AG13" i="3" s="1"/>
  <c r="AK9" i="10"/>
  <c r="AT9" i="10"/>
  <c r="AM5" i="10"/>
  <c r="AR4" i="10"/>
  <c r="AL9" i="10"/>
  <c r="AP8" i="10"/>
  <c r="AQ8" i="10"/>
  <c r="AM9" i="10"/>
  <c r="AN5" i="10"/>
  <c r="AS4" i="10"/>
  <c r="Q6" i="6"/>
  <c r="M6" i="6"/>
  <c r="L6" i="6"/>
  <c r="H6" i="6"/>
  <c r="S6" i="6"/>
  <c r="G6" i="6"/>
  <c r="R6" i="6"/>
  <c r="C6" i="6"/>
  <c r="AA12" i="10" l="1"/>
  <c r="AL13" i="3"/>
  <c r="AQ13" i="3" s="1"/>
  <c r="AI30" i="3"/>
  <c r="AN30" i="3" s="1"/>
  <c r="AQ30" i="3"/>
  <c r="AI13" i="3"/>
  <c r="AN13" i="3" s="1"/>
  <c r="W6" i="6"/>
  <c r="AB8" i="6"/>
  <c r="AG8" i="6" s="1"/>
  <c r="AS5" i="10"/>
  <c r="V13" i="10"/>
  <c r="AQ9" i="10"/>
  <c r="AU8" i="10"/>
  <c r="AR9" i="10"/>
  <c r="AR5" i="10"/>
  <c r="V17" i="10"/>
  <c r="AP9" i="10"/>
  <c r="W20" i="10"/>
  <c r="W19" i="10" s="1"/>
  <c r="F5" i="6"/>
  <c r="F6" i="6" s="1"/>
  <c r="E5" i="6"/>
  <c r="E6" i="6" s="1"/>
  <c r="F7" i="6"/>
  <c r="E7" i="6"/>
  <c r="D5" i="6"/>
  <c r="D6" i="6" s="1"/>
  <c r="D7" i="6"/>
  <c r="D8" i="6" s="1"/>
  <c r="K5" i="6"/>
  <c r="K6" i="6" s="1"/>
  <c r="J5" i="6"/>
  <c r="J6" i="6" s="1"/>
  <c r="I5" i="6"/>
  <c r="I6" i="6" s="1"/>
  <c r="K7" i="6"/>
  <c r="J7" i="6"/>
  <c r="I7" i="6"/>
  <c r="P5" i="6"/>
  <c r="P6" i="6" s="1"/>
  <c r="P7" i="6"/>
  <c r="O5" i="6"/>
  <c r="O6" i="6" s="1"/>
  <c r="Y6" i="6" s="1"/>
  <c r="O7" i="6"/>
  <c r="N5" i="6"/>
  <c r="N6" i="6" s="1"/>
  <c r="X6" i="6" s="1"/>
  <c r="N7" i="6"/>
  <c r="C19" i="4"/>
  <c r="C6" i="4"/>
  <c r="D19" i="4"/>
  <c r="D6" i="4"/>
  <c r="E19" i="4"/>
  <c r="E6" i="4"/>
  <c r="E10" i="4" s="1"/>
  <c r="C14" i="3"/>
  <c r="C24" i="3"/>
  <c r="D24" i="3"/>
  <c r="H19" i="4"/>
  <c r="H6" i="4"/>
  <c r="H10" i="4" s="1"/>
  <c r="I19" i="4"/>
  <c r="I6" i="4"/>
  <c r="I10" i="4" s="1"/>
  <c r="J19" i="4"/>
  <c r="J6" i="4"/>
  <c r="J10" i="4" s="1"/>
  <c r="M19" i="4"/>
  <c r="M6" i="4"/>
  <c r="M10" i="4" s="1"/>
  <c r="R19" i="4"/>
  <c r="N19" i="4"/>
  <c r="N6" i="4"/>
  <c r="N10" i="4" s="1"/>
  <c r="O19" i="4"/>
  <c r="O6" i="4"/>
  <c r="R6" i="4"/>
  <c r="R10" i="4" s="1"/>
  <c r="N44" i="4"/>
  <c r="N34" i="4"/>
  <c r="N16" i="4"/>
  <c r="S44" i="4"/>
  <c r="S34" i="4"/>
  <c r="S19" i="4"/>
  <c r="S16" i="4"/>
  <c r="S10" i="4"/>
  <c r="F19" i="4"/>
  <c r="O16" i="4"/>
  <c r="P16" i="4"/>
  <c r="P21" i="4" s="1"/>
  <c r="R16" i="4"/>
  <c r="T16" i="4"/>
  <c r="T21" i="4" s="1"/>
  <c r="D16" i="4"/>
  <c r="E16" i="4"/>
  <c r="F16" i="4"/>
  <c r="H16" i="4"/>
  <c r="I16" i="4"/>
  <c r="J16" i="4"/>
  <c r="J21" i="4" s="1"/>
  <c r="K16" i="4"/>
  <c r="K21" i="4" s="1"/>
  <c r="M16" i="4"/>
  <c r="C16" i="4"/>
  <c r="C21" i="4" s="1"/>
  <c r="G54" i="5"/>
  <c r="H54" i="5"/>
  <c r="L54" i="5"/>
  <c r="M54" i="5"/>
  <c r="Q54" i="5"/>
  <c r="R54" i="5"/>
  <c r="C54" i="5"/>
  <c r="G49" i="5"/>
  <c r="H49" i="5"/>
  <c r="L49" i="5"/>
  <c r="M49" i="5"/>
  <c r="Q49" i="5"/>
  <c r="R49" i="5"/>
  <c r="C49" i="5"/>
  <c r="G36" i="5"/>
  <c r="H36" i="5"/>
  <c r="L36" i="5"/>
  <c r="M36" i="5"/>
  <c r="Q36" i="5"/>
  <c r="R36" i="5"/>
  <c r="C36" i="5"/>
  <c r="D44" i="4"/>
  <c r="E44" i="4"/>
  <c r="F44" i="4"/>
  <c r="H44" i="4"/>
  <c r="I44" i="4"/>
  <c r="J44" i="4"/>
  <c r="K44" i="4"/>
  <c r="M44" i="4"/>
  <c r="O44" i="4"/>
  <c r="P44" i="4"/>
  <c r="R44" i="4"/>
  <c r="T44" i="4"/>
  <c r="C44" i="4"/>
  <c r="T34" i="4"/>
  <c r="D34" i="4"/>
  <c r="E34" i="4"/>
  <c r="F34" i="4"/>
  <c r="H34" i="4"/>
  <c r="I34" i="4"/>
  <c r="J34" i="4"/>
  <c r="K34" i="4"/>
  <c r="M34" i="4"/>
  <c r="O34" i="4"/>
  <c r="P34" i="4"/>
  <c r="R34" i="4"/>
  <c r="C34" i="4"/>
  <c r="K10" i="4"/>
  <c r="O10" i="4"/>
  <c r="P10" i="4"/>
  <c r="T10" i="4"/>
  <c r="D10" i="4"/>
  <c r="F10" i="4"/>
  <c r="C12" i="17" l="1"/>
  <c r="C10" i="4"/>
  <c r="C23" i="4" s="1"/>
  <c r="I8" i="6"/>
  <c r="E8" i="6"/>
  <c r="N8" i="6"/>
  <c r="X8" i="6" s="1"/>
  <c r="AC8" i="6" s="1"/>
  <c r="P8" i="6"/>
  <c r="F8" i="6"/>
  <c r="J8" i="6"/>
  <c r="AF16" i="10"/>
  <c r="U6" i="6"/>
  <c r="Z6" i="6" s="1"/>
  <c r="AF12" i="10"/>
  <c r="D21" i="4"/>
  <c r="D23" i="4" s="1"/>
  <c r="O8" i="6"/>
  <c r="Y8" i="6" s="1"/>
  <c r="AD6" i="6"/>
  <c r="H21" i="4"/>
  <c r="W4" i="6"/>
  <c r="W5" i="6" s="1"/>
  <c r="W4" i="3"/>
  <c r="AS13" i="3"/>
  <c r="AC6" i="6"/>
  <c r="AH6" i="6" s="1"/>
  <c r="AB6" i="6"/>
  <c r="R21" i="4"/>
  <c r="R23" i="4" s="1"/>
  <c r="K8" i="6"/>
  <c r="AL8" i="6"/>
  <c r="AS30" i="3"/>
  <c r="W15" i="10"/>
  <c r="AU9" i="10"/>
  <c r="X20" i="10"/>
  <c r="X19" i="10" s="1"/>
  <c r="W22" i="10"/>
  <c r="W11" i="10"/>
  <c r="W7" i="10"/>
  <c r="O21" i="4"/>
  <c r="O23" i="4" s="1"/>
  <c r="M21" i="4"/>
  <c r="M23" i="4" s="1"/>
  <c r="E21" i="4"/>
  <c r="E23" i="4" s="1"/>
  <c r="S21" i="4"/>
  <c r="S23" i="4" s="1"/>
  <c r="I21" i="4"/>
  <c r="I23" i="4" s="1"/>
  <c r="K54" i="4"/>
  <c r="N21" i="4"/>
  <c r="N23" i="4" s="1"/>
  <c r="T23" i="4"/>
  <c r="P54" i="4"/>
  <c r="E54" i="4"/>
  <c r="K23" i="4"/>
  <c r="F21" i="4"/>
  <c r="F23" i="4" s="1"/>
  <c r="P23" i="4"/>
  <c r="T54" i="4"/>
  <c r="J23" i="4"/>
  <c r="J54" i="4"/>
  <c r="H23" i="4"/>
  <c r="C54" i="4"/>
  <c r="O54" i="4"/>
  <c r="I54" i="4"/>
  <c r="D54" i="4"/>
  <c r="R54" i="4"/>
  <c r="M54" i="4"/>
  <c r="H54" i="4"/>
  <c r="N54" i="4"/>
  <c r="F54" i="4"/>
  <c r="F29" i="3"/>
  <c r="K29" i="3"/>
  <c r="K30" i="3" s="1"/>
  <c r="E24" i="3"/>
  <c r="H24" i="3"/>
  <c r="I24" i="3"/>
  <c r="M24" i="3"/>
  <c r="F31" i="3"/>
  <c r="F26" i="3"/>
  <c r="F22" i="3"/>
  <c r="F23" i="3" s="1"/>
  <c r="F20" i="3"/>
  <c r="F21" i="3" s="1"/>
  <c r="F18" i="3"/>
  <c r="F15" i="3"/>
  <c r="F12" i="3"/>
  <c r="F13" i="3" s="1"/>
  <c r="F10" i="3"/>
  <c r="F11" i="3" s="1"/>
  <c r="F8" i="3"/>
  <c r="F6" i="3"/>
  <c r="F7" i="3" s="1"/>
  <c r="E23" i="3"/>
  <c r="E21" i="3"/>
  <c r="E19" i="3"/>
  <c r="E14" i="3"/>
  <c r="E16" i="3" s="1"/>
  <c r="E11" i="3"/>
  <c r="E9" i="3"/>
  <c r="E7" i="3"/>
  <c r="C23" i="3"/>
  <c r="D23" i="3"/>
  <c r="G23" i="3"/>
  <c r="C21" i="3"/>
  <c r="D21" i="3"/>
  <c r="C19" i="3"/>
  <c r="D19" i="3"/>
  <c r="C16" i="3"/>
  <c r="D14" i="3"/>
  <c r="D16" i="3" s="1"/>
  <c r="C11" i="3"/>
  <c r="D11" i="3"/>
  <c r="C9" i="3"/>
  <c r="D9" i="3"/>
  <c r="C7" i="3"/>
  <c r="D7" i="3"/>
  <c r="V43" i="4" l="1"/>
  <c r="AH8" i="6"/>
  <c r="AM8" i="6" s="1"/>
  <c r="U8" i="6"/>
  <c r="Z8" i="6" s="1"/>
  <c r="AE8" i="6" s="1"/>
  <c r="F24" i="3"/>
  <c r="AK16" i="10"/>
  <c r="AK12" i="10"/>
  <c r="W7" i="6"/>
  <c r="X15" i="10"/>
  <c r="X4" i="6"/>
  <c r="X5" i="6" s="1"/>
  <c r="X7" i="6" s="1"/>
  <c r="X4" i="3"/>
  <c r="AR8" i="6"/>
  <c r="AQ8" i="6"/>
  <c r="W31" i="3"/>
  <c r="W12" i="3"/>
  <c r="W29" i="3"/>
  <c r="AD8" i="6"/>
  <c r="AI8" i="6" s="1"/>
  <c r="AM6" i="6"/>
  <c r="AI6" i="6"/>
  <c r="AN6" i="6" s="1"/>
  <c r="AG6" i="6"/>
  <c r="AL6" i="6" s="1"/>
  <c r="AE6" i="6"/>
  <c r="E25" i="3"/>
  <c r="X21" i="10"/>
  <c r="X22" i="10"/>
  <c r="X11" i="10"/>
  <c r="X7" i="10"/>
  <c r="Y20" i="10"/>
  <c r="Y19" i="10" s="1"/>
  <c r="F9" i="3"/>
  <c r="C25" i="3"/>
  <c r="C28" i="3" s="1"/>
  <c r="C5" i="5" s="1"/>
  <c r="C26" i="5" s="1"/>
  <c r="D25" i="3"/>
  <c r="D28" i="3" s="1"/>
  <c r="F14" i="3"/>
  <c r="F16" i="3" s="1"/>
  <c r="F19" i="3"/>
  <c r="AU16" i="10" l="1"/>
  <c r="AP16" i="10"/>
  <c r="AU12" i="10"/>
  <c r="AP12" i="10"/>
  <c r="AS6" i="6"/>
  <c r="Y4" i="6"/>
  <c r="Y5" i="6" s="1"/>
  <c r="Y7" i="6" s="1"/>
  <c r="Y4" i="3"/>
  <c r="AN8" i="6"/>
  <c r="AS8" i="6" s="1"/>
  <c r="AR6" i="6"/>
  <c r="AJ6" i="6"/>
  <c r="X31" i="3"/>
  <c r="X29" i="3"/>
  <c r="X12" i="3"/>
  <c r="AJ8" i="6"/>
  <c r="AO8" i="6" s="1"/>
  <c r="AQ6" i="6"/>
  <c r="E27" i="3"/>
  <c r="E28" i="3"/>
  <c r="AA13" i="10"/>
  <c r="AA17" i="10"/>
  <c r="Y22" i="10"/>
  <c r="Y21" i="10"/>
  <c r="Y11" i="10"/>
  <c r="Y7" i="10"/>
  <c r="Y15" i="10"/>
  <c r="C27" i="3"/>
  <c r="C33" i="3"/>
  <c r="F25" i="3"/>
  <c r="D27" i="3"/>
  <c r="D33" i="3"/>
  <c r="AT8" i="6" l="1"/>
  <c r="Y12" i="3"/>
  <c r="Y31" i="3"/>
  <c r="Y29" i="3"/>
  <c r="AO6" i="6"/>
  <c r="E33" i="3"/>
  <c r="AB20" i="10"/>
  <c r="AB19" i="10" s="1"/>
  <c r="F28" i="3"/>
  <c r="F27" i="3"/>
  <c r="AB4" i="6" l="1"/>
  <c r="AB5" i="6" s="1"/>
  <c r="AB4" i="3"/>
  <c r="AT6" i="6"/>
  <c r="AB22" i="10"/>
  <c r="AB7" i="10"/>
  <c r="AB11" i="10"/>
  <c r="AC20" i="10"/>
  <c r="AC19" i="10" s="1"/>
  <c r="AB15" i="10"/>
  <c r="F33" i="3"/>
  <c r="H14" i="3"/>
  <c r="H16" i="3" s="1"/>
  <c r="P31" i="3"/>
  <c r="P32" i="3" s="1"/>
  <c r="P29" i="3"/>
  <c r="P30" i="3" s="1"/>
  <c r="P26" i="3"/>
  <c r="AC4" i="6" l="1"/>
  <c r="AC5" i="6" s="1"/>
  <c r="AC7" i="6" s="1"/>
  <c r="AC4" i="3"/>
  <c r="AB31" i="3"/>
  <c r="AB12" i="3"/>
  <c r="AB29" i="3"/>
  <c r="U30" i="3"/>
  <c r="AB7" i="6"/>
  <c r="AC22" i="10"/>
  <c r="AC21" i="10"/>
  <c r="AC11" i="10"/>
  <c r="AC7" i="10"/>
  <c r="AC15" i="10"/>
  <c r="AD20" i="10"/>
  <c r="AD19" i="10" s="1"/>
  <c r="K31" i="3"/>
  <c r="K26" i="3"/>
  <c r="K22" i="3"/>
  <c r="K20" i="3"/>
  <c r="K18" i="3"/>
  <c r="K24" i="3" s="1"/>
  <c r="K15" i="3"/>
  <c r="Z30" i="3" l="1"/>
  <c r="AE30" i="3" s="1"/>
  <c r="AC31" i="3"/>
  <c r="AC29" i="3"/>
  <c r="AC12" i="3"/>
  <c r="AD4" i="6"/>
  <c r="AD5" i="6" s="1"/>
  <c r="AD4" i="3"/>
  <c r="AD22" i="10"/>
  <c r="AD21" i="10"/>
  <c r="AD11" i="10"/>
  <c r="AD7" i="10"/>
  <c r="AF17" i="10"/>
  <c r="AD15" i="10"/>
  <c r="K12" i="3"/>
  <c r="K13" i="3" s="1"/>
  <c r="K10" i="3"/>
  <c r="K8" i="3"/>
  <c r="AD7" i="6" l="1"/>
  <c r="Z13" i="3"/>
  <c r="AD12" i="3"/>
  <c r="AD31" i="3"/>
  <c r="AD29" i="3"/>
  <c r="AJ30" i="3"/>
  <c r="AF13" i="10"/>
  <c r="AG20" i="10"/>
  <c r="AG19" i="10" s="1"/>
  <c r="M21" i="3"/>
  <c r="P24" i="3"/>
  <c r="Q24" i="3"/>
  <c r="R24" i="3"/>
  <c r="R25" i="3" s="1"/>
  <c r="R28" i="3" s="1"/>
  <c r="S24" i="3"/>
  <c r="S25" i="3" s="1"/>
  <c r="S28" i="3" s="1"/>
  <c r="N24" i="3"/>
  <c r="O24" i="3"/>
  <c r="AE13" i="3" l="1"/>
  <c r="AJ13" i="3" s="1"/>
  <c r="AO30" i="3"/>
  <c r="AT30" i="3" s="1"/>
  <c r="AG4" i="6"/>
  <c r="AG5" i="6" s="1"/>
  <c r="AG4" i="3"/>
  <c r="AG22" i="10"/>
  <c r="AG7" i="10"/>
  <c r="AG11" i="10"/>
  <c r="AH20" i="10"/>
  <c r="AH19" i="10" s="1"/>
  <c r="AG15" i="10"/>
  <c r="S23" i="3"/>
  <c r="R23" i="3"/>
  <c r="S21" i="3"/>
  <c r="R21" i="3"/>
  <c r="S19" i="3"/>
  <c r="R19" i="3"/>
  <c r="S11" i="3"/>
  <c r="R11" i="3"/>
  <c r="S9" i="3"/>
  <c r="R9" i="3"/>
  <c r="S7" i="3"/>
  <c r="R7" i="3"/>
  <c r="O7" i="3"/>
  <c r="P7" i="3"/>
  <c r="Q7" i="3"/>
  <c r="O9" i="3"/>
  <c r="Y9" i="3" s="1"/>
  <c r="P9" i="3"/>
  <c r="Q9" i="3"/>
  <c r="O11" i="3"/>
  <c r="Y11" i="3" s="1"/>
  <c r="P11" i="3"/>
  <c r="Q11" i="3"/>
  <c r="O14" i="3"/>
  <c r="O16" i="3" s="1"/>
  <c r="O25" i="3" s="1"/>
  <c r="O28" i="3" s="1"/>
  <c r="P14" i="3"/>
  <c r="P16" i="3" s="1"/>
  <c r="P25" i="3" s="1"/>
  <c r="P28" i="3" s="1"/>
  <c r="Q14" i="3"/>
  <c r="Q16" i="3" s="1"/>
  <c r="Q25" i="3" s="1"/>
  <c r="Q28" i="3" s="1"/>
  <c r="O19" i="3"/>
  <c r="Y19" i="3" s="1"/>
  <c r="Y18" i="3" s="1"/>
  <c r="P19" i="3"/>
  <c r="Q19" i="3"/>
  <c r="O21" i="3"/>
  <c r="Y21" i="3" s="1"/>
  <c r="P21" i="3"/>
  <c r="Q21" i="3"/>
  <c r="O23" i="3"/>
  <c r="Y23" i="3" s="1"/>
  <c r="P23" i="3"/>
  <c r="Q23" i="3"/>
  <c r="H23" i="3"/>
  <c r="I23" i="3"/>
  <c r="J23" i="3"/>
  <c r="K23" i="3"/>
  <c r="L23" i="3"/>
  <c r="M23" i="3"/>
  <c r="N23" i="3"/>
  <c r="H21" i="3"/>
  <c r="I21" i="3"/>
  <c r="J21" i="3"/>
  <c r="K21" i="3"/>
  <c r="L21" i="3"/>
  <c r="N21" i="3"/>
  <c r="G21" i="3"/>
  <c r="H19" i="3"/>
  <c r="I19" i="3"/>
  <c r="J19" i="3"/>
  <c r="K19" i="3"/>
  <c r="L19" i="3"/>
  <c r="M19" i="3"/>
  <c r="N19" i="3"/>
  <c r="G19" i="3"/>
  <c r="H11" i="3"/>
  <c r="I11" i="3"/>
  <c r="J11" i="3"/>
  <c r="K11" i="3"/>
  <c r="U11" i="3" s="1"/>
  <c r="L11" i="3"/>
  <c r="M11" i="3"/>
  <c r="W11" i="3" s="1"/>
  <c r="N11" i="3"/>
  <c r="G11" i="3"/>
  <c r="H9" i="3"/>
  <c r="I9" i="3"/>
  <c r="J9" i="3"/>
  <c r="K9" i="3"/>
  <c r="L9" i="3"/>
  <c r="M9" i="3"/>
  <c r="N9" i="3"/>
  <c r="G9" i="3"/>
  <c r="I7" i="3"/>
  <c r="J7" i="3"/>
  <c r="L7" i="3"/>
  <c r="M7" i="3"/>
  <c r="N7" i="3"/>
  <c r="G7" i="3"/>
  <c r="M14" i="3"/>
  <c r="M16" i="3" s="1"/>
  <c r="M25" i="3" s="1"/>
  <c r="M28" i="3" s="1"/>
  <c r="G14" i="3"/>
  <c r="G16" i="3" s="1"/>
  <c r="I14" i="3"/>
  <c r="I16" i="3" s="1"/>
  <c r="I25" i="3" s="1"/>
  <c r="I28" i="3" s="1"/>
  <c r="J14" i="3"/>
  <c r="J16" i="3" s="1"/>
  <c r="J25" i="3" s="1"/>
  <c r="J28" i="3" s="1"/>
  <c r="L14" i="3"/>
  <c r="L16" i="3" s="1"/>
  <c r="L25" i="3" s="1"/>
  <c r="L28" i="3" s="1"/>
  <c r="N14" i="3"/>
  <c r="N16" i="3" s="1"/>
  <c r="N25" i="3" s="1"/>
  <c r="N28" i="3" s="1"/>
  <c r="U23" i="3" l="1"/>
  <c r="Z23" i="3" s="1"/>
  <c r="W23" i="3"/>
  <c r="AH4" i="6"/>
  <c r="AH5" i="6" s="1"/>
  <c r="AH7" i="6" s="1"/>
  <c r="AH4" i="3"/>
  <c r="AG7" i="6"/>
  <c r="AO13" i="3"/>
  <c r="AT13" i="3" s="1"/>
  <c r="W19" i="3"/>
  <c r="W18" i="3" s="1"/>
  <c r="AG31" i="3"/>
  <c r="AG12" i="3"/>
  <c r="AG29" i="3"/>
  <c r="X23" i="3"/>
  <c r="X9" i="3"/>
  <c r="X8" i="3" s="1"/>
  <c r="X11" i="3"/>
  <c r="AC11" i="3" s="1"/>
  <c r="X19" i="3"/>
  <c r="X18" i="3" s="1"/>
  <c r="X21" i="3"/>
  <c r="X20" i="3" s="1"/>
  <c r="W9" i="3"/>
  <c r="AB9" i="3" s="1"/>
  <c r="W10" i="3"/>
  <c r="X22" i="3"/>
  <c r="Y20" i="3"/>
  <c r="AD21" i="3"/>
  <c r="AI21" i="3" s="1"/>
  <c r="Z11" i="3"/>
  <c r="AE11" i="3" s="1"/>
  <c r="Y8" i="3"/>
  <c r="AD9" i="3"/>
  <c r="AI9" i="3" s="1"/>
  <c r="AB11" i="3"/>
  <c r="AB23" i="3"/>
  <c r="AG23" i="3" s="1"/>
  <c r="AD19" i="3"/>
  <c r="AD18" i="3" s="1"/>
  <c r="Y6" i="3"/>
  <c r="AC9" i="3"/>
  <c r="W6" i="3"/>
  <c r="U19" i="3"/>
  <c r="W22" i="3"/>
  <c r="AD23" i="3"/>
  <c r="AI23" i="3" s="1"/>
  <c r="Y22" i="3"/>
  <c r="AD11" i="3"/>
  <c r="AI11" i="3" s="1"/>
  <c r="Y10" i="3"/>
  <c r="AC23" i="3"/>
  <c r="W21" i="3"/>
  <c r="AB21" i="3" s="1"/>
  <c r="AH22" i="10"/>
  <c r="AH21" i="10"/>
  <c r="AH11" i="10"/>
  <c r="AH7" i="10"/>
  <c r="AH15" i="10"/>
  <c r="AI20" i="10"/>
  <c r="AI19" i="10" s="1"/>
  <c r="S33" i="3"/>
  <c r="R27" i="3"/>
  <c r="Q27" i="3"/>
  <c r="G25" i="3"/>
  <c r="G28" i="3" s="1"/>
  <c r="AB19" i="3" l="1"/>
  <c r="AB18" i="3" s="1"/>
  <c r="AI4" i="6"/>
  <c r="AI5" i="6" s="1"/>
  <c r="AI4" i="3"/>
  <c r="Y14" i="3"/>
  <c r="Y16" i="3" s="1"/>
  <c r="AH31" i="3"/>
  <c r="AH29" i="3"/>
  <c r="AH12" i="3"/>
  <c r="X6" i="3"/>
  <c r="X10" i="3"/>
  <c r="AC19" i="3"/>
  <c r="AC18" i="3" s="1"/>
  <c r="AC21" i="3"/>
  <c r="AH21" i="3" s="1"/>
  <c r="AH20" i="3" s="1"/>
  <c r="Y24" i="3"/>
  <c r="AC10" i="3"/>
  <c r="AD6" i="3"/>
  <c r="AB20" i="3"/>
  <c r="AG21" i="3"/>
  <c r="W20" i="3"/>
  <c r="AC6" i="3"/>
  <c r="AG22" i="3"/>
  <c r="X24" i="3"/>
  <c r="AB10" i="3"/>
  <c r="AB8" i="3"/>
  <c r="AH11" i="3"/>
  <c r="AC22" i="3"/>
  <c r="AN23" i="3"/>
  <c r="AD22" i="3"/>
  <c r="AI19" i="3"/>
  <c r="AB6" i="3"/>
  <c r="AJ11" i="3"/>
  <c r="Z21" i="3"/>
  <c r="AG11" i="3"/>
  <c r="AL11" i="3" s="1"/>
  <c r="AN11" i="3"/>
  <c r="AD10" i="3"/>
  <c r="AG6" i="3"/>
  <c r="AC8" i="3"/>
  <c r="Z9" i="3"/>
  <c r="AB22" i="3"/>
  <c r="AN9" i="3"/>
  <c r="AD8" i="3"/>
  <c r="AN21" i="3"/>
  <c r="AD20" i="3"/>
  <c r="AH23" i="3"/>
  <c r="AH22" i="3" s="1"/>
  <c r="AG9" i="3"/>
  <c r="W8" i="3"/>
  <c r="W14" i="3" s="1"/>
  <c r="W16" i="3" s="1"/>
  <c r="Z19" i="3"/>
  <c r="AH9" i="3"/>
  <c r="AM9" i="3" s="1"/>
  <c r="G33" i="3"/>
  <c r="G5" i="5"/>
  <c r="G26" i="5" s="1"/>
  <c r="M33" i="3"/>
  <c r="M5" i="5"/>
  <c r="L33" i="3"/>
  <c r="L5" i="5"/>
  <c r="L26" i="5" s="1"/>
  <c r="Q33" i="3"/>
  <c r="Q5" i="5"/>
  <c r="Q26" i="5" s="1"/>
  <c r="R33" i="3"/>
  <c r="R5" i="5"/>
  <c r="AI22" i="10"/>
  <c r="AI21" i="10"/>
  <c r="AI11" i="10"/>
  <c r="AI7" i="10"/>
  <c r="AI15" i="10"/>
  <c r="P27" i="3"/>
  <c r="J27" i="3"/>
  <c r="I27" i="3"/>
  <c r="N33" i="3"/>
  <c r="S27" i="3"/>
  <c r="O27" i="3"/>
  <c r="L27" i="3"/>
  <c r="N27" i="3"/>
  <c r="G27" i="3"/>
  <c r="M27" i="3"/>
  <c r="H7" i="3"/>
  <c r="H25" i="3"/>
  <c r="H28" i="3" s="1"/>
  <c r="K6" i="3"/>
  <c r="AI22" i="3" l="1"/>
  <c r="AI18" i="3"/>
  <c r="AG19" i="3"/>
  <c r="AC20" i="3"/>
  <c r="AC24" i="3" s="1"/>
  <c r="AH19" i="3"/>
  <c r="AI10" i="3"/>
  <c r="AD14" i="3"/>
  <c r="AD16" i="3" s="1"/>
  <c r="AC14" i="3"/>
  <c r="AC16" i="3" s="1"/>
  <c r="K7" i="3"/>
  <c r="K32" i="3"/>
  <c r="U32" i="3" s="1"/>
  <c r="X14" i="3"/>
  <c r="X16" i="3" s="1"/>
  <c r="X25" i="3" s="1"/>
  <c r="X26" i="3"/>
  <c r="AB14" i="3"/>
  <c r="AB16" i="3" s="1"/>
  <c r="AI12" i="3"/>
  <c r="AI31" i="3"/>
  <c r="AI29" i="3"/>
  <c r="AI8" i="3"/>
  <c r="AI20" i="3"/>
  <c r="Y25" i="3"/>
  <c r="AI7" i="6"/>
  <c r="AQ23" i="3"/>
  <c r="AS23" i="3"/>
  <c r="AG8" i="3"/>
  <c r="AH10" i="3"/>
  <c r="AN19" i="3"/>
  <c r="AR9" i="3"/>
  <c r="AH8" i="3"/>
  <c r="AI6" i="3"/>
  <c r="AE21" i="3"/>
  <c r="AJ21" i="3" s="1"/>
  <c r="AH6" i="3"/>
  <c r="AG20" i="3"/>
  <c r="W26" i="3"/>
  <c r="W24" i="3"/>
  <c r="W25" i="3" s="1"/>
  <c r="AM21" i="3"/>
  <c r="AM23" i="3"/>
  <c r="AL9" i="3"/>
  <c r="AS21" i="3"/>
  <c r="AO23" i="3"/>
  <c r="AM11" i="3"/>
  <c r="Y26" i="3"/>
  <c r="AQ11" i="3"/>
  <c r="AG10" i="3"/>
  <c r="AE19" i="3"/>
  <c r="AS9" i="3"/>
  <c r="AD24" i="3"/>
  <c r="AE9" i="3"/>
  <c r="AL21" i="3"/>
  <c r="AB24" i="3"/>
  <c r="AO11" i="3"/>
  <c r="AS11" i="3"/>
  <c r="J33" i="3"/>
  <c r="I33" i="3"/>
  <c r="M26" i="5"/>
  <c r="O33" i="3"/>
  <c r="P33" i="3"/>
  <c r="R26" i="5"/>
  <c r="AK17" i="10"/>
  <c r="AK13" i="10"/>
  <c r="AL20" i="10"/>
  <c r="AL19" i="10" s="1"/>
  <c r="K14" i="3"/>
  <c r="K16" i="3" s="1"/>
  <c r="K25" i="3" s="1"/>
  <c r="K28" i="3" s="1"/>
  <c r="H27" i="3"/>
  <c r="AL19" i="3" l="1"/>
  <c r="AQ19" i="3" s="1"/>
  <c r="AG18" i="3"/>
  <c r="AM19" i="3"/>
  <c r="AR19" i="3" s="1"/>
  <c r="AH18" i="3"/>
  <c r="AH24" i="3" s="1"/>
  <c r="AI24" i="3"/>
  <c r="AD25" i="3"/>
  <c r="AB25" i="3"/>
  <c r="AG14" i="3"/>
  <c r="AG16" i="3" s="1"/>
  <c r="AH14" i="3"/>
  <c r="AH16" i="3" s="1"/>
  <c r="AL4" i="6"/>
  <c r="AL5" i="6" s="1"/>
  <c r="AL4" i="3"/>
  <c r="AI14" i="3"/>
  <c r="AI16" i="3" s="1"/>
  <c r="Z32" i="3"/>
  <c r="AC25" i="3"/>
  <c r="Y28" i="3"/>
  <c r="Y33" i="3" s="1"/>
  <c r="X28" i="3"/>
  <c r="X33" i="3" s="1"/>
  <c r="W28" i="3"/>
  <c r="W33" i="3" s="1"/>
  <c r="AQ9" i="3"/>
  <c r="AG26" i="3"/>
  <c r="AH26" i="3"/>
  <c r="AI26" i="3"/>
  <c r="AR11" i="3"/>
  <c r="AT11" i="3"/>
  <c r="AD26" i="3"/>
  <c r="AR23" i="3"/>
  <c r="AQ21" i="3"/>
  <c r="AS19" i="3"/>
  <c r="AG24" i="3"/>
  <c r="AJ19" i="3"/>
  <c r="AR21" i="3"/>
  <c r="AJ9" i="3"/>
  <c r="AO9" i="3" s="1"/>
  <c r="AC26" i="3"/>
  <c r="AB26" i="3"/>
  <c r="AT23" i="3"/>
  <c r="AO21" i="3"/>
  <c r="H33" i="3"/>
  <c r="H5" i="5"/>
  <c r="H26" i="5" s="1"/>
  <c r="K33" i="3"/>
  <c r="AL15" i="10"/>
  <c r="AM20" i="10"/>
  <c r="AM19" i="10" s="1"/>
  <c r="AL22" i="10"/>
  <c r="AL7" i="10"/>
  <c r="AL11" i="10"/>
  <c r="K27" i="3"/>
  <c r="AH25" i="3" l="1"/>
  <c r="AH28" i="3" s="1"/>
  <c r="AH33" i="3" s="1"/>
  <c r="AL20" i="3"/>
  <c r="AL18" i="3"/>
  <c r="AI25" i="3"/>
  <c r="AI28" i="3" s="1"/>
  <c r="AI33" i="3" s="1"/>
  <c r="AL8" i="3"/>
  <c r="AL26" i="3"/>
  <c r="AG25" i="3"/>
  <c r="AG28" i="3" s="1"/>
  <c r="AG33" i="3" s="1"/>
  <c r="AJ32" i="3"/>
  <c r="AE32" i="3"/>
  <c r="AL7" i="6"/>
  <c r="AM15" i="10"/>
  <c r="AM4" i="6"/>
  <c r="AM5" i="6" s="1"/>
  <c r="AM7" i="6" s="1"/>
  <c r="AM4" i="3"/>
  <c r="AM18" i="3" s="1"/>
  <c r="AL31" i="3"/>
  <c r="AL12" i="3"/>
  <c r="AL29" i="3"/>
  <c r="AL6" i="3"/>
  <c r="AL22" i="3"/>
  <c r="AL10" i="3"/>
  <c r="AD28" i="3"/>
  <c r="AD33" i="3" s="1"/>
  <c r="AC28" i="3"/>
  <c r="AC33" i="3" s="1"/>
  <c r="AB28" i="3"/>
  <c r="AB33" i="3" s="1"/>
  <c r="AT21" i="3"/>
  <c r="AT9" i="3"/>
  <c r="AO19" i="3"/>
  <c r="AN20" i="10"/>
  <c r="AN19" i="10" s="1"/>
  <c r="AM22" i="10"/>
  <c r="AM21" i="10"/>
  <c r="AM11" i="10"/>
  <c r="AM7" i="10"/>
  <c r="AL24" i="3" l="1"/>
  <c r="AM31" i="3"/>
  <c r="AM29" i="3"/>
  <c r="AM12" i="3"/>
  <c r="AM8" i="3"/>
  <c r="AM6" i="3"/>
  <c r="AM20" i="3"/>
  <c r="AM10" i="3"/>
  <c r="AM22" i="3"/>
  <c r="AM26" i="3"/>
  <c r="AO32" i="3"/>
  <c r="AT32" i="3" s="1"/>
  <c r="AN4" i="6"/>
  <c r="AN5" i="6" s="1"/>
  <c r="AN7" i="6" s="1"/>
  <c r="AN4" i="3"/>
  <c r="AN18" i="3" s="1"/>
  <c r="AL14" i="3"/>
  <c r="AL16" i="3" s="1"/>
  <c r="AT19" i="3"/>
  <c r="AN21" i="10"/>
  <c r="AN22" i="10"/>
  <c r="AN11" i="10"/>
  <c r="AN7" i="10"/>
  <c r="AP17" i="10"/>
  <c r="AP13" i="10"/>
  <c r="AN15" i="10"/>
  <c r="AL25" i="3" l="1"/>
  <c r="AL28" i="3" s="1"/>
  <c r="AL33" i="3" s="1"/>
  <c r="AM24" i="3"/>
  <c r="AM14" i="3"/>
  <c r="AM16" i="3" s="1"/>
  <c r="AN12" i="3"/>
  <c r="AN31" i="3"/>
  <c r="AN29" i="3"/>
  <c r="AN20" i="3"/>
  <c r="AN10" i="3"/>
  <c r="AN8" i="3"/>
  <c r="AN22" i="3"/>
  <c r="AN6" i="3"/>
  <c r="AN26" i="3"/>
  <c r="AQ20" i="10"/>
  <c r="AQ19" i="10" s="1"/>
  <c r="AN24" i="3" l="1"/>
  <c r="AM25" i="3"/>
  <c r="AM28" i="3" s="1"/>
  <c r="AM33" i="3" s="1"/>
  <c r="AQ4" i="6"/>
  <c r="AQ5" i="6" s="1"/>
  <c r="AQ4" i="3"/>
  <c r="AQ18" i="3" s="1"/>
  <c r="AN14" i="3"/>
  <c r="AN16" i="3" s="1"/>
  <c r="AQ22" i="10"/>
  <c r="AQ7" i="10"/>
  <c r="AQ11" i="10"/>
  <c r="AQ15" i="10"/>
  <c r="AR20" i="10"/>
  <c r="AR19" i="10" s="1"/>
  <c r="AN25" i="3" l="1"/>
  <c r="AN28" i="3" s="1"/>
  <c r="AN33" i="3" s="1"/>
  <c r="AQ7" i="6"/>
  <c r="AR4" i="6"/>
  <c r="AR5" i="6" s="1"/>
  <c r="AR7" i="6" s="1"/>
  <c r="AR4" i="3"/>
  <c r="AR18" i="3" s="1"/>
  <c r="AQ12" i="3"/>
  <c r="AQ31" i="3"/>
  <c r="AQ29" i="3"/>
  <c r="AQ6" i="3"/>
  <c r="AQ10" i="3"/>
  <c r="AQ22" i="3"/>
  <c r="AQ8" i="3"/>
  <c r="AQ20" i="3"/>
  <c r="AQ26" i="3"/>
  <c r="AR15" i="10"/>
  <c r="AR21" i="10"/>
  <c r="AR22" i="10"/>
  <c r="AR11" i="10"/>
  <c r="AR7" i="10"/>
  <c r="AS20" i="10"/>
  <c r="AS19" i="10" s="1"/>
  <c r="AQ14" i="3" l="1"/>
  <c r="AQ16" i="3" s="1"/>
  <c r="AR12" i="3"/>
  <c r="AR31" i="3"/>
  <c r="AR29" i="3"/>
  <c r="AR8" i="3"/>
  <c r="AR20" i="3"/>
  <c r="AR22" i="3"/>
  <c r="AR6" i="3"/>
  <c r="AR10" i="3"/>
  <c r="AR26" i="3"/>
  <c r="AQ24" i="3"/>
  <c r="AS4" i="6"/>
  <c r="AS5" i="6" s="1"/>
  <c r="AS4" i="3"/>
  <c r="AS18" i="3" s="1"/>
  <c r="AU13" i="10"/>
  <c r="AS22" i="10"/>
  <c r="AS21" i="10"/>
  <c r="AS11" i="10"/>
  <c r="AS7" i="10"/>
  <c r="AS15" i="10"/>
  <c r="AR24" i="3" l="1"/>
  <c r="AS7" i="6"/>
  <c r="AR14" i="3"/>
  <c r="AR16" i="3" s="1"/>
  <c r="AS12" i="3"/>
  <c r="AS31" i="3"/>
  <c r="AS29" i="3"/>
  <c r="AS20" i="3"/>
  <c r="AS8" i="3"/>
  <c r="AS10" i="3"/>
  <c r="AS22" i="3"/>
  <c r="AS6" i="3"/>
  <c r="AS26" i="3"/>
  <c r="AQ25" i="3"/>
  <c r="AQ28" i="3" s="1"/>
  <c r="AQ33" i="3" s="1"/>
  <c r="AU17" i="10"/>
  <c r="S52" i="4"/>
  <c r="S54" i="4" s="1"/>
  <c r="V46" i="4" s="1"/>
  <c r="AR25" i="3" l="1"/>
  <c r="AR28" i="3" s="1"/>
  <c r="AR33" i="3" s="1"/>
  <c r="AS24" i="3"/>
  <c r="AS14" i="3"/>
  <c r="AS16" i="3" s="1"/>
  <c r="AS25" i="3" l="1"/>
  <c r="AS28" i="3" s="1"/>
  <c r="AS33" i="3" s="1"/>
  <c r="U20" i="10"/>
  <c r="U15" i="10" s="1"/>
  <c r="Z20" i="10"/>
  <c r="Z19" i="10" s="1"/>
  <c r="V20" i="10"/>
  <c r="W5" i="10"/>
  <c r="V4" i="3" l="1"/>
  <c r="U11" i="10"/>
  <c r="V5" i="10"/>
  <c r="V15" i="10"/>
  <c r="V7" i="10"/>
  <c r="V19" i="10"/>
  <c r="U7" i="10"/>
  <c r="U21" i="10"/>
  <c r="U4" i="3"/>
  <c r="W21" i="10"/>
  <c r="U4" i="6"/>
  <c r="Z4" i="3"/>
  <c r="Z18" i="3" s="1"/>
  <c r="Z15" i="10"/>
  <c r="AB21" i="10"/>
  <c r="Z4" i="6"/>
  <c r="Z5" i="6" s="1"/>
  <c r="Z21" i="10"/>
  <c r="Z11" i="10"/>
  <c r="Z22" i="10"/>
  <c r="AA4" i="10"/>
  <c r="AB5" i="10"/>
  <c r="U20" i="3"/>
  <c r="V20" i="3" s="1"/>
  <c r="Z7" i="10"/>
  <c r="U19" i="10"/>
  <c r="U22" i="10"/>
  <c r="V22" i="10"/>
  <c r="V11" i="10"/>
  <c r="V4" i="6"/>
  <c r="Z5" i="10"/>
  <c r="V21" i="10"/>
  <c r="U22" i="3" l="1"/>
  <c r="V22" i="3" s="1"/>
  <c r="U18" i="3"/>
  <c r="V21" i="3"/>
  <c r="V23" i="3"/>
  <c r="U31" i="3"/>
  <c r="V31" i="3" s="1"/>
  <c r="U12" i="3"/>
  <c r="V12" i="3" s="1"/>
  <c r="V13" i="3" s="1"/>
  <c r="U29" i="3"/>
  <c r="V29" i="3" s="1"/>
  <c r="U8" i="3"/>
  <c r="V8" i="3" s="1"/>
  <c r="V9" i="3" s="1"/>
  <c r="U24" i="3"/>
  <c r="U10" i="3"/>
  <c r="V10" i="3" s="1"/>
  <c r="V11" i="3" s="1"/>
  <c r="U26" i="3"/>
  <c r="V26" i="3" s="1"/>
  <c r="V27" i="3" s="1"/>
  <c r="U5" i="6"/>
  <c r="V5" i="6" s="1"/>
  <c r="V6" i="6" s="1"/>
  <c r="U7" i="6"/>
  <c r="V7" i="6" s="1"/>
  <c r="AE20" i="10"/>
  <c r="AG5" i="10"/>
  <c r="AE5" i="10"/>
  <c r="AF4" i="10"/>
  <c r="AJ4" i="10"/>
  <c r="Z12" i="3"/>
  <c r="AA12" i="3" s="1"/>
  <c r="Z26" i="3"/>
  <c r="AA26" i="3" s="1"/>
  <c r="Z6" i="3"/>
  <c r="Z20" i="3"/>
  <c r="AA20" i="3" s="1"/>
  <c r="Z31" i="3"/>
  <c r="AA31" i="3" s="1"/>
  <c r="Z8" i="3"/>
  <c r="AA8" i="3" s="1"/>
  <c r="Z10" i="3"/>
  <c r="AA10" i="3" s="1"/>
  <c r="Z22" i="3"/>
  <c r="AA22" i="3" s="1"/>
  <c r="Z29" i="3"/>
  <c r="AA29" i="3" s="1"/>
  <c r="AA5" i="10"/>
  <c r="AA20" i="10"/>
  <c r="AA7" i="10" s="1"/>
  <c r="Z7" i="6"/>
  <c r="AA7" i="6" s="1"/>
  <c r="AA5" i="6"/>
  <c r="Z10" i="17" l="1"/>
  <c r="Z8" i="17" s="1"/>
  <c r="Z12" i="17" s="1"/>
  <c r="Z24" i="17" s="1"/>
  <c r="Z25" i="17" s="1"/>
  <c r="Z17" i="17"/>
  <c r="Z15" i="17" s="1"/>
  <c r="Z22" i="17" s="1"/>
  <c r="V18" i="3"/>
  <c r="V19" i="3" s="1"/>
  <c r="AE7" i="10"/>
  <c r="AE19" i="10"/>
  <c r="V8" i="6"/>
  <c r="AF5" i="10"/>
  <c r="AF20" i="10"/>
  <c r="AA4" i="3"/>
  <c r="AA27" i="3" s="1"/>
  <c r="AA11" i="10"/>
  <c r="AA22" i="10"/>
  <c r="AA4" i="6"/>
  <c r="AA6" i="6" s="1"/>
  <c r="AA21" i="10"/>
  <c r="AA19" i="10"/>
  <c r="AA15" i="10"/>
  <c r="Z24" i="3"/>
  <c r="AA18" i="3"/>
  <c r="AA8" i="6"/>
  <c r="AA6" i="3"/>
  <c r="Z14" i="3"/>
  <c r="Z16" i="3" s="1"/>
  <c r="AK4" i="10"/>
  <c r="AJ20" i="10"/>
  <c r="AJ5" i="10"/>
  <c r="AL5" i="10"/>
  <c r="AO4" i="10"/>
  <c r="AE4" i="6"/>
  <c r="AE5" i="6" s="1"/>
  <c r="AE11" i="10"/>
  <c r="AE4" i="3"/>
  <c r="AE18" i="3" s="1"/>
  <c r="AE15" i="10"/>
  <c r="AE22" i="10"/>
  <c r="AE21" i="10"/>
  <c r="AG21" i="10"/>
  <c r="AA17" i="17" l="1"/>
  <c r="AA15" i="17" s="1"/>
  <c r="AA22" i="17" s="1"/>
  <c r="AA10" i="17"/>
  <c r="AA8" i="17" s="1"/>
  <c r="AA12" i="17" s="1"/>
  <c r="AA24" i="17" s="1"/>
  <c r="V24" i="3"/>
  <c r="AJ7" i="10"/>
  <c r="AJ19" i="10"/>
  <c r="Z25" i="3"/>
  <c r="Z28" i="3" s="1"/>
  <c r="Z33" i="3" s="1"/>
  <c r="AE31" i="3"/>
  <c r="AF31" i="3" s="1"/>
  <c r="AE20" i="3"/>
  <c r="AF20" i="3" s="1"/>
  <c r="AE29" i="3"/>
  <c r="AF29" i="3" s="1"/>
  <c r="AE26" i="3"/>
  <c r="AF26" i="3" s="1"/>
  <c r="AE6" i="3"/>
  <c r="AE10" i="3"/>
  <c r="AF10" i="3" s="1"/>
  <c r="AE12" i="3"/>
  <c r="AF12" i="3" s="1"/>
  <c r="AE22" i="3"/>
  <c r="AF22" i="3" s="1"/>
  <c r="AE8" i="3"/>
  <c r="AF8" i="3" s="1"/>
  <c r="AO20" i="10"/>
  <c r="AO19" i="10" s="1"/>
  <c r="AP4" i="10"/>
  <c r="AO5" i="10"/>
  <c r="AT4" i="10"/>
  <c r="AQ5" i="10"/>
  <c r="AF19" i="10"/>
  <c r="AF4" i="3"/>
  <c r="AF22" i="10"/>
  <c r="AF4" i="6"/>
  <c r="AF15" i="10"/>
  <c r="AF11" i="10"/>
  <c r="AF21" i="10"/>
  <c r="AF5" i="6"/>
  <c r="AE7" i="6"/>
  <c r="AF7" i="6" s="1"/>
  <c r="AA7" i="3"/>
  <c r="AA14" i="3"/>
  <c r="AA16" i="3" s="1"/>
  <c r="AA13" i="3"/>
  <c r="AA19" i="3"/>
  <c r="AA24" i="3"/>
  <c r="AK20" i="10"/>
  <c r="AK7" i="10" s="1"/>
  <c r="AK5" i="10"/>
  <c r="AA21" i="3"/>
  <c r="AA23" i="3"/>
  <c r="AJ22" i="10"/>
  <c r="AJ4" i="6"/>
  <c r="AJ5" i="6" s="1"/>
  <c r="AJ4" i="3"/>
  <c r="AJ18" i="3" s="1"/>
  <c r="AJ11" i="10"/>
  <c r="AJ15" i="10"/>
  <c r="AJ21" i="10"/>
  <c r="AL21" i="10"/>
  <c r="AA11" i="3"/>
  <c r="AA9" i="3"/>
  <c r="AF7" i="10"/>
  <c r="AE17" i="17" l="1"/>
  <c r="AE15" i="17" s="1"/>
  <c r="AE22" i="17" s="1"/>
  <c r="AE10" i="17"/>
  <c r="AE8" i="17" s="1"/>
  <c r="AE12" i="17" s="1"/>
  <c r="AE24" i="17" s="1"/>
  <c r="AE25" i="17" s="1"/>
  <c r="AA25" i="17"/>
  <c r="AB25" i="17"/>
  <c r="AF6" i="6"/>
  <c r="AA25" i="3"/>
  <c r="AA28" i="3" s="1"/>
  <c r="AA33" i="3" s="1"/>
  <c r="AF8" i="6"/>
  <c r="AT20" i="10"/>
  <c r="AU4" i="10"/>
  <c r="AT5" i="10"/>
  <c r="AQ21" i="10"/>
  <c r="AO11" i="10"/>
  <c r="AO22" i="10"/>
  <c r="AO4" i="6"/>
  <c r="AO5" i="6" s="1"/>
  <c r="AO21" i="10"/>
  <c r="AO4" i="3"/>
  <c r="AO18" i="3" s="1"/>
  <c r="AO15" i="10"/>
  <c r="AF11" i="3"/>
  <c r="AF9" i="3"/>
  <c r="AF6" i="3"/>
  <c r="AE14" i="3"/>
  <c r="AE16" i="3" s="1"/>
  <c r="AF21" i="3"/>
  <c r="AJ22" i="3"/>
  <c r="AK22" i="3" s="1"/>
  <c r="AJ6" i="3"/>
  <c r="AJ26" i="3"/>
  <c r="AK26" i="3" s="1"/>
  <c r="AJ31" i="3"/>
  <c r="AK31" i="3" s="1"/>
  <c r="AJ20" i="3"/>
  <c r="AK20" i="3" s="1"/>
  <c r="AJ10" i="3"/>
  <c r="AK10" i="3" s="1"/>
  <c r="AJ12" i="3"/>
  <c r="AK12" i="3" s="1"/>
  <c r="AJ8" i="3"/>
  <c r="AK8" i="3" s="1"/>
  <c r="AJ29" i="3"/>
  <c r="AK29" i="3" s="1"/>
  <c r="AJ7" i="6"/>
  <c r="AK7" i="6" s="1"/>
  <c r="AK5" i="6"/>
  <c r="AO7" i="10"/>
  <c r="AF23" i="3"/>
  <c r="AK4" i="6"/>
  <c r="AK11" i="10"/>
  <c r="AK15" i="10"/>
  <c r="AK4" i="3"/>
  <c r="AK21" i="10"/>
  <c r="AK22" i="10"/>
  <c r="AK19" i="10"/>
  <c r="AP20" i="10"/>
  <c r="AP7" i="10" s="1"/>
  <c r="AP5" i="10"/>
  <c r="AF13" i="3"/>
  <c r="AF27" i="3"/>
  <c r="AF18" i="3"/>
  <c r="AE24" i="3"/>
  <c r="AJ17" i="17" l="1"/>
  <c r="AJ15" i="17" s="1"/>
  <c r="AJ22" i="17" s="1"/>
  <c r="AJ10" i="17"/>
  <c r="AJ8" i="17" s="1"/>
  <c r="AJ12" i="17" s="1"/>
  <c r="AJ24" i="17" s="1"/>
  <c r="AJ25" i="17" s="1"/>
  <c r="AF10" i="17"/>
  <c r="AF8" i="17" s="1"/>
  <c r="AF12" i="17" s="1"/>
  <c r="AF24" i="17" s="1"/>
  <c r="AF17" i="17"/>
  <c r="AF15" i="17" s="1"/>
  <c r="AF22" i="17" s="1"/>
  <c r="AT7" i="10"/>
  <c r="AT19" i="10"/>
  <c r="AK13" i="3"/>
  <c r="AK11" i="3"/>
  <c r="AK27" i="3"/>
  <c r="AK8" i="6"/>
  <c r="AK9" i="3"/>
  <c r="AP15" i="10"/>
  <c r="AP4" i="6"/>
  <c r="AP22" i="10"/>
  <c r="AP21" i="10"/>
  <c r="AP11" i="10"/>
  <c r="AP4" i="3"/>
  <c r="AP19" i="10"/>
  <c r="AK21" i="3"/>
  <c r="AK6" i="3"/>
  <c r="AJ14" i="3"/>
  <c r="AJ16" i="3" s="1"/>
  <c r="AE25" i="3"/>
  <c r="AE28" i="3" s="1"/>
  <c r="AE33" i="3" s="1"/>
  <c r="AF7" i="3"/>
  <c r="AF14" i="3"/>
  <c r="AF16" i="3" s="1"/>
  <c r="L4" i="16" s="1"/>
  <c r="AO26" i="3"/>
  <c r="AP26" i="3" s="1"/>
  <c r="AP27" i="3" s="1"/>
  <c r="AO29" i="3"/>
  <c r="AP29" i="3" s="1"/>
  <c r="AO6" i="3"/>
  <c r="AO12" i="3"/>
  <c r="AP12" i="3" s="1"/>
  <c r="AO10" i="3"/>
  <c r="AP10" i="3" s="1"/>
  <c r="AO31" i="3"/>
  <c r="AP31" i="3" s="1"/>
  <c r="AO22" i="3"/>
  <c r="AP22" i="3" s="1"/>
  <c r="AO20" i="3"/>
  <c r="AP20" i="3" s="1"/>
  <c r="AO8" i="3"/>
  <c r="AP8" i="3" s="1"/>
  <c r="AU20" i="10"/>
  <c r="AU7" i="10" s="1"/>
  <c r="AU5" i="10"/>
  <c r="AF19" i="3"/>
  <c r="AF24" i="3"/>
  <c r="AK6" i="6"/>
  <c r="AK18" i="3"/>
  <c r="AJ24" i="3"/>
  <c r="AK23" i="3"/>
  <c r="AT22" i="10"/>
  <c r="AT4" i="6"/>
  <c r="AT5" i="6" s="1"/>
  <c r="AT11" i="10"/>
  <c r="AT4" i="3"/>
  <c r="AT18" i="3" s="1"/>
  <c r="AT15" i="10"/>
  <c r="AT21" i="10"/>
  <c r="AO7" i="6"/>
  <c r="AP7" i="6" s="1"/>
  <c r="AP5" i="6"/>
  <c r="G29" i="16" l="1"/>
  <c r="I29" i="16" s="1"/>
  <c r="M28" i="16" s="1"/>
  <c r="I27" i="16"/>
  <c r="M38" i="16" s="1"/>
  <c r="G30" i="16"/>
  <c r="I30" i="16" s="1"/>
  <c r="G31" i="16"/>
  <c r="I31" i="16" s="1"/>
  <c r="G28" i="16"/>
  <c r="I28" i="16" s="1"/>
  <c r="AO17" i="17"/>
  <c r="AO15" i="17" s="1"/>
  <c r="AO22" i="17" s="1"/>
  <c r="AO10" i="17"/>
  <c r="AO8" i="17" s="1"/>
  <c r="AO12" i="17" s="1"/>
  <c r="R4" i="16"/>
  <c r="D37" i="16"/>
  <c r="G37" i="16" s="1"/>
  <c r="I37" i="16" s="1"/>
  <c r="M30" i="16" s="1"/>
  <c r="D39" i="16"/>
  <c r="G39" i="16" s="1"/>
  <c r="I39" i="16" s="1"/>
  <c r="D35" i="16"/>
  <c r="G35" i="16" s="1"/>
  <c r="I35" i="16" s="1"/>
  <c r="M39" i="16" s="1"/>
  <c r="D36" i="16"/>
  <c r="G36" i="16" s="1"/>
  <c r="D38" i="16"/>
  <c r="G38" i="16" s="1"/>
  <c r="AK10" i="17"/>
  <c r="AK8" i="17" s="1"/>
  <c r="AK12" i="17" s="1"/>
  <c r="AK24" i="17" s="1"/>
  <c r="AK17" i="17"/>
  <c r="AK15" i="17" s="1"/>
  <c r="AK22" i="17" s="1"/>
  <c r="AG25" i="17"/>
  <c r="AF25" i="17"/>
  <c r="AP13" i="3"/>
  <c r="AP21" i="3"/>
  <c r="AP6" i="6"/>
  <c r="AP9" i="3"/>
  <c r="AP11" i="3"/>
  <c r="AP23" i="3"/>
  <c r="AP8" i="6"/>
  <c r="AT7" i="6"/>
  <c r="AU7" i="6" s="1"/>
  <c r="AU5" i="6"/>
  <c r="AK24" i="3"/>
  <c r="AK19" i="3"/>
  <c r="AP18" i="3"/>
  <c r="AO24" i="3"/>
  <c r="AJ25" i="3"/>
  <c r="AJ28" i="3" s="1"/>
  <c r="AJ33" i="3" s="1"/>
  <c r="AU19" i="10"/>
  <c r="AU11" i="10"/>
  <c r="AU22" i="10"/>
  <c r="AU4" i="3"/>
  <c r="AU4" i="6"/>
  <c r="AU21" i="10"/>
  <c r="AU15" i="10"/>
  <c r="AP6" i="3"/>
  <c r="AO14" i="3"/>
  <c r="AO16" i="3" s="1"/>
  <c r="AF25" i="3"/>
  <c r="AK14" i="3"/>
  <c r="AK16" i="3" s="1"/>
  <c r="AK7" i="3"/>
  <c r="AT20" i="3"/>
  <c r="AU20" i="3" s="1"/>
  <c r="AT10" i="3"/>
  <c r="AU10" i="3" s="1"/>
  <c r="AT8" i="3"/>
  <c r="AU8" i="3" s="1"/>
  <c r="AT29" i="3"/>
  <c r="AU29" i="3" s="1"/>
  <c r="AT22" i="3"/>
  <c r="AU22" i="3" s="1"/>
  <c r="AT6" i="3"/>
  <c r="AT12" i="3"/>
  <c r="AU12" i="3" s="1"/>
  <c r="AT26" i="3"/>
  <c r="AU26" i="3" s="1"/>
  <c r="AT31" i="3"/>
  <c r="AU31" i="3" s="1"/>
  <c r="N38" i="16" l="1"/>
  <c r="N39" i="16"/>
  <c r="I36" i="16"/>
  <c r="I38" i="16"/>
  <c r="AP10" i="17"/>
  <c r="AP8" i="17" s="1"/>
  <c r="AP12" i="17" s="1"/>
  <c r="AP24" i="17" s="1"/>
  <c r="AP17" i="17"/>
  <c r="AP15" i="17" s="1"/>
  <c r="AP22" i="17" s="1"/>
  <c r="AO24" i="17"/>
  <c r="AO25" i="17" s="1"/>
  <c r="AT10" i="17"/>
  <c r="AT8" i="17" s="1"/>
  <c r="AT12" i="17" s="1"/>
  <c r="AT17" i="17"/>
  <c r="AT15" i="17" s="1"/>
  <c r="AT22" i="17" s="1"/>
  <c r="AK25" i="17"/>
  <c r="AL25" i="17"/>
  <c r="AF28" i="3"/>
  <c r="AU9" i="3"/>
  <c r="AU6" i="6"/>
  <c r="AU6" i="3"/>
  <c r="AT14" i="3"/>
  <c r="AT16" i="3" s="1"/>
  <c r="AP14" i="3"/>
  <c r="AP16" i="3" s="1"/>
  <c r="AP7" i="3"/>
  <c r="AU27" i="3"/>
  <c r="AU11" i="3"/>
  <c r="AU23" i="3"/>
  <c r="AU8" i="6"/>
  <c r="AK25" i="3"/>
  <c r="AK28" i="3" s="1"/>
  <c r="AK33" i="3" s="1"/>
  <c r="AU13" i="3"/>
  <c r="AU21" i="3"/>
  <c r="AP24" i="3"/>
  <c r="AP19" i="3"/>
  <c r="AU18" i="3"/>
  <c r="AT24" i="3"/>
  <c r="AO25" i="3"/>
  <c r="AO28" i="3" s="1"/>
  <c r="AO33" i="3" s="1"/>
  <c r="AU17" i="17" l="1"/>
  <c r="AU15" i="17" s="1"/>
  <c r="AU22" i="17" s="1"/>
  <c r="AU10" i="17"/>
  <c r="AU8" i="17" s="1"/>
  <c r="AU12" i="17" s="1"/>
  <c r="AP25" i="17"/>
  <c r="AQ25" i="17"/>
  <c r="AT24" i="17"/>
  <c r="AT25" i="17" s="1"/>
  <c r="AF33" i="3"/>
  <c r="AT25" i="3"/>
  <c r="AT28" i="3" s="1"/>
  <c r="AT33" i="3" s="1"/>
  <c r="AP25" i="3"/>
  <c r="AP28" i="3" s="1"/>
  <c r="AP33" i="3" s="1"/>
  <c r="AU24" i="3"/>
  <c r="AU19" i="3"/>
  <c r="AU7" i="3"/>
  <c r="AU14" i="3"/>
  <c r="AU16" i="3" s="1"/>
  <c r="N4" i="16" l="1"/>
  <c r="T23" i="16" s="1"/>
  <c r="M31" i="16" s="1"/>
  <c r="AU24" i="17"/>
  <c r="AU25" i="17" s="1"/>
  <c r="AU25" i="3"/>
  <c r="AU28" i="3" s="1"/>
  <c r="AU33" i="3" s="1"/>
  <c r="U6" i="3"/>
  <c r="T4" i="16" l="1"/>
  <c r="D55" i="16"/>
  <c r="E55" i="16" s="1"/>
  <c r="D51" i="16"/>
  <c r="E51" i="16" s="1"/>
  <c r="M41" i="16" s="1"/>
  <c r="D54" i="16"/>
  <c r="E54" i="16" s="1"/>
  <c r="D53" i="16"/>
  <c r="E53" i="16" s="1"/>
  <c r="D52" i="16"/>
  <c r="E52" i="16" s="1"/>
  <c r="V6" i="3"/>
  <c r="U10" i="17"/>
  <c r="U8" i="17" s="1"/>
  <c r="U12" i="17" s="1"/>
  <c r="U17" i="17"/>
  <c r="U15" i="17" s="1"/>
  <c r="U22" i="17" s="1"/>
  <c r="T27" i="16"/>
  <c r="T30" i="16"/>
  <c r="T29" i="16"/>
  <c r="T28" i="16"/>
  <c r="U14" i="3"/>
  <c r="U16" i="3" s="1"/>
  <c r="U25" i="3" s="1"/>
  <c r="U28" i="3" s="1"/>
  <c r="U33" i="3" s="1"/>
  <c r="V14" i="3"/>
  <c r="V16" i="3" s="1"/>
  <c r="V25" i="3" s="1"/>
  <c r="V28" i="3" s="1"/>
  <c r="V33" i="3" s="1"/>
  <c r="V7" i="3"/>
  <c r="N41" i="16" l="1"/>
  <c r="U24" i="17"/>
  <c r="U25" i="17" s="1"/>
  <c r="V17" i="17"/>
  <c r="V15" i="17" s="1"/>
  <c r="V22" i="17" s="1"/>
  <c r="V10" i="17"/>
  <c r="V8" i="17" s="1"/>
  <c r="V12" i="17" s="1"/>
  <c r="V24" i="17" s="1"/>
  <c r="V25" i="17" l="1"/>
  <c r="W25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tc={223FF04E-D742-574B-8BD0-1574E6A4A04B}</author>
    <author>tc={049264C4-1C98-5847-9C6C-EE6B848507A5}</author>
  </authors>
  <commentList>
    <comment ref="V4" authorId="0" shapeId="0" xr:uid="{223FF04E-D742-574B-8BD0-1574E6A4A04B}">
      <text>
        <t>[Threaded comment]
Your version of Excel allows you to read this threaded comment; however, any edits to it will get removed if the file is opened in a newer version of Excel. Learn more: https://go.microsoft.com/fwlink/?linkid=870924
Comment:
    “$1 billion change in rate base” from Earnings Review</t>
      </text>
    </comment>
    <comment ref="V8" authorId="1" shapeId="0" xr:uid="{049264C4-1C98-5847-9C6C-EE6B848507A5}">
      <text>
        <t>[Threaded comment]
Your version of Excel allows you to read this threaded comment; however, any edits to it will get removed if the file is opened in a newer version of Excel. Learn more: https://go.microsoft.com/fwlink/?linkid=870924
Comment:
    “$200 million change in rate base” from Earnings Review</t>
      </text>
    </comment>
  </commentList>
</comments>
</file>

<file path=xl/sharedStrings.xml><?xml version="1.0" encoding="utf-8"?>
<sst xmlns="http://schemas.openxmlformats.org/spreadsheetml/2006/main" count="559" uniqueCount="306">
  <si>
    <t>Exchange</t>
  </si>
  <si>
    <t>The Binghamton Investment Fund</t>
  </si>
  <si>
    <t>Duke Energy Corporation Valuation</t>
  </si>
  <si>
    <t>Sector</t>
  </si>
  <si>
    <t>Current Share Price</t>
  </si>
  <si>
    <t>Shares Outstanding</t>
  </si>
  <si>
    <t>Market Cap</t>
  </si>
  <si>
    <t>DUK</t>
  </si>
  <si>
    <t>Utilities</t>
  </si>
  <si>
    <t xml:space="preserve">Industry </t>
  </si>
  <si>
    <t>Regulated Electric</t>
  </si>
  <si>
    <t>Gains (Losses) on Sales of Other Assets and Other, net</t>
  </si>
  <si>
    <t>Operating Income</t>
  </si>
  <si>
    <t>Other Income and Expenses</t>
  </si>
  <si>
    <t>Interest Expense</t>
  </si>
  <si>
    <t>Net Income</t>
  </si>
  <si>
    <t>Net Income Available to Common Stockholders</t>
  </si>
  <si>
    <t>Weighted average shares outstanding</t>
  </si>
  <si>
    <t>Basic (in shares)</t>
  </si>
  <si>
    <t>Diluted (in shares)</t>
  </si>
  <si>
    <t>Income Before Income Taxes</t>
  </si>
  <si>
    <t xml:space="preserve">Duke Energy Corporation </t>
  </si>
  <si>
    <t>Cosolidated Statements of Income - USD ($) in Millions</t>
  </si>
  <si>
    <t>FY 2019</t>
  </si>
  <si>
    <t>FY 2020</t>
  </si>
  <si>
    <t>FY 2021</t>
  </si>
  <si>
    <t>Total Revenues</t>
  </si>
  <si>
    <t>Expenses</t>
  </si>
  <si>
    <t>% of revenue</t>
  </si>
  <si>
    <t>Q1 2020</t>
  </si>
  <si>
    <t>Q2 2020</t>
  </si>
  <si>
    <t>Q3 2020</t>
  </si>
  <si>
    <t>Q4 2020</t>
  </si>
  <si>
    <t xml:space="preserve"> Q1 2021</t>
  </si>
  <si>
    <t xml:space="preserve"> Q2 2021</t>
  </si>
  <si>
    <t xml:space="preserve"> Q3 2021 </t>
  </si>
  <si>
    <t xml:space="preserve"> Q4 2021 </t>
  </si>
  <si>
    <t xml:space="preserve">Income Tax Expense  </t>
  </si>
  <si>
    <t>Tax Rate</t>
  </si>
  <si>
    <t>Net Loss Attributable to Noncontrolling Interests</t>
  </si>
  <si>
    <t>Preferred Dividends</t>
  </si>
  <si>
    <t>Basic Shares Outstanding</t>
  </si>
  <si>
    <t>Diluted Shares Outstanding</t>
  </si>
  <si>
    <t>Common Stock EPS</t>
  </si>
  <si>
    <t xml:space="preserve"> Q1 2022</t>
  </si>
  <si>
    <t xml:space="preserve"> Q2 2022</t>
  </si>
  <si>
    <t xml:space="preserve"> Q3 2022</t>
  </si>
  <si>
    <t>Q1 2019</t>
  </si>
  <si>
    <t>Q2 2019</t>
  </si>
  <si>
    <t>Q3 2019</t>
  </si>
  <si>
    <t>Q4 2019</t>
  </si>
  <si>
    <t>Cosolidated Balance Sheets - USD ($) in Millions</t>
  </si>
  <si>
    <t>Current Assets</t>
  </si>
  <si>
    <t>Cash and Cash Equivalents</t>
  </si>
  <si>
    <t>Accounts Receivables, net</t>
  </si>
  <si>
    <t>Inventory</t>
  </si>
  <si>
    <t>Regulatory Assets</t>
  </si>
  <si>
    <t>Depreciation and Amortization</t>
  </si>
  <si>
    <t>Cost of Electric Power and Gas Distribution</t>
  </si>
  <si>
    <t>Property and Other Taxes</t>
  </si>
  <si>
    <t>Total Operating Expenses</t>
  </si>
  <si>
    <t>Impairment of Assets and Other Charges</t>
  </si>
  <si>
    <t>Equity in Earnings (Losses) of Unconsolidated Affiliates</t>
  </si>
  <si>
    <t>Other Income and Expenses, net</t>
  </si>
  <si>
    <t>Total Other Income and Expenses</t>
  </si>
  <si>
    <t>Other Current Assets</t>
  </si>
  <si>
    <t>Total Current Assets</t>
  </si>
  <si>
    <t>Property, Plant and Equipment</t>
  </si>
  <si>
    <t>Less: Accumulated Depreciation and Amortization</t>
  </si>
  <si>
    <t>Add: Facilities to be Retired, net</t>
  </si>
  <si>
    <t>Total property, plant and equipment, net</t>
  </si>
  <si>
    <t>Goodwill</t>
  </si>
  <si>
    <t>Investments</t>
  </si>
  <si>
    <t>Non-Current Assets</t>
  </si>
  <si>
    <t>Total Non-Current Assets</t>
  </si>
  <si>
    <t>Add: Operating Lease Right-of-Use Assets, net</t>
  </si>
  <si>
    <t>TOTAL ASSETS</t>
  </si>
  <si>
    <t>Current Liabilities</t>
  </si>
  <si>
    <t>Accounts Payable</t>
  </si>
  <si>
    <t>Notes Payable and Commercial Paper</t>
  </si>
  <si>
    <t>Accrued Taxes</t>
  </si>
  <si>
    <t>Accrued Interest</t>
  </si>
  <si>
    <t>Current Maturities of Long-Term Debt</t>
  </si>
  <si>
    <t>Asset Retirement Obligations</t>
  </si>
  <si>
    <t>Regulatory Liabilities</t>
  </si>
  <si>
    <t>Other Current Liabilities</t>
  </si>
  <si>
    <t>Total Current Liabilities</t>
  </si>
  <si>
    <t>Non-Current Liabilities</t>
  </si>
  <si>
    <t>Long-Term Debt</t>
  </si>
  <si>
    <t>Deferred Income Taxes</t>
  </si>
  <si>
    <t>Operating Lease Liabilities</t>
  </si>
  <si>
    <t xml:space="preserve">Accrued Pension </t>
  </si>
  <si>
    <t>Investment Tax Credits</t>
  </si>
  <si>
    <t>Other Non-Current Liabilities</t>
  </si>
  <si>
    <t>Total Non-Current Liabilities</t>
  </si>
  <si>
    <t>Equity</t>
  </si>
  <si>
    <t>Additional Paid-In Capital</t>
  </si>
  <si>
    <t>Accumulated Other Comprehensive (Loss) Income</t>
  </si>
  <si>
    <t>Noncontrolling Interests</t>
  </si>
  <si>
    <t>Total Equity</t>
  </si>
  <si>
    <t>TOTAL LIABILITIES AND EQUITY</t>
  </si>
  <si>
    <t>Retained Earnings</t>
  </si>
  <si>
    <t>Common Stock $0.001 par value; 2B shares authorized; 770M and 769M issued respectively</t>
  </si>
  <si>
    <t>Cosolidated Statements of Cash Flows - USD ($) in Millions</t>
  </si>
  <si>
    <t>Operating Cash Flow</t>
  </si>
  <si>
    <t xml:space="preserve">Adjustments to Reconcile Net Income to Net Cash </t>
  </si>
  <si>
    <t>Depreciation, Amortization and Accretion</t>
  </si>
  <si>
    <t>Equity in (Earnings) Losses of Unconsolidated Affiliates</t>
  </si>
  <si>
    <t>Asset Repairment Charges</t>
  </si>
  <si>
    <t>Equity Component of AFUDC</t>
  </si>
  <si>
    <t>Rate Refund Provisions</t>
  </si>
  <si>
    <t>Refund for AMT Credit Carryforwards</t>
  </si>
  <si>
    <t>Changes in Select Components of Working Capital</t>
  </si>
  <si>
    <t>Net Realized and Unrealized Mark-to-Market and Hedging Transactions</t>
  </si>
  <si>
    <t>Accounts Receivables</t>
  </si>
  <si>
    <t>Other Assets</t>
  </si>
  <si>
    <t>Other Liabilities</t>
  </si>
  <si>
    <t>Net Cash Provided From Operating Activities</t>
  </si>
  <si>
    <t>Investing Cash Flow</t>
  </si>
  <si>
    <t>Capital Expenditures</t>
  </si>
  <si>
    <t>Contributions to Equity Method Investments</t>
  </si>
  <si>
    <t>Return of Investment Capital</t>
  </si>
  <si>
    <t>Purchases of Debt and Equity Securities</t>
  </si>
  <si>
    <t>Proceeds from Sales and Maturities of Debt and Equity Securities</t>
  </si>
  <si>
    <t>Disbursements to Canceled Equity Method Investments</t>
  </si>
  <si>
    <t>Net Cash Provided From Investing Activities</t>
  </si>
  <si>
    <t>Financing Cash Flow</t>
  </si>
  <si>
    <t>Other Investing Activities</t>
  </si>
  <si>
    <t>Issuance of Long-Term Debt</t>
  </si>
  <si>
    <t>Issuance of Preferred Stock and Preference Stock, net</t>
  </si>
  <si>
    <t>Redemption of Long-Term Debt</t>
  </si>
  <si>
    <t>Issuance of Common Stock</t>
  </si>
  <si>
    <t xml:space="preserve">Proceeds from Issuance of Short-Term Debt </t>
  </si>
  <si>
    <t>Payments for Redemption of Short-Term Debt</t>
  </si>
  <si>
    <t>Contributions from Noncontrolling Interests</t>
  </si>
  <si>
    <t>Dividends Paid</t>
  </si>
  <si>
    <t>Other Financing Activities</t>
  </si>
  <si>
    <t>Net Cash Provided From Financing Activities</t>
  </si>
  <si>
    <t>Cash, Cash Equivalents and Restricted Cash at Beginning of Period</t>
  </si>
  <si>
    <t>Cash, Cash Equivalents and Restricted Cash at End of Period</t>
  </si>
  <si>
    <t>Net Decrease in Cash, Cash Equivalents, and Restricted Cash</t>
  </si>
  <si>
    <t>Supplemental Cash Flow Disclosures</t>
  </si>
  <si>
    <t>Interest, net of amounts capitalized</t>
  </si>
  <si>
    <t>Income Taxes</t>
  </si>
  <si>
    <t>Accured Capital Expenditures</t>
  </si>
  <si>
    <t>Non-Cash Dividends</t>
  </si>
  <si>
    <t>Q4 2021</t>
  </si>
  <si>
    <t>-</t>
  </si>
  <si>
    <t>Preferred Stock</t>
  </si>
  <si>
    <t>Contributions to Quaified Pension Plans</t>
  </si>
  <si>
    <t xml:space="preserve">Capital Expenditures  </t>
  </si>
  <si>
    <t>Revenue</t>
  </si>
  <si>
    <t>Depreciation &amp; Amortization</t>
  </si>
  <si>
    <t>Revenue Build - USD ($) in Millions</t>
  </si>
  <si>
    <t>% Growth</t>
  </si>
  <si>
    <t>% of Revenue</t>
  </si>
  <si>
    <t>Electric Utilities and Infrastructure</t>
  </si>
  <si>
    <t>Gas Utilities and Infrastructure</t>
  </si>
  <si>
    <t xml:space="preserve">Commercial Renewables </t>
  </si>
  <si>
    <t>Other</t>
  </si>
  <si>
    <t>TOTAL REVENUES</t>
  </si>
  <si>
    <t>Q4 2022</t>
  </si>
  <si>
    <t xml:space="preserve"> Q1 2023</t>
  </si>
  <si>
    <t xml:space="preserve"> Q2 2023</t>
  </si>
  <si>
    <t xml:space="preserve"> Q3 2023</t>
  </si>
  <si>
    <t>Q4 2023</t>
  </si>
  <si>
    <t xml:space="preserve"> Q1 2024</t>
  </si>
  <si>
    <t xml:space="preserve"> Q2 2024</t>
  </si>
  <si>
    <t xml:space="preserve"> Q3 2024</t>
  </si>
  <si>
    <t>Q4 2024</t>
  </si>
  <si>
    <t xml:space="preserve"> Q1 2025</t>
  </si>
  <si>
    <t xml:space="preserve"> Q2 2025</t>
  </si>
  <si>
    <t xml:space="preserve"> Q3 2025</t>
  </si>
  <si>
    <t>Q4 2025</t>
  </si>
  <si>
    <t xml:space="preserve"> Q1 2026</t>
  </si>
  <si>
    <t xml:space="preserve"> Q2 2026</t>
  </si>
  <si>
    <t xml:space="preserve"> Q3 2026</t>
  </si>
  <si>
    <t>Q4 2026</t>
  </si>
  <si>
    <t xml:space="preserve"> Q1 2027</t>
  </si>
  <si>
    <t xml:space="preserve"> Q2 2027</t>
  </si>
  <si>
    <t xml:space="preserve"> Q3 2027</t>
  </si>
  <si>
    <t>Q4 2027</t>
  </si>
  <si>
    <t>FY 2025E</t>
  </si>
  <si>
    <t>FY 2026E</t>
  </si>
  <si>
    <t>FY 2027E</t>
  </si>
  <si>
    <t>FY 2024E</t>
  </si>
  <si>
    <t>FY 2023E</t>
  </si>
  <si>
    <t>FY 2022E</t>
  </si>
  <si>
    <t>% of Rate Base Growth</t>
  </si>
  <si>
    <t>% of capex</t>
  </si>
  <si>
    <t>FY 2022</t>
  </si>
  <si>
    <t xml:space="preserve"> Q4 2023</t>
  </si>
  <si>
    <t>FY 2023</t>
  </si>
  <si>
    <t xml:space="preserve"> Q3 2024 </t>
  </si>
  <si>
    <t xml:space="preserve"> Q4 2024 </t>
  </si>
  <si>
    <t>FY 2024</t>
  </si>
  <si>
    <t xml:space="preserve"> Q3 2025 </t>
  </si>
  <si>
    <t xml:space="preserve"> Q4 2025 </t>
  </si>
  <si>
    <t>FY 2025</t>
  </si>
  <si>
    <t xml:space="preserve"> Q3 2026 </t>
  </si>
  <si>
    <t xml:space="preserve"> Q4 2026 </t>
  </si>
  <si>
    <t>FY 2026</t>
  </si>
  <si>
    <t xml:space="preserve"> Q3 2027 </t>
  </si>
  <si>
    <t xml:space="preserve"> Q4 2027 </t>
  </si>
  <si>
    <t>FY 2027</t>
  </si>
  <si>
    <t>Company</t>
  </si>
  <si>
    <t>Ticker</t>
  </si>
  <si>
    <t>Share Price</t>
  </si>
  <si>
    <t>Net Debt</t>
  </si>
  <si>
    <t>Enterprise Value</t>
  </si>
  <si>
    <t>LTM Rev</t>
  </si>
  <si>
    <t>2024E Rev</t>
  </si>
  <si>
    <t>LTM EBITDA</t>
  </si>
  <si>
    <t>2024E EBITDA</t>
  </si>
  <si>
    <t>LTM EPS</t>
  </si>
  <si>
    <t>2024E EPS</t>
  </si>
  <si>
    <t>2024E EV/Rev</t>
  </si>
  <si>
    <t>LTM EV/EBITDA</t>
  </si>
  <si>
    <t>2024E EV/EBITDA</t>
  </si>
  <si>
    <t>LTM P/E</t>
  </si>
  <si>
    <t>LTM EV/Rev</t>
  </si>
  <si>
    <t>2024E P/E</t>
  </si>
  <si>
    <t>Duke Energy Corporation</t>
  </si>
  <si>
    <t>Integrated Electric Utilities</t>
  </si>
  <si>
    <t>Gas Utilities</t>
  </si>
  <si>
    <t>Power Generation</t>
  </si>
  <si>
    <t>Atmos Energy Corp</t>
  </si>
  <si>
    <t>Xcel Energy Inc.</t>
  </si>
  <si>
    <t>Public Service Enterprise GP</t>
  </si>
  <si>
    <t>American Electric Power</t>
  </si>
  <si>
    <t>Black Hills Corp</t>
  </si>
  <si>
    <t>Date</t>
  </si>
  <si>
    <t>SPY</t>
  </si>
  <si>
    <t>% Change</t>
  </si>
  <si>
    <t>Covariance</t>
  </si>
  <si>
    <t>Variance</t>
  </si>
  <si>
    <t>Beta</t>
  </si>
  <si>
    <t>Pre-Tax Cost of Debt</t>
  </si>
  <si>
    <t>CapEx + D&amp;A</t>
  </si>
  <si>
    <t>DUK Comps SOTP</t>
  </si>
  <si>
    <t>DUK Weighted Average Cost of Capital</t>
  </si>
  <si>
    <t>Risk-free Rate</t>
  </si>
  <si>
    <t>Market Return</t>
  </si>
  <si>
    <t>Equity Risk Premium</t>
  </si>
  <si>
    <t>Cost of Equity</t>
  </si>
  <si>
    <t>Market Capitalization</t>
  </si>
  <si>
    <t>Debt Outstanding</t>
  </si>
  <si>
    <t>Total Capitalization</t>
  </si>
  <si>
    <t>Weight of Debt</t>
  </si>
  <si>
    <t>Weight of Equity</t>
  </si>
  <si>
    <t>Weighted Average Cost of Capital</t>
  </si>
  <si>
    <t>EBIT</t>
  </si>
  <si>
    <t xml:space="preserve">Interest Coverage Ratio </t>
  </si>
  <si>
    <t>Damodaran Spread</t>
  </si>
  <si>
    <t>Risk-Free Rate</t>
  </si>
  <si>
    <t>Cost of Debt</t>
  </si>
  <si>
    <t>XEL</t>
  </si>
  <si>
    <t>PEG</t>
  </si>
  <si>
    <t>AEP</t>
  </si>
  <si>
    <t>BKH</t>
  </si>
  <si>
    <t>NI</t>
  </si>
  <si>
    <t>ATO</t>
  </si>
  <si>
    <t>Min</t>
  </si>
  <si>
    <t>Q1</t>
  </si>
  <si>
    <t>Med</t>
  </si>
  <si>
    <t>Q3</t>
  </si>
  <si>
    <t>Max</t>
  </si>
  <si>
    <t>EV/EBITDA</t>
  </si>
  <si>
    <t>EV</t>
  </si>
  <si>
    <t>Debt</t>
  </si>
  <si>
    <t>Cash</t>
  </si>
  <si>
    <t>Shares</t>
  </si>
  <si>
    <t>Per Share</t>
  </si>
  <si>
    <t>Price Target Calculations</t>
  </si>
  <si>
    <t>Method</t>
  </si>
  <si>
    <t>Price</t>
  </si>
  <si>
    <t>Weight</t>
  </si>
  <si>
    <t xml:space="preserve">Final Price Target </t>
  </si>
  <si>
    <t>Weighted Average</t>
  </si>
  <si>
    <t>Southern Company</t>
  </si>
  <si>
    <t>Centerpoint Energy Inc</t>
  </si>
  <si>
    <t>SO</t>
  </si>
  <si>
    <t>CNP</t>
  </si>
  <si>
    <t>WEC</t>
  </si>
  <si>
    <t>Nisource Inc.</t>
  </si>
  <si>
    <t>WEC Energy Group Inc.</t>
  </si>
  <si>
    <t>Net Working Capital</t>
  </si>
  <si>
    <t>A/R Days</t>
  </si>
  <si>
    <t>Accounts Receivable</t>
  </si>
  <si>
    <t>COGS</t>
  </si>
  <si>
    <t>Inv Days</t>
  </si>
  <si>
    <t>A/P Days</t>
  </si>
  <si>
    <t xml:space="preserve">Accrued Taxes </t>
  </si>
  <si>
    <t>NWC</t>
  </si>
  <si>
    <r>
      <rPr>
        <b/>
        <sz val="12"/>
        <color theme="1"/>
        <rFont val="Calibri"/>
        <family val="2"/>
      </rPr>
      <t>Δ</t>
    </r>
    <r>
      <rPr>
        <b/>
        <sz val="12"/>
        <color theme="1"/>
        <rFont val="Garamond"/>
        <family val="1"/>
      </rPr>
      <t xml:space="preserve"> NWC</t>
    </r>
  </si>
  <si>
    <t>P/E</t>
  </si>
  <si>
    <t>EPS</t>
  </si>
  <si>
    <t>2024E</t>
  </si>
  <si>
    <t>LTM</t>
  </si>
  <si>
    <t>Metric</t>
  </si>
  <si>
    <t>Spread</t>
  </si>
  <si>
    <t>52 Week Range</t>
  </si>
  <si>
    <t>LTM SOTP P/E</t>
  </si>
  <si>
    <t>2024E SOTP P/E</t>
  </si>
  <si>
    <t>LTM SOTP</t>
  </si>
  <si>
    <t>2024E SOTP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</si>
</sst>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\x"/>
    <numFmt numFmtId="167" formatCode="_(* #,##0_);_(* \(#,##0\);_(* &quot;-&quot;??_);_(@_)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i/>
      <sz val="12"/>
      <color theme="1"/>
      <name val="Garamond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Garamond"/>
      <family val="1"/>
    </font>
    <font>
      <sz val="12"/>
      <name val="Garamond"/>
      <family val="1"/>
    </font>
    <font>
      <sz val="8"/>
      <name val="Calibri"/>
      <family val="2"/>
      <scheme val="minor"/>
    </font>
    <font>
      <b/>
      <sz val="12"/>
      <color theme="1"/>
      <name val="Garamond"/>
      <family val="1"/>
    </font>
    <font>
      <i/>
      <sz val="12"/>
      <name val="Garamond"/>
      <family val="1"/>
    </font>
    <font>
      <b/>
      <sz val="12"/>
      <color rgb="FF000000"/>
      <name val="Garamond"/>
      <family val="1"/>
    </font>
    <font>
      <sz val="12"/>
      <color rgb="FF000000"/>
      <name val="Garamond"/>
      <family val="1"/>
    </font>
    <font>
      <i/>
      <sz val="11"/>
      <color theme="1"/>
      <name val="Garamond"/>
      <family val="1"/>
    </font>
    <font>
      <b/>
      <u/>
      <sz val="12"/>
      <color theme="1"/>
      <name val="Garamond"/>
      <family val="1"/>
    </font>
    <font>
      <sz val="12"/>
      <color theme="0"/>
      <name val="Garamond"/>
      <family val="1"/>
    </font>
    <font>
      <b/>
      <i/>
      <sz val="12"/>
      <color theme="1"/>
      <name val="Garamond"/>
      <family val="1"/>
    </font>
    <font>
      <b/>
      <i/>
      <sz val="11"/>
      <color theme="1"/>
      <name val="Garamond"/>
      <family val="1"/>
    </font>
    <font>
      <b/>
      <sz val="12"/>
      <color theme="1"/>
      <name val="Garamond"/>
      <family val="2"/>
    </font>
    <font>
      <b/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5548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556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55482"/>
        <bgColor rgb="FF20634D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</cellStyleXfs>
  <cellXfs count="35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3" borderId="4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1" fillId="0" borderId="4" xfId="0" applyFont="1" applyBorder="1"/>
    <xf numFmtId="0" fontId="1" fillId="0" borderId="5" xfId="0" applyFont="1" applyBorder="1" applyAlignment="1">
      <alignment horizontal="right"/>
    </xf>
    <xf numFmtId="10" fontId="1" fillId="0" borderId="5" xfId="0" applyNumberFormat="1" applyFont="1" applyBorder="1" applyAlignment="1">
      <alignment horizontal="right"/>
    </xf>
    <xf numFmtId="0" fontId="1" fillId="0" borderId="6" xfId="0" applyFont="1" applyBorder="1"/>
    <xf numFmtId="0" fontId="1" fillId="0" borderId="7" xfId="0" applyFont="1" applyBorder="1"/>
    <xf numFmtId="164" fontId="1" fillId="0" borderId="5" xfId="0" applyNumberFormat="1" applyFont="1" applyBorder="1" applyAlignment="1">
      <alignment horizontal="right"/>
    </xf>
    <xf numFmtId="41" fontId="1" fillId="0" borderId="0" xfId="0" applyNumberFormat="1" applyFont="1"/>
    <xf numFmtId="41" fontId="9" fillId="0" borderId="0" xfId="0" applyNumberFormat="1" applyFont="1" applyAlignment="1">
      <alignment horizontal="center" wrapText="1"/>
    </xf>
    <xf numFmtId="0" fontId="9" fillId="0" borderId="0" xfId="0" applyFont="1"/>
    <xf numFmtId="9" fontId="1" fillId="0" borderId="0" xfId="0" applyNumberFormat="1" applyFont="1"/>
    <xf numFmtId="41" fontId="11" fillId="0" borderId="0" xfId="0" applyNumberFormat="1" applyFont="1" applyAlignment="1">
      <alignment horizontal="center" wrapText="1"/>
    </xf>
    <xf numFmtId="0" fontId="6" fillId="0" borderId="4" xfId="2" applyFont="1" applyBorder="1" applyAlignment="1">
      <alignment vertical="top" wrapText="1"/>
    </xf>
    <xf numFmtId="41" fontId="1" fillId="0" borderId="0" xfId="2" applyNumberFormat="1" applyFont="1"/>
    <xf numFmtId="0" fontId="7" fillId="0" borderId="4" xfId="2" applyFont="1" applyBorder="1" applyAlignment="1">
      <alignment vertical="top" wrapText="1"/>
    </xf>
    <xf numFmtId="9" fontId="10" fillId="0" borderId="4" xfId="2" applyNumberFormat="1" applyFont="1" applyBorder="1" applyAlignment="1">
      <alignment horizontal="left" vertical="top" wrapText="1" indent="1"/>
    </xf>
    <xf numFmtId="9" fontId="1" fillId="0" borderId="0" xfId="2" applyNumberFormat="1" applyFont="1"/>
    <xf numFmtId="41" fontId="7" fillId="0" borderId="0" xfId="2" applyNumberFormat="1" applyFont="1" applyAlignment="1">
      <alignment horizontal="right" vertical="top"/>
    </xf>
    <xf numFmtId="9" fontId="7" fillId="0" borderId="0" xfId="2" applyNumberFormat="1" applyFont="1" applyAlignment="1">
      <alignment horizontal="right" vertical="top"/>
    </xf>
    <xf numFmtId="41" fontId="6" fillId="0" borderId="0" xfId="2" applyNumberFormat="1" applyFont="1" applyAlignment="1">
      <alignment horizontal="right" vertical="top"/>
    </xf>
    <xf numFmtId="164" fontId="7" fillId="0" borderId="0" xfId="1" applyNumberFormat="1" applyFont="1" applyBorder="1" applyAlignment="1">
      <alignment horizontal="right" vertical="top"/>
    </xf>
    <xf numFmtId="0" fontId="7" fillId="0" borderId="6" xfId="2" applyFont="1" applyBorder="1" applyAlignment="1">
      <alignment vertical="top" wrapText="1"/>
    </xf>
    <xf numFmtId="41" fontId="7" fillId="0" borderId="7" xfId="2" applyNumberFormat="1" applyFont="1" applyBorder="1" applyAlignment="1">
      <alignment horizontal="right" vertical="top"/>
    </xf>
    <xf numFmtId="41" fontId="9" fillId="5" borderId="13" xfId="0" applyNumberFormat="1" applyFont="1" applyFill="1" applyBorder="1" applyAlignment="1">
      <alignment horizontal="center"/>
    </xf>
    <xf numFmtId="0" fontId="6" fillId="4" borderId="10" xfId="2" applyFont="1" applyFill="1" applyBorder="1" applyAlignment="1">
      <alignment vertical="top" wrapText="1"/>
    </xf>
    <xf numFmtId="41" fontId="6" fillId="4" borderId="9" xfId="2" applyNumberFormat="1" applyFont="1" applyFill="1" applyBorder="1" applyAlignment="1">
      <alignment horizontal="right" vertical="top"/>
    </xf>
    <xf numFmtId="41" fontId="6" fillId="4" borderId="11" xfId="2" applyNumberFormat="1" applyFont="1" applyFill="1" applyBorder="1" applyAlignment="1">
      <alignment horizontal="right" vertical="top"/>
    </xf>
    <xf numFmtId="41" fontId="1" fillId="5" borderId="14" xfId="2" applyNumberFormat="1" applyFont="1" applyFill="1" applyBorder="1"/>
    <xf numFmtId="9" fontId="1" fillId="5" borderId="14" xfId="2" applyNumberFormat="1" applyFont="1" applyFill="1" applyBorder="1"/>
    <xf numFmtId="41" fontId="7" fillId="5" borderId="14" xfId="2" applyNumberFormat="1" applyFont="1" applyFill="1" applyBorder="1" applyAlignment="1">
      <alignment horizontal="right" vertical="top"/>
    </xf>
    <xf numFmtId="9" fontId="7" fillId="5" borderId="14" xfId="2" applyNumberFormat="1" applyFont="1" applyFill="1" applyBorder="1" applyAlignment="1">
      <alignment horizontal="right" vertical="top"/>
    </xf>
    <xf numFmtId="41" fontId="6" fillId="5" borderId="14" xfId="2" applyNumberFormat="1" applyFont="1" applyFill="1" applyBorder="1" applyAlignment="1">
      <alignment horizontal="right" vertical="top"/>
    </xf>
    <xf numFmtId="9" fontId="1" fillId="5" borderId="14" xfId="0" applyNumberFormat="1" applyFont="1" applyFill="1" applyBorder="1"/>
    <xf numFmtId="164" fontId="7" fillId="5" borderId="14" xfId="1" applyNumberFormat="1" applyFont="1" applyFill="1" applyBorder="1" applyAlignment="1">
      <alignment horizontal="right" vertical="top"/>
    </xf>
    <xf numFmtId="41" fontId="7" fillId="5" borderId="15" xfId="2" applyNumberFormat="1" applyFont="1" applyFill="1" applyBorder="1" applyAlignment="1">
      <alignment horizontal="right" vertical="top"/>
    </xf>
    <xf numFmtId="41" fontId="1" fillId="0" borderId="5" xfId="2" applyNumberFormat="1" applyFont="1" applyBorder="1"/>
    <xf numFmtId="9" fontId="1" fillId="0" borderId="5" xfId="2" applyNumberFormat="1" applyFont="1" applyBorder="1"/>
    <xf numFmtId="9" fontId="7" fillId="0" borderId="5" xfId="2" applyNumberFormat="1" applyFont="1" applyBorder="1" applyAlignment="1">
      <alignment horizontal="right" vertical="top"/>
    </xf>
    <xf numFmtId="41" fontId="6" fillId="4" borderId="12" xfId="2" applyNumberFormat="1" applyFont="1" applyFill="1" applyBorder="1" applyAlignment="1">
      <alignment horizontal="right" vertical="top"/>
    </xf>
    <xf numFmtId="9" fontId="1" fillId="0" borderId="5" xfId="0" applyNumberFormat="1" applyFont="1" applyBorder="1"/>
    <xf numFmtId="9" fontId="3" fillId="0" borderId="4" xfId="0" applyNumberFormat="1" applyFont="1" applyBorder="1" applyAlignment="1">
      <alignment horizontal="left" indent="1"/>
    </xf>
    <xf numFmtId="9" fontId="1" fillId="0" borderId="4" xfId="2" applyNumberFormat="1" applyFont="1" applyBorder="1"/>
    <xf numFmtId="9" fontId="7" fillId="0" borderId="4" xfId="2" applyNumberFormat="1" applyFont="1" applyBorder="1" applyAlignment="1">
      <alignment horizontal="right" vertical="top"/>
    </xf>
    <xf numFmtId="41" fontId="6" fillId="4" borderId="10" xfId="2" applyNumberFormat="1" applyFont="1" applyFill="1" applyBorder="1" applyAlignment="1">
      <alignment horizontal="right" vertical="top"/>
    </xf>
    <xf numFmtId="9" fontId="1" fillId="0" borderId="4" xfId="0" applyNumberFormat="1" applyFont="1" applyBorder="1"/>
    <xf numFmtId="0" fontId="1" fillId="0" borderId="4" xfId="0" applyFont="1" applyBorder="1" applyAlignment="1">
      <alignment wrapText="1"/>
    </xf>
    <xf numFmtId="37" fontId="7" fillId="0" borderId="4" xfId="2" applyNumberFormat="1" applyFont="1" applyBorder="1" applyAlignment="1">
      <alignment vertical="top" wrapText="1"/>
    </xf>
    <xf numFmtId="37" fontId="1" fillId="5" borderId="14" xfId="2" applyNumberFormat="1" applyFont="1" applyFill="1" applyBorder="1"/>
    <xf numFmtId="37" fontId="1" fillId="0" borderId="0" xfId="2" applyNumberFormat="1" applyFont="1"/>
    <xf numFmtId="37" fontId="1" fillId="0" borderId="5" xfId="2" applyNumberFormat="1" applyFont="1" applyBorder="1"/>
    <xf numFmtId="37" fontId="7" fillId="5" borderId="14" xfId="2" applyNumberFormat="1" applyFont="1" applyFill="1" applyBorder="1" applyAlignment="1">
      <alignment horizontal="right" vertical="top"/>
    </xf>
    <xf numFmtId="37" fontId="7" fillId="0" borderId="0" xfId="2" applyNumberFormat="1" applyFont="1" applyAlignment="1">
      <alignment horizontal="right" vertical="top"/>
    </xf>
    <xf numFmtId="37" fontId="7" fillId="0" borderId="5" xfId="2" applyNumberFormat="1" applyFont="1" applyBorder="1" applyAlignment="1">
      <alignment horizontal="right" vertical="top"/>
    </xf>
    <xf numFmtId="37" fontId="6" fillId="0" borderId="4" xfId="2" applyNumberFormat="1" applyFont="1" applyBorder="1" applyAlignment="1">
      <alignment horizontal="right" vertical="top"/>
    </xf>
    <xf numFmtId="37" fontId="6" fillId="5" borderId="14" xfId="2" applyNumberFormat="1" applyFont="1" applyFill="1" applyBorder="1" applyAlignment="1">
      <alignment horizontal="right" vertical="top"/>
    </xf>
    <xf numFmtId="37" fontId="6" fillId="0" borderId="0" xfId="2" applyNumberFormat="1" applyFont="1" applyAlignment="1">
      <alignment horizontal="right" vertical="top"/>
    </xf>
    <xf numFmtId="37" fontId="6" fillId="0" borderId="5" xfId="2" applyNumberFormat="1" applyFont="1" applyBorder="1" applyAlignment="1">
      <alignment horizontal="right" vertical="top"/>
    </xf>
    <xf numFmtId="37" fontId="1" fillId="5" borderId="15" xfId="2" applyNumberFormat="1" applyFont="1" applyFill="1" applyBorder="1" applyAlignment="1">
      <alignment horizontal="right" vertical="top"/>
    </xf>
    <xf numFmtId="37" fontId="6" fillId="4" borderId="9" xfId="2" applyNumberFormat="1" applyFont="1" applyFill="1" applyBorder="1" applyAlignment="1">
      <alignment horizontal="right" vertical="top"/>
    </xf>
    <xf numFmtId="37" fontId="6" fillId="4" borderId="10" xfId="2" applyNumberFormat="1" applyFont="1" applyFill="1" applyBorder="1" applyAlignment="1">
      <alignment horizontal="right" vertical="top"/>
    </xf>
    <xf numFmtId="37" fontId="6" fillId="4" borderId="11" xfId="2" applyNumberFormat="1" applyFont="1" applyFill="1" applyBorder="1" applyAlignment="1">
      <alignment horizontal="right" vertical="top"/>
    </xf>
    <xf numFmtId="37" fontId="1" fillId="0" borderId="4" xfId="0" applyNumberFormat="1" applyFont="1" applyBorder="1"/>
    <xf numFmtId="37" fontId="1" fillId="5" borderId="14" xfId="0" applyNumberFormat="1" applyFont="1" applyFill="1" applyBorder="1"/>
    <xf numFmtId="37" fontId="1" fillId="0" borderId="0" xfId="0" applyNumberFormat="1" applyFont="1"/>
    <xf numFmtId="37" fontId="12" fillId="0" borderId="0" xfId="0" applyNumberFormat="1" applyFont="1"/>
    <xf numFmtId="37" fontId="6" fillId="4" borderId="12" xfId="2" applyNumberFormat="1" applyFont="1" applyFill="1" applyBorder="1" applyAlignment="1">
      <alignment horizontal="right" vertical="top"/>
    </xf>
    <xf numFmtId="41" fontId="1" fillId="5" borderId="5" xfId="2" applyNumberFormat="1" applyFont="1" applyFill="1" applyBorder="1"/>
    <xf numFmtId="37" fontId="1" fillId="5" borderId="5" xfId="2" applyNumberFormat="1" applyFont="1" applyFill="1" applyBorder="1"/>
    <xf numFmtId="9" fontId="1" fillId="5" borderId="5" xfId="2" applyNumberFormat="1" applyFont="1" applyFill="1" applyBorder="1"/>
    <xf numFmtId="37" fontId="7" fillId="5" borderId="5" xfId="2" applyNumberFormat="1" applyFont="1" applyFill="1" applyBorder="1" applyAlignment="1">
      <alignment horizontal="right" vertical="top"/>
    </xf>
    <xf numFmtId="9" fontId="7" fillId="5" borderId="5" xfId="2" applyNumberFormat="1" applyFont="1" applyFill="1" applyBorder="1" applyAlignment="1">
      <alignment horizontal="right" vertical="top"/>
    </xf>
    <xf numFmtId="37" fontId="6" fillId="5" borderId="5" xfId="2" applyNumberFormat="1" applyFont="1" applyFill="1" applyBorder="1" applyAlignment="1">
      <alignment horizontal="right" vertical="top"/>
    </xf>
    <xf numFmtId="0" fontId="6" fillId="0" borderId="0" xfId="2" applyFont="1" applyAlignment="1">
      <alignment vertical="top" wrapText="1"/>
    </xf>
    <xf numFmtId="37" fontId="7" fillId="0" borderId="0" xfId="2" applyNumberFormat="1" applyFont="1" applyAlignment="1">
      <alignment vertical="top" wrapText="1"/>
    </xf>
    <xf numFmtId="37" fontId="1" fillId="5" borderId="5" xfId="0" applyNumberFormat="1" applyFont="1" applyFill="1" applyBorder="1"/>
    <xf numFmtId="9" fontId="1" fillId="5" borderId="5" xfId="0" applyNumberFormat="1" applyFont="1" applyFill="1" applyBorder="1"/>
    <xf numFmtId="41" fontId="6" fillId="5" borderId="5" xfId="2" applyNumberFormat="1" applyFont="1" applyFill="1" applyBorder="1" applyAlignment="1">
      <alignment horizontal="right" vertical="top"/>
    </xf>
    <xf numFmtId="164" fontId="7" fillId="5" borderId="5" xfId="1" applyNumberFormat="1" applyFont="1" applyFill="1" applyBorder="1" applyAlignment="1">
      <alignment horizontal="right" vertical="top"/>
    </xf>
    <xf numFmtId="41" fontId="7" fillId="5" borderId="5" xfId="2" applyNumberFormat="1" applyFont="1" applyFill="1" applyBorder="1" applyAlignment="1">
      <alignment horizontal="right" vertical="top"/>
    </xf>
    <xf numFmtId="41" fontId="7" fillId="5" borderId="8" xfId="2" applyNumberFormat="1" applyFont="1" applyFill="1" applyBorder="1" applyAlignment="1">
      <alignment horizontal="right" vertical="top"/>
    </xf>
    <xf numFmtId="0" fontId="7" fillId="0" borderId="0" xfId="2" applyFont="1" applyAlignment="1">
      <alignment vertical="top" wrapText="1"/>
    </xf>
    <xf numFmtId="0" fontId="6" fillId="0" borderId="5" xfId="2" applyFont="1" applyBorder="1" applyAlignment="1">
      <alignment vertical="top" wrapText="1"/>
    </xf>
    <xf numFmtId="37" fontId="12" fillId="0" borderId="5" xfId="0" applyNumberFormat="1" applyFont="1" applyBorder="1"/>
    <xf numFmtId="0" fontId="7" fillId="0" borderId="5" xfId="2" applyFont="1" applyBorder="1" applyAlignment="1">
      <alignment vertical="top" wrapText="1"/>
    </xf>
    <xf numFmtId="0" fontId="7" fillId="0" borderId="7" xfId="2" applyFont="1" applyBorder="1" applyAlignment="1">
      <alignment vertical="top" wrapText="1"/>
    </xf>
    <xf numFmtId="0" fontId="7" fillId="0" borderId="8" xfId="2" applyFont="1" applyBorder="1" applyAlignment="1">
      <alignment vertical="top" wrapText="1"/>
    </xf>
    <xf numFmtId="0" fontId="2" fillId="6" borderId="0" xfId="0" applyFont="1" applyFill="1"/>
    <xf numFmtId="0" fontId="2" fillId="6" borderId="5" xfId="0" applyFont="1" applyFill="1" applyBorder="1"/>
    <xf numFmtId="0" fontId="7" fillId="7" borderId="4" xfId="2" applyFont="1" applyFill="1" applyBorder="1" applyAlignment="1">
      <alignment vertical="top" wrapText="1"/>
    </xf>
    <xf numFmtId="0" fontId="6" fillId="7" borderId="4" xfId="2" applyFont="1" applyFill="1" applyBorder="1" applyAlignment="1">
      <alignment vertical="top" wrapText="1"/>
    </xf>
    <xf numFmtId="41" fontId="1" fillId="7" borderId="5" xfId="2" applyNumberFormat="1" applyFont="1" applyFill="1" applyBorder="1"/>
    <xf numFmtId="41" fontId="6" fillId="7" borderId="5" xfId="2" applyNumberFormat="1" applyFont="1" applyFill="1" applyBorder="1" applyAlignment="1">
      <alignment horizontal="right" vertical="top"/>
    </xf>
    <xf numFmtId="41" fontId="7" fillId="7" borderId="5" xfId="2" applyNumberFormat="1" applyFont="1" applyFill="1" applyBorder="1" applyAlignment="1">
      <alignment horizontal="right" vertical="top"/>
    </xf>
    <xf numFmtId="0" fontId="6" fillId="8" borderId="4" xfId="2" applyFont="1" applyFill="1" applyBorder="1" applyAlignment="1">
      <alignment vertical="top" wrapText="1"/>
    </xf>
    <xf numFmtId="41" fontId="1" fillId="8" borderId="14" xfId="2" applyNumberFormat="1" applyFont="1" applyFill="1" applyBorder="1"/>
    <xf numFmtId="41" fontId="6" fillId="7" borderId="0" xfId="2" applyNumberFormat="1" applyFont="1" applyFill="1" applyAlignment="1">
      <alignment horizontal="right" vertical="top"/>
    </xf>
    <xf numFmtId="41" fontId="1" fillId="7" borderId="0" xfId="2" applyNumberFormat="1" applyFont="1" applyFill="1"/>
    <xf numFmtId="41" fontId="7" fillId="7" borderId="0" xfId="2" applyNumberFormat="1" applyFont="1" applyFill="1" applyAlignment="1">
      <alignment horizontal="right" vertical="top"/>
    </xf>
    <xf numFmtId="41" fontId="1" fillId="8" borderId="0" xfId="2" applyNumberFormat="1" applyFont="1" applyFill="1"/>
    <xf numFmtId="0" fontId="6" fillId="8" borderId="1" xfId="2" applyFont="1" applyFill="1" applyBorder="1" applyAlignment="1">
      <alignment vertical="top" wrapText="1"/>
    </xf>
    <xf numFmtId="41" fontId="1" fillId="8" borderId="2" xfId="2" applyNumberFormat="1" applyFont="1" applyFill="1" applyBorder="1"/>
    <xf numFmtId="41" fontId="1" fillId="8" borderId="3" xfId="2" applyNumberFormat="1" applyFont="1" applyFill="1" applyBorder="1"/>
    <xf numFmtId="41" fontId="7" fillId="8" borderId="2" xfId="2" applyNumberFormat="1" applyFont="1" applyFill="1" applyBorder="1" applyAlignment="1">
      <alignment vertical="top" wrapText="1"/>
    </xf>
    <xf numFmtId="41" fontId="7" fillId="7" borderId="0" xfId="2" applyNumberFormat="1" applyFont="1" applyFill="1" applyAlignment="1">
      <alignment vertical="top" wrapText="1"/>
    </xf>
    <xf numFmtId="41" fontId="7" fillId="8" borderId="0" xfId="2" applyNumberFormat="1" applyFont="1" applyFill="1" applyAlignment="1">
      <alignment vertical="top" wrapText="1"/>
    </xf>
    <xf numFmtId="41" fontId="7" fillId="8" borderId="0" xfId="2" applyNumberFormat="1" applyFont="1" applyFill="1" applyAlignment="1">
      <alignment horizontal="right" vertical="top"/>
    </xf>
    <xf numFmtId="41" fontId="7" fillId="8" borderId="5" xfId="2" applyNumberFormat="1" applyFont="1" applyFill="1" applyBorder="1" applyAlignment="1">
      <alignment horizontal="right" vertical="top"/>
    </xf>
    <xf numFmtId="41" fontId="7" fillId="7" borderId="0" xfId="1" applyNumberFormat="1" applyFont="1" applyFill="1" applyBorder="1" applyAlignment="1">
      <alignment horizontal="right" vertical="top"/>
    </xf>
    <xf numFmtId="41" fontId="7" fillId="7" borderId="5" xfId="1" applyNumberFormat="1" applyFont="1" applyFill="1" applyBorder="1" applyAlignment="1">
      <alignment horizontal="right" vertical="top"/>
    </xf>
    <xf numFmtId="41" fontId="6" fillId="7" borderId="0" xfId="2" applyNumberFormat="1" applyFont="1" applyFill="1" applyAlignment="1">
      <alignment vertical="top" wrapText="1"/>
    </xf>
    <xf numFmtId="41" fontId="6" fillId="7" borderId="0" xfId="1" applyNumberFormat="1" applyFont="1" applyFill="1" applyBorder="1" applyAlignment="1">
      <alignment horizontal="right" vertical="top"/>
    </xf>
    <xf numFmtId="41" fontId="7" fillId="8" borderId="0" xfId="1" applyNumberFormat="1" applyFont="1" applyFill="1" applyBorder="1" applyAlignment="1">
      <alignment horizontal="right" vertical="top"/>
    </xf>
    <xf numFmtId="41" fontId="7" fillId="8" borderId="5" xfId="1" applyNumberFormat="1" applyFont="1" applyFill="1" applyBorder="1" applyAlignment="1">
      <alignment horizontal="right" vertical="top"/>
    </xf>
    <xf numFmtId="41" fontId="7" fillId="0" borderId="0" xfId="1" applyNumberFormat="1" applyFont="1" applyFill="1" applyBorder="1" applyAlignment="1">
      <alignment horizontal="right" vertical="top"/>
    </xf>
    <xf numFmtId="41" fontId="6" fillId="0" borderId="0" xfId="1" applyNumberFormat="1" applyFont="1" applyFill="1" applyBorder="1" applyAlignment="1">
      <alignment horizontal="right" vertical="top"/>
    </xf>
    <xf numFmtId="41" fontId="1" fillId="0" borderId="14" xfId="2" applyNumberFormat="1" applyFont="1" applyBorder="1"/>
    <xf numFmtId="41" fontId="7" fillId="0" borderId="14" xfId="2" applyNumberFormat="1" applyFont="1" applyBorder="1" applyAlignment="1">
      <alignment horizontal="right" vertical="top"/>
    </xf>
    <xf numFmtId="41" fontId="7" fillId="0" borderId="14" xfId="1" applyNumberFormat="1" applyFont="1" applyFill="1" applyBorder="1" applyAlignment="1">
      <alignment horizontal="right" vertical="top"/>
    </xf>
    <xf numFmtId="41" fontId="7" fillId="8" borderId="14" xfId="1" applyNumberFormat="1" applyFont="1" applyFill="1" applyBorder="1" applyAlignment="1">
      <alignment horizontal="right" vertical="top"/>
    </xf>
    <xf numFmtId="41" fontId="1" fillId="0" borderId="14" xfId="2" applyNumberFormat="1" applyFont="1" applyBorder="1" applyAlignment="1">
      <alignment horizontal="right" vertical="top"/>
    </xf>
    <xf numFmtId="41" fontId="6" fillId="8" borderId="0" xfId="2" applyNumberFormat="1" applyFont="1" applyFill="1" applyAlignment="1">
      <alignment vertical="top" wrapText="1"/>
    </xf>
    <xf numFmtId="41" fontId="6" fillId="8" borderId="0" xfId="1" applyNumberFormat="1" applyFont="1" applyFill="1" applyBorder="1" applyAlignment="1">
      <alignment horizontal="right" vertical="top"/>
    </xf>
    <xf numFmtId="41" fontId="6" fillId="8" borderId="5" xfId="1" applyNumberFormat="1" applyFont="1" applyFill="1" applyBorder="1" applyAlignment="1">
      <alignment horizontal="right" vertical="top"/>
    </xf>
    <xf numFmtId="41" fontId="6" fillId="4" borderId="11" xfId="2" applyNumberFormat="1" applyFont="1" applyFill="1" applyBorder="1" applyAlignment="1">
      <alignment vertical="top" wrapText="1"/>
    </xf>
    <xf numFmtId="41" fontId="6" fillId="4" borderId="9" xfId="1" applyNumberFormat="1" applyFont="1" applyFill="1" applyBorder="1" applyAlignment="1">
      <alignment horizontal="right" vertical="top"/>
    </xf>
    <xf numFmtId="41" fontId="6" fillId="4" borderId="11" xfId="1" applyNumberFormat="1" applyFont="1" applyFill="1" applyBorder="1" applyAlignment="1">
      <alignment horizontal="right" vertical="top"/>
    </xf>
    <xf numFmtId="41" fontId="7" fillId="0" borderId="15" xfId="1" applyNumberFormat="1" applyFont="1" applyFill="1" applyBorder="1" applyAlignment="1">
      <alignment horizontal="right" vertical="top"/>
    </xf>
    <xf numFmtId="41" fontId="6" fillId="7" borderId="5" xfId="2" applyNumberFormat="1" applyFont="1" applyFill="1" applyBorder="1" applyAlignment="1">
      <alignment vertical="top" wrapText="1"/>
    </xf>
    <xf numFmtId="41" fontId="6" fillId="7" borderId="8" xfId="1" applyNumberFormat="1" applyFont="1" applyFill="1" applyBorder="1" applyAlignment="1">
      <alignment horizontal="right" vertical="top"/>
    </xf>
    <xf numFmtId="41" fontId="7" fillId="0" borderId="0" xfId="2" applyNumberFormat="1" applyFont="1" applyAlignment="1">
      <alignment vertical="top" wrapText="1"/>
    </xf>
    <xf numFmtId="41" fontId="7" fillId="0" borderId="5" xfId="1" applyNumberFormat="1" applyFont="1" applyFill="1" applyBorder="1" applyAlignment="1">
      <alignment horizontal="right" vertical="top"/>
    </xf>
    <xf numFmtId="41" fontId="7" fillId="0" borderId="7" xfId="1" applyNumberFormat="1" applyFont="1" applyFill="1" applyBorder="1" applyAlignment="1">
      <alignment horizontal="right" vertical="top"/>
    </xf>
    <xf numFmtId="41" fontId="7" fillId="0" borderId="14" xfId="2" applyNumberFormat="1" applyFont="1" applyBorder="1" applyAlignment="1">
      <alignment vertical="top" wrapText="1"/>
    </xf>
    <xf numFmtId="41" fontId="7" fillId="0" borderId="7" xfId="2" applyNumberFormat="1" applyFont="1" applyBorder="1" applyAlignment="1">
      <alignment vertical="top" wrapText="1"/>
    </xf>
    <xf numFmtId="41" fontId="7" fillId="0" borderId="8" xfId="1" applyNumberFormat="1" applyFont="1" applyFill="1" applyBorder="1" applyAlignment="1">
      <alignment horizontal="right" vertical="top"/>
    </xf>
    <xf numFmtId="41" fontId="6" fillId="4" borderId="9" xfId="2" applyNumberFormat="1" applyFont="1" applyFill="1" applyBorder="1" applyAlignment="1">
      <alignment vertical="top" wrapText="1"/>
    </xf>
    <xf numFmtId="41" fontId="6" fillId="4" borderId="12" xfId="2" applyNumberFormat="1" applyFont="1" applyFill="1" applyBorder="1" applyAlignment="1">
      <alignment vertical="top" wrapText="1"/>
    </xf>
    <xf numFmtId="41" fontId="7" fillId="7" borderId="5" xfId="2" applyNumberFormat="1" applyFont="1" applyFill="1" applyBorder="1" applyAlignment="1">
      <alignment vertical="top" wrapText="1"/>
    </xf>
    <xf numFmtId="41" fontId="6" fillId="8" borderId="0" xfId="2" applyNumberFormat="1" applyFont="1" applyFill="1" applyAlignment="1">
      <alignment horizontal="right" vertical="top"/>
    </xf>
    <xf numFmtId="41" fontId="1" fillId="0" borderId="0" xfId="2" applyNumberFormat="1" applyFont="1" applyAlignment="1">
      <alignment horizontal="right" vertical="top"/>
    </xf>
    <xf numFmtId="0" fontId="1" fillId="0" borderId="6" xfId="0" applyFont="1" applyBorder="1" applyAlignment="1">
      <alignment wrapText="1"/>
    </xf>
    <xf numFmtId="41" fontId="9" fillId="0" borderId="7" xfId="0" applyNumberFormat="1" applyFont="1" applyBorder="1" applyAlignment="1">
      <alignment horizontal="center" wrapText="1"/>
    </xf>
    <xf numFmtId="41" fontId="11" fillId="0" borderId="7" xfId="0" applyNumberFormat="1" applyFont="1" applyBorder="1" applyAlignment="1">
      <alignment horizontal="center" wrapText="1"/>
    </xf>
    <xf numFmtId="9" fontId="10" fillId="0" borderId="6" xfId="2" applyNumberFormat="1" applyFont="1" applyBorder="1" applyAlignment="1">
      <alignment horizontal="left" vertical="top" wrapText="1" indent="1"/>
    </xf>
    <xf numFmtId="9" fontId="7" fillId="0" borderId="7" xfId="2" applyNumberFormat="1" applyFont="1" applyBorder="1" applyAlignment="1">
      <alignment horizontal="right" vertical="top"/>
    </xf>
    <xf numFmtId="9" fontId="1" fillId="8" borderId="14" xfId="2" applyNumberFormat="1" applyFont="1" applyFill="1" applyBorder="1"/>
    <xf numFmtId="9" fontId="7" fillId="8" borderId="15" xfId="2" applyNumberFormat="1" applyFont="1" applyFill="1" applyBorder="1" applyAlignment="1">
      <alignment horizontal="right" vertical="top"/>
    </xf>
    <xf numFmtId="41" fontId="7" fillId="8" borderId="14" xfId="2" applyNumberFormat="1" applyFont="1" applyFill="1" applyBorder="1" applyAlignment="1">
      <alignment vertical="top" wrapText="1"/>
    </xf>
    <xf numFmtId="37" fontId="7" fillId="8" borderId="14" xfId="2" applyNumberFormat="1" applyFont="1" applyFill="1" applyBorder="1" applyAlignment="1">
      <alignment vertical="top" wrapText="1"/>
    </xf>
    <xf numFmtId="41" fontId="9" fillId="8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 wrapText="1"/>
    </xf>
    <xf numFmtId="41" fontId="9" fillId="7" borderId="11" xfId="0" applyNumberFormat="1" applyFont="1" applyFill="1" applyBorder="1" applyAlignment="1">
      <alignment horizontal="center" wrapText="1"/>
    </xf>
    <xf numFmtId="41" fontId="9" fillId="0" borderId="11" xfId="0" applyNumberFormat="1" applyFont="1" applyBorder="1" applyAlignment="1">
      <alignment horizontal="center"/>
    </xf>
    <xf numFmtId="41" fontId="11" fillId="0" borderId="11" xfId="0" applyNumberFormat="1" applyFont="1" applyBorder="1" applyAlignment="1">
      <alignment horizontal="center" wrapText="1"/>
    </xf>
    <xf numFmtId="41" fontId="11" fillId="7" borderId="11" xfId="0" applyNumberFormat="1" applyFont="1" applyFill="1" applyBorder="1" applyAlignment="1">
      <alignment horizontal="center" wrapText="1"/>
    </xf>
    <xf numFmtId="165" fontId="13" fillId="7" borderId="4" xfId="3" applyNumberFormat="1" applyFont="1" applyFill="1" applyBorder="1" applyAlignment="1">
      <alignment horizontal="left" indent="1"/>
    </xf>
    <xf numFmtId="165" fontId="13" fillId="7" borderId="6" xfId="3" applyNumberFormat="1" applyFont="1" applyFill="1" applyBorder="1" applyAlignment="1">
      <alignment horizontal="left" indent="1"/>
    </xf>
    <xf numFmtId="41" fontId="1" fillId="0" borderId="4" xfId="0" applyNumberFormat="1" applyFont="1" applyBorder="1"/>
    <xf numFmtId="41" fontId="9" fillId="4" borderId="4" xfId="0" applyNumberFormat="1" applyFont="1" applyFill="1" applyBorder="1"/>
    <xf numFmtId="165" fontId="1" fillId="0" borderId="0" xfId="0" applyNumberFormat="1" applyFont="1"/>
    <xf numFmtId="165" fontId="13" fillId="7" borderId="4" xfId="0" applyNumberFormat="1" applyFont="1" applyFill="1" applyBorder="1" applyAlignment="1">
      <alignment horizontal="left" indent="1"/>
    </xf>
    <xf numFmtId="165" fontId="1" fillId="0" borderId="7" xfId="0" applyNumberFormat="1" applyFont="1" applyBorder="1"/>
    <xf numFmtId="41" fontId="12" fillId="0" borderId="0" xfId="0" applyNumberFormat="1" applyFont="1"/>
    <xf numFmtId="43" fontId="1" fillId="0" borderId="0" xfId="0" applyNumberFormat="1" applyFont="1"/>
    <xf numFmtId="37" fontId="6" fillId="0" borderId="0" xfId="2" applyNumberFormat="1" applyFont="1" applyAlignment="1">
      <alignment vertical="top" wrapText="1"/>
    </xf>
    <xf numFmtId="41" fontId="9" fillId="5" borderId="9" xfId="0" applyNumberFormat="1" applyFont="1" applyFill="1" applyBorder="1" applyAlignment="1">
      <alignment horizontal="center" wrapText="1"/>
    </xf>
    <xf numFmtId="41" fontId="1" fillId="5" borderId="14" xfId="0" applyNumberFormat="1" applyFont="1" applyFill="1" applyBorder="1"/>
    <xf numFmtId="165" fontId="1" fillId="5" borderId="14" xfId="0" applyNumberFormat="1" applyFont="1" applyFill="1" applyBorder="1"/>
    <xf numFmtId="165" fontId="1" fillId="5" borderId="15" xfId="0" applyNumberFormat="1" applyFont="1" applyFill="1" applyBorder="1"/>
    <xf numFmtId="41" fontId="9" fillId="5" borderId="9" xfId="0" applyNumberFormat="1" applyFont="1" applyFill="1" applyBorder="1" applyAlignment="1">
      <alignment horizontal="center"/>
    </xf>
    <xf numFmtId="165" fontId="12" fillId="5" borderId="14" xfId="0" applyNumberFormat="1" applyFont="1" applyFill="1" applyBorder="1"/>
    <xf numFmtId="0" fontId="2" fillId="2" borderId="0" xfId="0" applyFont="1" applyFill="1"/>
    <xf numFmtId="0" fontId="1" fillId="0" borderId="2" xfId="0" applyFont="1" applyBorder="1"/>
    <xf numFmtId="9" fontId="7" fillId="0" borderId="4" xfId="2" applyNumberFormat="1" applyFont="1" applyBorder="1" applyAlignment="1">
      <alignment vertical="top" wrapText="1"/>
    </xf>
    <xf numFmtId="9" fontId="7" fillId="0" borderId="0" xfId="2" applyNumberFormat="1" applyFont="1" applyAlignment="1">
      <alignment vertical="top" wrapText="1"/>
    </xf>
    <xf numFmtId="9" fontId="12" fillId="0" borderId="5" xfId="0" applyNumberFormat="1" applyFont="1" applyBorder="1"/>
    <xf numFmtId="41" fontId="7" fillId="0" borderId="4" xfId="2" applyNumberFormat="1" applyFont="1" applyBorder="1" applyAlignment="1">
      <alignment vertical="top" wrapText="1"/>
    </xf>
    <xf numFmtId="9" fontId="7" fillId="5" borderId="14" xfId="2" applyNumberFormat="1" applyFont="1" applyFill="1" applyBorder="1" applyAlignment="1">
      <alignment vertical="top" wrapText="1"/>
    </xf>
    <xf numFmtId="0" fontId="1" fillId="5" borderId="14" xfId="0" applyFont="1" applyFill="1" applyBorder="1"/>
    <xf numFmtId="0" fontId="9" fillId="5" borderId="14" xfId="0" applyFont="1" applyFill="1" applyBorder="1"/>
    <xf numFmtId="0" fontId="1" fillId="5" borderId="15" xfId="0" applyFont="1" applyFill="1" applyBorder="1"/>
    <xf numFmtId="41" fontId="9" fillId="4" borderId="0" xfId="0" applyNumberFormat="1" applyFont="1" applyFill="1"/>
    <xf numFmtId="41" fontId="9" fillId="4" borderId="14" xfId="0" applyNumberFormat="1" applyFont="1" applyFill="1" applyBorder="1"/>
    <xf numFmtId="41" fontId="9" fillId="0" borderId="0" xfId="0" applyNumberFormat="1" applyFont="1"/>
    <xf numFmtId="9" fontId="1" fillId="0" borderId="7" xfId="2" applyNumberFormat="1" applyFont="1" applyBorder="1"/>
    <xf numFmtId="37" fontId="6" fillId="8" borderId="14" xfId="2" applyNumberFormat="1" applyFont="1" applyFill="1" applyBorder="1" applyAlignment="1">
      <alignment vertical="top" wrapText="1"/>
    </xf>
    <xf numFmtId="41" fontId="1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1" fillId="0" borderId="5" xfId="0" applyNumberFormat="1" applyFont="1" applyBorder="1" applyAlignment="1">
      <alignment horizontal="right"/>
    </xf>
    <xf numFmtId="166" fontId="1" fillId="0" borderId="0" xfId="0" applyNumberFormat="1" applyFont="1"/>
    <xf numFmtId="0" fontId="1" fillId="0" borderId="10" xfId="0" applyFont="1" applyBorder="1"/>
    <xf numFmtId="0" fontId="1" fillId="0" borderId="11" xfId="0" applyFont="1" applyBorder="1"/>
    <xf numFmtId="41" fontId="1" fillId="0" borderId="11" xfId="0" applyNumberFormat="1" applyFont="1" applyBorder="1"/>
    <xf numFmtId="41" fontId="1" fillId="0" borderId="11" xfId="0" applyNumberFormat="1" applyFont="1" applyBorder="1" applyAlignment="1">
      <alignment horizontal="right"/>
    </xf>
    <xf numFmtId="166" fontId="1" fillId="0" borderId="11" xfId="0" applyNumberFormat="1" applyFont="1" applyBorder="1" applyAlignment="1">
      <alignment horizontal="right"/>
    </xf>
    <xf numFmtId="166" fontId="1" fillId="0" borderId="12" xfId="0" applyNumberFormat="1" applyFont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/>
    <xf numFmtId="0" fontId="14" fillId="0" borderId="4" xfId="0" applyFont="1" applyBorder="1"/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14" fontId="1" fillId="0" borderId="4" xfId="0" applyNumberFormat="1" applyFont="1" applyBorder="1" applyAlignment="1">
      <alignment horizontal="right"/>
    </xf>
    <xf numFmtId="14" fontId="1" fillId="0" borderId="6" xfId="0" applyNumberFormat="1" applyFont="1" applyBorder="1" applyAlignment="1">
      <alignment horizontal="right"/>
    </xf>
    <xf numFmtId="10" fontId="1" fillId="0" borderId="7" xfId="0" applyNumberFormat="1" applyFont="1" applyBorder="1" applyAlignment="1">
      <alignment horizontal="right"/>
    </xf>
    <xf numFmtId="10" fontId="1" fillId="0" borderId="8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16" xfId="0" applyFont="1" applyBorder="1"/>
    <xf numFmtId="0" fontId="1" fillId="0" borderId="17" xfId="0" applyFont="1" applyBorder="1" applyAlignment="1">
      <alignment horizontal="right"/>
    </xf>
    <xf numFmtId="0" fontId="2" fillId="2" borderId="12" xfId="0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10" fontId="1" fillId="0" borderId="5" xfId="0" applyNumberFormat="1" applyFont="1" applyBorder="1"/>
    <xf numFmtId="167" fontId="1" fillId="0" borderId="5" xfId="0" applyNumberFormat="1" applyFont="1" applyBorder="1" applyAlignment="1">
      <alignment horizontal="right" vertical="top"/>
    </xf>
    <xf numFmtId="0" fontId="1" fillId="0" borderId="4" xfId="0" applyFont="1" applyBorder="1" applyAlignment="1">
      <alignment vertical="top" wrapText="1"/>
    </xf>
    <xf numFmtId="10" fontId="1" fillId="0" borderId="5" xfId="0" applyNumberFormat="1" applyFont="1" applyBorder="1" applyAlignment="1">
      <alignment horizontal="right" vertical="top"/>
    </xf>
    <xf numFmtId="0" fontId="9" fillId="0" borderId="18" xfId="0" applyFont="1" applyBorder="1"/>
    <xf numFmtId="10" fontId="9" fillId="0" borderId="19" xfId="0" applyNumberFormat="1" applyFont="1" applyBorder="1"/>
    <xf numFmtId="0" fontId="15" fillId="2" borderId="10" xfId="0" applyFont="1" applyFill="1" applyBorder="1" applyAlignment="1">
      <alignment horizontal="left"/>
    </xf>
    <xf numFmtId="0" fontId="15" fillId="2" borderId="10" xfId="0" applyFont="1" applyFill="1" applyBorder="1"/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10" fontId="15" fillId="2" borderId="11" xfId="0" applyNumberFormat="1" applyFont="1" applyFill="1" applyBorder="1" applyAlignment="1">
      <alignment horizontal="center"/>
    </xf>
    <xf numFmtId="10" fontId="15" fillId="2" borderId="12" xfId="0" applyNumberFormat="1" applyFont="1" applyFill="1" applyBorder="1" applyAlignment="1">
      <alignment horizontal="center"/>
    </xf>
    <xf numFmtId="0" fontId="15" fillId="2" borderId="4" xfId="0" applyFont="1" applyFill="1" applyBorder="1"/>
    <xf numFmtId="0" fontId="15" fillId="2" borderId="0" xfId="0" applyFont="1" applyFill="1"/>
    <xf numFmtId="0" fontId="15" fillId="2" borderId="2" xfId="0" applyFont="1" applyFill="1" applyBorder="1"/>
    <xf numFmtId="0" fontId="1" fillId="0" borderId="1" xfId="0" applyFont="1" applyBorder="1"/>
    <xf numFmtId="41" fontId="1" fillId="0" borderId="3" xfId="0" applyNumberFormat="1" applyFont="1" applyBorder="1" applyAlignment="1">
      <alignment horizontal="right"/>
    </xf>
    <xf numFmtId="37" fontId="1" fillId="0" borderId="5" xfId="0" applyNumberFormat="1" applyFont="1" applyBorder="1" applyAlignment="1">
      <alignment horizontal="right"/>
    </xf>
    <xf numFmtId="0" fontId="16" fillId="0" borderId="18" xfId="0" applyFont="1" applyBorder="1"/>
    <xf numFmtId="10" fontId="17" fillId="0" borderId="19" xfId="0" applyNumberFormat="1" applyFont="1" applyBorder="1"/>
    <xf numFmtId="10" fontId="16" fillId="0" borderId="19" xfId="0" applyNumberFormat="1" applyFont="1" applyBorder="1"/>
    <xf numFmtId="0" fontId="16" fillId="0" borderId="18" xfId="0" applyFont="1" applyBorder="1" applyAlignment="1">
      <alignment vertical="top" wrapText="1"/>
    </xf>
    <xf numFmtId="167" fontId="16" fillId="0" borderId="19" xfId="0" applyNumberFormat="1" applyFont="1" applyBorder="1" applyAlignment="1">
      <alignment horizontal="right" vertical="top"/>
    </xf>
    <xf numFmtId="2" fontId="1" fillId="0" borderId="5" xfId="0" applyNumberFormat="1" applyFont="1" applyBorder="1"/>
    <xf numFmtId="10" fontId="1" fillId="0" borderId="3" xfId="0" applyNumberFormat="1" applyFont="1" applyBorder="1"/>
    <xf numFmtId="41" fontId="1" fillId="0" borderId="5" xfId="0" applyNumberFormat="1" applyFont="1" applyBorder="1"/>
    <xf numFmtId="0" fontId="16" fillId="0" borderId="16" xfId="0" applyFont="1" applyBorder="1"/>
    <xf numFmtId="43" fontId="16" fillId="0" borderId="17" xfId="0" applyNumberFormat="1" applyFont="1" applyBorder="1" applyAlignment="1">
      <alignment horizontal="right"/>
    </xf>
    <xf numFmtId="10" fontId="16" fillId="0" borderId="17" xfId="0" applyNumberFormat="1" applyFont="1" applyBorder="1"/>
    <xf numFmtId="166" fontId="1" fillId="0" borderId="5" xfId="0" applyNumberFormat="1" applyFont="1" applyBorder="1"/>
    <xf numFmtId="43" fontId="1" fillId="0" borderId="11" xfId="0" applyNumberFormat="1" applyFont="1" applyBorder="1" applyAlignment="1">
      <alignment horizontal="right"/>
    </xf>
    <xf numFmtId="0" fontId="9" fillId="0" borderId="4" xfId="0" applyFont="1" applyBorder="1"/>
    <xf numFmtId="41" fontId="1" fillId="0" borderId="7" xfId="0" applyNumberFormat="1" applyFont="1" applyBorder="1"/>
    <xf numFmtId="166" fontId="1" fillId="0" borderId="7" xfId="0" applyNumberFormat="1" applyFont="1" applyBorder="1"/>
    <xf numFmtId="43" fontId="1" fillId="0" borderId="0" xfId="0" applyNumberFormat="1" applyFont="1" applyAlignment="1">
      <alignment horizontal="right"/>
    </xf>
    <xf numFmtId="43" fontId="1" fillId="0" borderId="7" xfId="0" applyNumberFormat="1" applyFont="1" applyBorder="1"/>
    <xf numFmtId="0" fontId="15" fillId="2" borderId="11" xfId="0" applyFont="1" applyFill="1" applyBorder="1"/>
    <xf numFmtId="0" fontId="14" fillId="0" borderId="0" xfId="0" applyFont="1"/>
    <xf numFmtId="44" fontId="1" fillId="0" borderId="5" xfId="0" applyNumberFormat="1" applyFont="1" applyBorder="1" applyAlignment="1">
      <alignment horizontal="right"/>
    </xf>
    <xf numFmtId="44" fontId="1" fillId="0" borderId="8" xfId="0" applyNumberFormat="1" applyFont="1" applyBorder="1" applyAlignment="1">
      <alignment horizontal="right"/>
    </xf>
    <xf numFmtId="166" fontId="1" fillId="0" borderId="2" xfId="0" applyNumberFormat="1" applyFont="1" applyBorder="1"/>
    <xf numFmtId="44" fontId="1" fillId="0" borderId="3" xfId="0" applyNumberFormat="1" applyFont="1" applyBorder="1"/>
    <xf numFmtId="44" fontId="1" fillId="0" borderId="5" xfId="0" applyNumberFormat="1" applyFont="1" applyBorder="1"/>
    <xf numFmtId="44" fontId="1" fillId="0" borderId="8" xfId="0" applyNumberFormat="1" applyFont="1" applyBorder="1"/>
    <xf numFmtId="9" fontId="1" fillId="0" borderId="8" xfId="0" applyNumberFormat="1" applyFont="1" applyBorder="1"/>
    <xf numFmtId="0" fontId="9" fillId="5" borderId="10" xfId="0" applyFont="1" applyFill="1" applyBorder="1"/>
    <xf numFmtId="39" fontId="9" fillId="5" borderId="11" xfId="0" applyNumberFormat="1" applyFont="1" applyFill="1" applyBorder="1"/>
    <xf numFmtId="0" fontId="9" fillId="5" borderId="11" xfId="0" applyFont="1" applyFill="1" applyBorder="1"/>
    <xf numFmtId="0" fontId="9" fillId="5" borderId="12" xfId="0" applyFont="1" applyFill="1" applyBorder="1"/>
    <xf numFmtId="0" fontId="1" fillId="0" borderId="4" xfId="0" applyFont="1" applyBorder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 horizontal="right"/>
    </xf>
    <xf numFmtId="39" fontId="1" fillId="0" borderId="5" xfId="0" applyNumberFormat="1" applyFont="1" applyBorder="1" applyAlignment="1">
      <alignment horizontal="right"/>
    </xf>
    <xf numFmtId="0" fontId="1" fillId="5" borderId="4" xfId="0" applyFont="1" applyFill="1" applyBorder="1"/>
    <xf numFmtId="2" fontId="1" fillId="5" borderId="0" xfId="0" applyNumberFormat="1" applyFont="1" applyFill="1" applyAlignment="1">
      <alignment horizontal="right" vertical="center"/>
    </xf>
    <xf numFmtId="39" fontId="1" fillId="5" borderId="0" xfId="0" applyNumberFormat="1" applyFont="1" applyFill="1" applyAlignment="1">
      <alignment horizontal="right" vertical="center"/>
    </xf>
    <xf numFmtId="39" fontId="1" fillId="5" borderId="0" xfId="0" applyNumberFormat="1" applyFont="1" applyFill="1" applyAlignment="1">
      <alignment horizontal="right"/>
    </xf>
    <xf numFmtId="39" fontId="1" fillId="5" borderId="5" xfId="0" applyNumberFormat="1" applyFont="1" applyFill="1" applyBorder="1" applyAlignment="1">
      <alignment horizontal="right"/>
    </xf>
    <xf numFmtId="2" fontId="1" fillId="0" borderId="7" xfId="0" applyNumberFormat="1" applyFont="1" applyBorder="1" applyAlignment="1">
      <alignment horizontal="right" vertical="center"/>
    </xf>
    <xf numFmtId="39" fontId="1" fillId="0" borderId="7" xfId="0" applyNumberFormat="1" applyFont="1" applyBorder="1" applyAlignment="1">
      <alignment horizontal="right" vertical="center"/>
    </xf>
    <xf numFmtId="39" fontId="1" fillId="0" borderId="7" xfId="0" applyNumberFormat="1" applyFont="1" applyBorder="1" applyAlignment="1">
      <alignment horizontal="right"/>
    </xf>
    <xf numFmtId="39" fontId="1" fillId="0" borderId="8" xfId="0" applyNumberFormat="1" applyFont="1" applyBorder="1" applyAlignment="1">
      <alignment horizontal="right"/>
    </xf>
    <xf numFmtId="0" fontId="1" fillId="5" borderId="0" xfId="0" applyFont="1" applyFill="1"/>
    <xf numFmtId="44" fontId="1" fillId="5" borderId="5" xfId="0" applyNumberFormat="1" applyFont="1" applyFill="1" applyBorder="1"/>
    <xf numFmtId="44" fontId="1" fillId="0" borderId="0" xfId="0" applyNumberFormat="1" applyFont="1"/>
    <xf numFmtId="164" fontId="1" fillId="0" borderId="0" xfId="0" applyNumberFormat="1" applyFont="1" applyAlignment="1">
      <alignment horizontal="right" vertical="center"/>
    </xf>
    <xf numFmtId="9" fontId="1" fillId="0" borderId="5" xfId="3" applyFont="1" applyBorder="1"/>
    <xf numFmtId="164" fontId="1" fillId="0" borderId="0" xfId="0" applyNumberFormat="1" applyFont="1"/>
    <xf numFmtId="0" fontId="9" fillId="0" borderId="10" xfId="0" applyFont="1" applyBorder="1"/>
    <xf numFmtId="164" fontId="1" fillId="0" borderId="11" xfId="0" applyNumberFormat="1" applyFont="1" applyBorder="1"/>
    <xf numFmtId="0" fontId="1" fillId="10" borderId="0" xfId="0" applyFont="1" applyFill="1" applyAlignment="1">
      <alignment horizontal="centerContinuous"/>
    </xf>
    <xf numFmtId="0" fontId="9" fillId="10" borderId="4" xfId="0" applyFont="1" applyFill="1" applyBorder="1" applyAlignment="1">
      <alignment horizontal="left" vertical="center"/>
    </xf>
    <xf numFmtId="0" fontId="9" fillId="10" borderId="0" xfId="0" applyFont="1" applyFill="1" applyAlignment="1">
      <alignment horizontal="centerContinuous" vertical="center"/>
    </xf>
    <xf numFmtId="39" fontId="9" fillId="10" borderId="5" xfId="0" applyNumberFormat="1" applyFont="1" applyFill="1" applyBorder="1"/>
    <xf numFmtId="0" fontId="15" fillId="2" borderId="11" xfId="0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centerContinuous" vertical="center"/>
    </xf>
    <xf numFmtId="39" fontId="15" fillId="2" borderId="12" xfId="0" applyNumberFormat="1" applyFont="1" applyFill="1" applyBorder="1"/>
    <xf numFmtId="0" fontId="15" fillId="2" borderId="10" xfId="0" applyFont="1" applyFill="1" applyBorder="1" applyAlignment="1">
      <alignment horizontal="left" vertical="center"/>
    </xf>
    <xf numFmtId="41" fontId="9" fillId="0" borderId="7" xfId="0" applyNumberFormat="1" applyFont="1" applyBorder="1" applyAlignment="1">
      <alignment horizontal="center"/>
    </xf>
    <xf numFmtId="41" fontId="11" fillId="0" borderId="5" xfId="0" applyNumberFormat="1" applyFont="1" applyBorder="1" applyAlignment="1">
      <alignment horizontal="center" wrapText="1"/>
    </xf>
    <xf numFmtId="0" fontId="7" fillId="7" borderId="4" xfId="2" applyFont="1" applyFill="1" applyBorder="1" applyAlignment="1">
      <alignment horizontal="left" vertical="top" wrapText="1" indent="1"/>
    </xf>
    <xf numFmtId="41" fontId="9" fillId="0" borderId="13" xfId="0" applyNumberFormat="1" applyFont="1" applyBorder="1" applyAlignment="1">
      <alignment horizontal="center"/>
    </xf>
    <xf numFmtId="0" fontId="7" fillId="7" borderId="4" xfId="2" applyFont="1" applyFill="1" applyBorder="1" applyAlignment="1">
      <alignment horizontal="left" vertical="top" wrapText="1"/>
    </xf>
    <xf numFmtId="41" fontId="6" fillId="7" borderId="14" xfId="2" applyNumberFormat="1" applyFont="1" applyFill="1" applyBorder="1" applyAlignment="1">
      <alignment vertical="top" wrapText="1"/>
    </xf>
    <xf numFmtId="41" fontId="7" fillId="8" borderId="14" xfId="2" applyNumberFormat="1" applyFont="1" applyFill="1" applyBorder="1" applyAlignment="1">
      <alignment horizontal="right" vertical="top"/>
    </xf>
    <xf numFmtId="41" fontId="7" fillId="7" borderId="14" xfId="2" applyNumberFormat="1" applyFont="1" applyFill="1" applyBorder="1" applyAlignment="1">
      <alignment vertical="top" wrapText="1"/>
    </xf>
    <xf numFmtId="41" fontId="6" fillId="7" borderId="14" xfId="2" applyNumberFormat="1" applyFont="1" applyFill="1" applyBorder="1" applyAlignment="1">
      <alignment horizontal="right" vertical="top"/>
    </xf>
    <xf numFmtId="41" fontId="6" fillId="0" borderId="14" xfId="2" applyNumberFormat="1" applyFont="1" applyBorder="1" applyAlignment="1">
      <alignment horizontal="right" vertical="top"/>
    </xf>
    <xf numFmtId="41" fontId="6" fillId="8" borderId="14" xfId="1" applyNumberFormat="1" applyFont="1" applyFill="1" applyBorder="1" applyAlignment="1">
      <alignment horizontal="right" vertical="top"/>
    </xf>
    <xf numFmtId="41" fontId="6" fillId="0" borderId="14" xfId="1" applyNumberFormat="1" applyFont="1" applyFill="1" applyBorder="1" applyAlignment="1">
      <alignment horizontal="right" vertical="top"/>
    </xf>
    <xf numFmtId="41" fontId="9" fillId="0" borderId="15" xfId="0" applyNumberFormat="1" applyFont="1" applyBorder="1" applyAlignment="1">
      <alignment horizontal="center" wrapText="1"/>
    </xf>
    <xf numFmtId="41" fontId="9" fillId="0" borderId="15" xfId="0" applyNumberFormat="1" applyFont="1" applyBorder="1" applyAlignment="1">
      <alignment horizontal="center"/>
    </xf>
    <xf numFmtId="41" fontId="6" fillId="8" borderId="14" xfId="2" applyNumberFormat="1" applyFont="1" applyFill="1" applyBorder="1" applyAlignment="1">
      <alignment horizontal="right" vertical="top"/>
    </xf>
    <xf numFmtId="0" fontId="10" fillId="7" borderId="4" xfId="2" applyFont="1" applyFill="1" applyBorder="1" applyAlignment="1">
      <alignment horizontal="left" vertical="top" wrapText="1" indent="1"/>
    </xf>
    <xf numFmtId="10" fontId="7" fillId="7" borderId="0" xfId="2" applyNumberFormat="1" applyFont="1" applyFill="1" applyAlignment="1">
      <alignment horizontal="right" vertical="top"/>
    </xf>
    <xf numFmtId="0" fontId="7" fillId="7" borderId="0" xfId="2" applyFont="1" applyFill="1" applyAlignment="1">
      <alignment vertical="top" wrapText="1"/>
    </xf>
    <xf numFmtId="0" fontId="18" fillId="10" borderId="6" xfId="0" applyFont="1" applyFill="1" applyBorder="1"/>
    <xf numFmtId="0" fontId="1" fillId="10" borderId="7" xfId="0" applyFont="1" applyFill="1" applyBorder="1"/>
    <xf numFmtId="41" fontId="1" fillId="10" borderId="7" xfId="0" applyNumberFormat="1" applyFont="1" applyFill="1" applyBorder="1"/>
    <xf numFmtId="0" fontId="6" fillId="4" borderId="10" xfId="2" applyFont="1" applyFill="1" applyBorder="1" applyAlignment="1">
      <alignment horizontal="left" vertical="top" wrapText="1"/>
    </xf>
    <xf numFmtId="41" fontId="7" fillId="4" borderId="11" xfId="2" applyNumberFormat="1" applyFont="1" applyFill="1" applyBorder="1" applyAlignment="1">
      <alignment vertical="top" wrapText="1"/>
    </xf>
    <xf numFmtId="41" fontId="7" fillId="4" borderId="9" xfId="2" applyNumberFormat="1" applyFont="1" applyFill="1" applyBorder="1" applyAlignment="1">
      <alignment vertical="top" wrapText="1"/>
    </xf>
    <xf numFmtId="41" fontId="7" fillId="7" borderId="14" xfId="2" applyNumberFormat="1" applyFont="1" applyFill="1" applyBorder="1" applyAlignment="1">
      <alignment horizontal="right" vertical="top"/>
    </xf>
    <xf numFmtId="10" fontId="7" fillId="7" borderId="14" xfId="2" applyNumberFormat="1" applyFont="1" applyFill="1" applyBorder="1" applyAlignment="1">
      <alignment horizontal="right" vertical="top"/>
    </xf>
    <xf numFmtId="41" fontId="1" fillId="0" borderId="9" xfId="0" applyNumberFormat="1" applyFont="1" applyBorder="1"/>
    <xf numFmtId="41" fontId="1" fillId="10" borderId="15" xfId="0" applyNumberFormat="1" applyFont="1" applyFill="1" applyBorder="1"/>
    <xf numFmtId="41" fontId="9" fillId="0" borderId="10" xfId="0" applyNumberFormat="1" applyFont="1" applyBorder="1" applyAlignment="1">
      <alignment horizontal="center" wrapText="1"/>
    </xf>
    <xf numFmtId="41" fontId="9" fillId="0" borderId="11" xfId="0" applyNumberFormat="1" applyFont="1" applyBorder="1" applyAlignment="1">
      <alignment horizontal="center" wrapText="1"/>
    </xf>
    <xf numFmtId="41" fontId="9" fillId="0" borderId="9" xfId="0" applyNumberFormat="1" applyFont="1" applyBorder="1" applyAlignment="1">
      <alignment horizontal="center" wrapText="1"/>
    </xf>
    <xf numFmtId="41" fontId="9" fillId="0" borderId="9" xfId="0" applyNumberFormat="1" applyFont="1" applyBorder="1" applyAlignment="1">
      <alignment horizontal="center"/>
    </xf>
    <xf numFmtId="0" fontId="15" fillId="2" borderId="9" xfId="0" applyFont="1" applyFill="1" applyBorder="1"/>
    <xf numFmtId="39" fontId="9" fillId="5" borderId="12" xfId="0" applyNumberFormat="1" applyFont="1" applyFill="1" applyBorder="1"/>
    <xf numFmtId="39" fontId="1" fillId="0" borderId="5" xfId="0" applyNumberFormat="1" applyFont="1" applyBorder="1" applyAlignment="1">
      <alignment horizontal="right" vertical="center"/>
    </xf>
    <xf numFmtId="39" fontId="1" fillId="5" borderId="5" xfId="0" applyNumberFormat="1" applyFont="1" applyFill="1" applyBorder="1" applyAlignment="1">
      <alignment horizontal="right" vertical="center"/>
    </xf>
    <xf numFmtId="39" fontId="1" fillId="0" borderId="8" xfId="0" applyNumberFormat="1" applyFont="1" applyBorder="1" applyAlignment="1">
      <alignment horizontal="right" vertical="center"/>
    </xf>
    <xf numFmtId="0" fontId="9" fillId="9" borderId="4" xfId="0" applyFont="1" applyFill="1" applyBorder="1" applyAlignment="1">
      <alignment horizontal="left"/>
    </xf>
    <xf numFmtId="0" fontId="9" fillId="9" borderId="0" xfId="0" applyFont="1" applyFill="1" applyAlignment="1">
      <alignment horizontal="left"/>
    </xf>
    <xf numFmtId="0" fontId="9" fillId="9" borderId="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42" fontId="1" fillId="0" borderId="0" xfId="0" applyNumberFormat="1" applyFont="1" applyAlignment="1">
      <alignment horizontal="center"/>
    </xf>
    <xf numFmtId="0" fontId="15" fillId="11" borderId="21" xfId="0" applyFont="1" applyFill="1" applyBorder="1" applyAlignment="1">
      <alignment horizontal="center"/>
    </xf>
    <xf numFmtId="0" fontId="15" fillId="11" borderId="22" xfId="0" applyFont="1" applyFill="1" applyBorder="1" applyAlignment="1">
      <alignment horizontal="center"/>
    </xf>
    <xf numFmtId="44" fontId="1" fillId="0" borderId="7" xfId="0" applyNumberFormat="1" applyFont="1" applyBorder="1"/>
    <xf numFmtId="42" fontId="1" fillId="0" borderId="7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right"/>
    </xf>
    <xf numFmtId="1" fontId="1" fillId="0" borderId="26" xfId="0" applyNumberFormat="1" applyFont="1" applyBorder="1" applyAlignment="1">
      <alignment horizontal="right"/>
    </xf>
    <xf numFmtId="6" fontId="1" fillId="0" borderId="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9" fontId="1" fillId="0" borderId="12" xfId="0" applyNumberFormat="1" applyFont="1" applyBorder="1"/>
    <xf numFmtId="0" fontId="1" fillId="0" borderId="2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5" fillId="11" borderId="20" xfId="0" applyFont="1" applyFill="1" applyBorder="1" applyAlignment="1">
      <alignment horizontal="center"/>
    </xf>
    <xf numFmtId="0" fontId="15" fillId="11" borderId="21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Currency" xfId="1" builtinId="4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2" defaultPivotStyle="PivotStyleLight16"/>
  <colors>
    <mruColors>
      <color rgb="FF055482"/>
      <color rgb="FF0556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260348011887718"/>
          <c:y val="5.7259716774805125E-2"/>
          <c:w val="0.6539040919362239"/>
          <c:h val="0.74233127451337699"/>
        </c:manualLayout>
      </c:layout>
      <c:barChart>
        <c:barDir val="bar"/>
        <c:grouping val="stacked"/>
        <c:varyColors val="1"/>
        <c:ser>
          <c:idx val="0"/>
          <c:order val="0"/>
          <c:invertIfNegative val="1"/>
          <c:cat>
            <c:strRef>
              <c:f>'Comps SOTP'!$K$37:$L$41</c:f>
              <c:strCache>
                <c:ptCount val="5"/>
                <c:pt idx="0">
                  <c:v>52 Week Range</c:v>
                </c:pt>
                <c:pt idx="1">
                  <c:v>LTM EV/EBITDA</c:v>
                </c:pt>
                <c:pt idx="2">
                  <c:v>2024E EV/EBITDA</c:v>
                </c:pt>
                <c:pt idx="3">
                  <c:v>LTM SOTP P/E</c:v>
                </c:pt>
                <c:pt idx="4">
                  <c:v>2024E SOTP P/E</c:v>
                </c:pt>
              </c:strCache>
            </c:strRef>
          </c:cat>
          <c:val>
            <c:numRef>
              <c:f>'Comps SOTP'!$L$37:$L$41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4E3-C64D-A71F-50E7E8956259}"/>
            </c:ext>
          </c:extLst>
        </c:ser>
        <c:ser>
          <c:idx val="1"/>
          <c:order val="1"/>
          <c:spPr>
            <a:noFill/>
          </c:spPr>
          <c:invertIfNegative val="1"/>
          <c:cat>
            <c:strRef>
              <c:f>'Comps SOTP'!$K$37:$L$41</c:f>
              <c:strCache>
                <c:ptCount val="5"/>
                <c:pt idx="0">
                  <c:v>52 Week Range</c:v>
                </c:pt>
                <c:pt idx="1">
                  <c:v>LTM EV/EBITDA</c:v>
                </c:pt>
                <c:pt idx="2">
                  <c:v>2024E EV/EBITDA</c:v>
                </c:pt>
                <c:pt idx="3">
                  <c:v>LTM SOTP P/E</c:v>
                </c:pt>
                <c:pt idx="4">
                  <c:v>2024E SOTP P/E</c:v>
                </c:pt>
              </c:strCache>
            </c:strRef>
          </c:cat>
          <c:val>
            <c:numRef>
              <c:f>'Comps SOTP'!$M$37:$M$41</c:f>
              <c:numCache>
                <c:formatCode>_("$"* #,##0_);_("$"* \(#,##0\);_("$"* "-"_);_(@_)</c:formatCode>
                <c:ptCount val="5"/>
                <c:pt idx="0">
                  <c:v>83.76</c:v>
                </c:pt>
                <c:pt idx="1">
                  <c:v>85.821871665758323</c:v>
                </c:pt>
                <c:pt idx="2">
                  <c:v>96.110414952899205</c:v>
                </c:pt>
                <c:pt idx="3">
                  <c:v>76.437252958065628</c:v>
                </c:pt>
                <c:pt idx="4">
                  <c:v>94.598707966770334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E3-C64D-A71F-50E7E8956259}"/>
            </c:ext>
          </c:extLst>
        </c:ser>
        <c:ser>
          <c:idx val="2"/>
          <c:order val="2"/>
          <c:spPr>
            <a:solidFill>
              <a:srgbClr val="055482"/>
            </a:solidFill>
          </c:spPr>
          <c:invertIfNegative val="0"/>
          <c:cat>
            <c:strRef>
              <c:f>'Comps SOTP'!$K$37:$L$41</c:f>
              <c:strCache>
                <c:ptCount val="5"/>
                <c:pt idx="0">
                  <c:v>52 Week Range</c:v>
                </c:pt>
                <c:pt idx="1">
                  <c:v>LTM EV/EBITDA</c:v>
                </c:pt>
                <c:pt idx="2">
                  <c:v>2024E EV/EBITDA</c:v>
                </c:pt>
                <c:pt idx="3">
                  <c:v>LTM SOTP P/E</c:v>
                </c:pt>
                <c:pt idx="4">
                  <c:v>2024E SOTP P/E</c:v>
                </c:pt>
              </c:strCache>
            </c:strRef>
          </c:cat>
          <c:val>
            <c:numRef>
              <c:f>'Comps SOTP'!$N$37:$N$41</c:f>
              <c:numCache>
                <c:formatCode>0</c:formatCode>
                <c:ptCount val="5"/>
                <c:pt idx="0">
                  <c:v>32.569999999999993</c:v>
                </c:pt>
                <c:pt idx="1">
                  <c:v>85.659644710217776</c:v>
                </c:pt>
                <c:pt idx="2">
                  <c:v>52.853389479747918</c:v>
                </c:pt>
                <c:pt idx="3">
                  <c:v>61.434030840867152</c:v>
                </c:pt>
                <c:pt idx="4">
                  <c:v>30.579004327870635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E3-C64D-A71F-50E7E89562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7381284"/>
        <c:axId val="1526822795"/>
      </c:barChart>
      <c:catAx>
        <c:axId val="100738128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Garamond"/>
              </a:defRPr>
            </a:pPr>
            <a:endParaRPr lang="en-US"/>
          </a:p>
        </c:txPr>
        <c:crossAx val="1526822795"/>
        <c:crosses val="autoZero"/>
        <c:auto val="1"/>
        <c:lblAlgn val="ctr"/>
        <c:lblOffset val="100"/>
        <c:noMultiLvlLbl val="1"/>
      </c:catAx>
      <c:valAx>
        <c:axId val="1526822795"/>
        <c:scaling>
          <c:orientation val="minMax"/>
          <c:max val="190"/>
          <c:min val="5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Garamond"/>
              </a:defRPr>
            </a:pPr>
            <a:endParaRPr lang="en-US"/>
          </a:p>
        </c:txPr>
        <c:crossAx val="1007381284"/>
        <c:crosses val="max"/>
        <c:crossBetween val="between"/>
      </c:valAx>
    </c:plotArea>
    <c:plotVisOnly val="1"/>
    <c:dispBlanksAs val="zero"/>
    <c:showDLblsOverMax val="1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827918</xdr:colOff>
      <xdr:row>44</xdr:row>
      <xdr:rowOff>23788</xdr:rowOff>
    </xdr:from>
    <xdr:ext cx="4675415" cy="2661557"/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17721B4-5CD2-D64E-8A42-5058EB9B1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tephanie Shen" id="{72DBC153-33BF-AE41-8125-51A87C597193}" userId="S::sshen6@binghamton.edu::541395d9-5987-4864-b69a-13cd1e1428e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V4" dT="2022-12-01T15:56:48.24" personId="{72DBC153-33BF-AE41-8125-51A87C597193}" id="{223FF04E-D742-574B-8BD0-1574E6A4A04B}">
    <text>“$1 billion change in rate base” from Earnings Review</text>
  </threadedComment>
  <threadedComment ref="V8" dT="2022-12-01T15:57:01.81" personId="{72DBC153-33BF-AE41-8125-51A87C597193}" id="{049264C4-1C98-5847-9C6C-EE6B848507A5}">
    <text>“$200 million change in rate base” from Earnings Review</text>
  </threadedComment>
</ThreadedComment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9"/>
  <sheetViews>
    <sheetView showGridLines="0" tabSelected="1" zoomScaleNormal="100" workbookViewId="0"/>
  </sheetViews>
  <sheetFormatPr defaultColWidth="10.875" defaultRowHeight="15.75" x14ac:dyDescent="0.25"/>
  <cols>
    <col min="1" max="1" width="2.625" style="1" customWidth="1"/>
    <col min="2" max="2" width="24" style="1" customWidth="1"/>
    <col min="3" max="3" width="9.125" style="1" customWidth="1"/>
    <col min="4" max="4" width="15.375" style="1" bestFit="1" customWidth="1"/>
    <col min="5" max="16384" width="10.875" style="1"/>
  </cols>
  <sheetData>
    <row r="2" spans="2:4" x14ac:dyDescent="0.25">
      <c r="B2" s="2" t="s">
        <v>1</v>
      </c>
      <c r="C2" s="3"/>
      <c r="D2" s="4"/>
    </row>
    <row r="3" spans="2:4" x14ac:dyDescent="0.25">
      <c r="B3" s="5" t="s">
        <v>2</v>
      </c>
      <c r="C3" s="6"/>
      <c r="D3" s="7"/>
    </row>
    <row r="4" spans="2:4" x14ac:dyDescent="0.25">
      <c r="B4" s="8" t="s">
        <v>0</v>
      </c>
      <c r="D4" s="9" t="s">
        <v>7</v>
      </c>
    </row>
    <row r="5" spans="2:4" x14ac:dyDescent="0.25">
      <c r="B5" s="8" t="s">
        <v>3</v>
      </c>
      <c r="D5" s="9" t="s">
        <v>8</v>
      </c>
    </row>
    <row r="6" spans="2:4" x14ac:dyDescent="0.25">
      <c r="B6" s="8" t="s">
        <v>9</v>
      </c>
      <c r="D6" s="9" t="s">
        <v>10</v>
      </c>
    </row>
    <row r="7" spans="2:4" x14ac:dyDescent="0.25">
      <c r="B7" s="8" t="s">
        <v>4</v>
      </c>
      <c r="D7" s="13">
        <v>100.45</v>
      </c>
    </row>
    <row r="8" spans="2:4" x14ac:dyDescent="0.25">
      <c r="B8" s="8" t="s">
        <v>5</v>
      </c>
      <c r="D8" s="247">
        <v>770000000</v>
      </c>
    </row>
    <row r="9" spans="2:4" x14ac:dyDescent="0.25">
      <c r="B9" s="11" t="s">
        <v>245</v>
      </c>
      <c r="C9" s="12"/>
      <c r="D9" s="349">
        <v>76707400000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5556-CA18-E041-8286-30B3EA11013B}">
  <dimension ref="B2:T55"/>
  <sheetViews>
    <sheetView showGridLines="0" zoomScale="60" zoomScaleNormal="60" workbookViewId="0"/>
  </sheetViews>
  <sheetFormatPr defaultColWidth="10.875" defaultRowHeight="15.75" x14ac:dyDescent="0.25"/>
  <cols>
    <col min="1" max="1" width="2.625" style="1" customWidth="1"/>
    <col min="2" max="2" width="32.875" style="1" customWidth="1"/>
    <col min="3" max="3" width="13.125" style="1" customWidth="1"/>
    <col min="4" max="4" width="17.875" style="1" bestFit="1" customWidth="1"/>
    <col min="5" max="5" width="21.125" style="1" customWidth="1"/>
    <col min="6" max="6" width="14.875" style="1" customWidth="1"/>
    <col min="7" max="7" width="17.875" style="1" bestFit="1" customWidth="1"/>
    <col min="8" max="8" width="14.875" style="1" customWidth="1"/>
    <col min="9" max="9" width="14.625" style="1" bestFit="1" customWidth="1"/>
    <col min="10" max="10" width="15.625" style="1" bestFit="1" customWidth="1"/>
    <col min="11" max="11" width="15.5" style="1" customWidth="1"/>
    <col min="12" max="12" width="16" style="1" bestFit="1" customWidth="1"/>
    <col min="13" max="13" width="12.625" style="1" customWidth="1"/>
    <col min="14" max="14" width="12.375" style="1" customWidth="1"/>
    <col min="15" max="16" width="14.875" style="1" customWidth="1"/>
    <col min="17" max="17" width="20.625" style="1" customWidth="1"/>
    <col min="18" max="18" width="19.5" style="1" customWidth="1"/>
    <col min="19" max="19" width="15" style="1" customWidth="1"/>
    <col min="20" max="20" width="15.5" style="1" customWidth="1"/>
    <col min="21" max="16384" width="10.875" style="1"/>
  </cols>
  <sheetData>
    <row r="2" spans="2:20" x14ac:dyDescent="0.25">
      <c r="B2" s="229" t="s">
        <v>239</v>
      </c>
      <c r="C2" s="258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4"/>
    </row>
    <row r="3" spans="2:20" s="341" customFormat="1" x14ac:dyDescent="0.25">
      <c r="B3" s="338" t="s">
        <v>205</v>
      </c>
      <c r="C3" s="339" t="s">
        <v>206</v>
      </c>
      <c r="D3" s="339" t="s">
        <v>207</v>
      </c>
      <c r="E3" s="339" t="s">
        <v>5</v>
      </c>
      <c r="F3" s="339" t="s">
        <v>208</v>
      </c>
      <c r="G3" s="339" t="s">
        <v>209</v>
      </c>
      <c r="H3" s="339" t="s">
        <v>6</v>
      </c>
      <c r="I3" s="339" t="s">
        <v>210</v>
      </c>
      <c r="J3" s="339" t="s">
        <v>211</v>
      </c>
      <c r="K3" s="339" t="s">
        <v>212</v>
      </c>
      <c r="L3" s="339" t="s">
        <v>213</v>
      </c>
      <c r="M3" s="339" t="s">
        <v>214</v>
      </c>
      <c r="N3" s="339" t="s">
        <v>215</v>
      </c>
      <c r="O3" s="339" t="s">
        <v>220</v>
      </c>
      <c r="P3" s="339" t="s">
        <v>216</v>
      </c>
      <c r="Q3" s="339" t="s">
        <v>217</v>
      </c>
      <c r="R3" s="339" t="s">
        <v>218</v>
      </c>
      <c r="S3" s="339" t="s">
        <v>219</v>
      </c>
      <c r="T3" s="340" t="s">
        <v>221</v>
      </c>
    </row>
    <row r="4" spans="2:20" x14ac:dyDescent="0.25">
      <c r="B4" s="197" t="s">
        <v>222</v>
      </c>
      <c r="C4" s="198" t="s">
        <v>7</v>
      </c>
      <c r="D4" s="198">
        <v>98.83</v>
      </c>
      <c r="E4" s="199">
        <v>770000000</v>
      </c>
      <c r="F4" s="199">
        <v>72462000000</v>
      </c>
      <c r="G4" s="200">
        <v>153959400000</v>
      </c>
      <c r="H4" s="200">
        <v>76707400000</v>
      </c>
      <c r="I4" s="200">
        <f>('Income Statement'!P4+SUM('Income Statement'!R4:T4))*1000000</f>
        <v>28239000000</v>
      </c>
      <c r="J4" s="200">
        <f>('Income Statement'!Z4+SUM('Income Statement'!AB4:AD4))*1000000</f>
        <v>28960825268.309998</v>
      </c>
      <c r="K4" s="200">
        <f>('Income Statement'!T16+'Income Statement'!S16+'Income Statement'!R16+'Income Statement'!P16+'CapEx + D&amp;A'!T7+'CapEx + D&amp;A'!S7+'CapEx + D&amp;A'!R7+'CapEx + D&amp;A'!P7)*1000000</f>
        <v>11885000000</v>
      </c>
      <c r="L4" s="200">
        <f>('Income Statement'!AF16+'CapEx + D&amp;A'!AF7)*1000000</f>
        <v>15215345844.684547</v>
      </c>
      <c r="M4" s="252">
        <f>('Income Statement'!P33+SUM('Income Statement'!R33:T33))/'Income Statement'!Q39</f>
        <v>5.2145643693107928</v>
      </c>
      <c r="N4" s="252">
        <f>'Income Statement'!AF33/'Income Statement'!AF39</f>
        <v>6.1979565503388869</v>
      </c>
      <c r="O4" s="201">
        <f>G4/I4</f>
        <v>5.4520131732710082</v>
      </c>
      <c r="P4" s="201">
        <f>H4/J4</f>
        <v>2.6486607094009873</v>
      </c>
      <c r="Q4" s="201">
        <f>G4/K4</f>
        <v>12.954093395035759</v>
      </c>
      <c r="R4" s="201">
        <f>G4/L4</f>
        <v>10.118692113316992</v>
      </c>
      <c r="S4" s="201">
        <f>D4/M4</f>
        <v>18.952685785536161</v>
      </c>
      <c r="T4" s="202">
        <f>$D$4/N4</f>
        <v>15.945578062272194</v>
      </c>
    </row>
    <row r="5" spans="2:20" x14ac:dyDescent="0.25">
      <c r="B5" s="8"/>
      <c r="E5" s="14"/>
      <c r="F5" s="14"/>
      <c r="G5" s="193"/>
      <c r="H5" s="193"/>
      <c r="I5" s="193"/>
      <c r="J5" s="193"/>
      <c r="K5" s="193"/>
      <c r="L5" s="193"/>
      <c r="M5" s="256"/>
      <c r="N5" s="256"/>
      <c r="O5" s="194"/>
      <c r="P5" s="194"/>
      <c r="Q5" s="194"/>
      <c r="R5" s="194"/>
      <c r="S5" s="194"/>
      <c r="T5" s="195"/>
    </row>
    <row r="6" spans="2:20" x14ac:dyDescent="0.25">
      <c r="B6" s="205" t="s">
        <v>223</v>
      </c>
      <c r="C6" s="259"/>
      <c r="E6" s="14"/>
      <c r="F6" s="14"/>
      <c r="G6" s="193"/>
      <c r="H6" s="193"/>
      <c r="I6" s="193"/>
      <c r="J6" s="193"/>
      <c r="K6" s="193"/>
      <c r="L6" s="193"/>
      <c r="M6" s="256"/>
      <c r="N6" s="256"/>
      <c r="O6" s="194"/>
      <c r="P6" s="194"/>
      <c r="Q6" s="194"/>
      <c r="R6" s="194"/>
      <c r="S6" s="194"/>
      <c r="T6" s="195"/>
    </row>
    <row r="7" spans="2:20" x14ac:dyDescent="0.25">
      <c r="B7" s="8" t="s">
        <v>227</v>
      </c>
      <c r="C7" s="1" t="s">
        <v>256</v>
      </c>
      <c r="D7" s="170">
        <v>69.63</v>
      </c>
      <c r="E7" s="14">
        <v>547250000</v>
      </c>
      <c r="F7" s="14">
        <v>25326000000</v>
      </c>
      <c r="G7" s="193">
        <v>62963700000</v>
      </c>
      <c r="H7" s="193">
        <v>37749200000</v>
      </c>
      <c r="I7" s="193">
        <v>14612000000</v>
      </c>
      <c r="J7" s="193">
        <v>14855600000</v>
      </c>
      <c r="K7" s="193">
        <v>5131000000</v>
      </c>
      <c r="L7" s="193">
        <v>5564700000</v>
      </c>
      <c r="M7" s="256">
        <v>3.06</v>
      </c>
      <c r="N7" s="256">
        <v>3.6</v>
      </c>
      <c r="O7" s="194">
        <f>G7/I7</f>
        <v>4.3090405146454964</v>
      </c>
      <c r="P7" s="194">
        <f>G7/J7</f>
        <v>4.2383814857696764</v>
      </c>
      <c r="Q7" s="194">
        <f>G7/K7</f>
        <v>12.271233677645682</v>
      </c>
      <c r="R7" s="194">
        <f>G7/L7</f>
        <v>11.314841770445845</v>
      </c>
      <c r="S7" s="194">
        <f>D7/M7</f>
        <v>22.754901960784313</v>
      </c>
      <c r="T7" s="195">
        <f>D7/N7</f>
        <v>19.341666666666665</v>
      </c>
    </row>
    <row r="8" spans="2:20" x14ac:dyDescent="0.25">
      <c r="B8" s="8" t="s">
        <v>228</v>
      </c>
      <c r="C8" s="1" t="s">
        <v>257</v>
      </c>
      <c r="D8" s="170">
        <v>59.22</v>
      </c>
      <c r="E8" s="14">
        <v>498950000</v>
      </c>
      <c r="F8" s="14">
        <v>19533000000</v>
      </c>
      <c r="G8" s="193">
        <v>49075200000</v>
      </c>
      <c r="H8" s="193">
        <v>29368200000</v>
      </c>
      <c r="I8" s="193">
        <v>9717000000</v>
      </c>
      <c r="J8" s="193">
        <v>9686300000</v>
      </c>
      <c r="K8" s="193">
        <v>2974000000</v>
      </c>
      <c r="L8" s="193">
        <v>4165100000</v>
      </c>
      <c r="M8" s="256">
        <v>4.04</v>
      </c>
      <c r="N8" s="256">
        <v>3.88</v>
      </c>
      <c r="O8" s="194">
        <f t="shared" ref="O8:O19" si="0">G8/I8</f>
        <v>5.0504476690336526</v>
      </c>
      <c r="P8" s="194">
        <f t="shared" ref="P8:P19" si="1">G8/J8</f>
        <v>5.0664546834188489</v>
      </c>
      <c r="Q8" s="194">
        <f t="shared" ref="Q8:Q19" si="2">G8/K8</f>
        <v>16.501412239408204</v>
      </c>
      <c r="R8" s="194">
        <f t="shared" ref="R8:R19" si="3">G8/L8</f>
        <v>11.782478211807639</v>
      </c>
      <c r="S8" s="194">
        <f t="shared" ref="S8:S19" si="4">D8/M8</f>
        <v>14.658415841584159</v>
      </c>
      <c r="T8" s="195">
        <f t="shared" ref="T8:T19" si="5">D8/N8</f>
        <v>15.262886597938145</v>
      </c>
    </row>
    <row r="9" spans="2:20" x14ac:dyDescent="0.25">
      <c r="B9" s="8" t="s">
        <v>279</v>
      </c>
      <c r="C9" s="1" t="s">
        <v>281</v>
      </c>
      <c r="D9" s="170">
        <v>67.83</v>
      </c>
      <c r="E9" s="14">
        <v>1088670000</v>
      </c>
      <c r="F9" s="14">
        <v>52057000000</v>
      </c>
      <c r="G9" s="193">
        <v>132431200000</v>
      </c>
      <c r="H9" s="193">
        <v>73311200000</v>
      </c>
      <c r="I9" s="193">
        <v>27999000000</v>
      </c>
      <c r="J9" s="193">
        <v>26122900000</v>
      </c>
      <c r="K9" s="193">
        <v>9953000000</v>
      </c>
      <c r="L9" s="193">
        <v>10792000000</v>
      </c>
      <c r="M9" s="256">
        <v>3.67</v>
      </c>
      <c r="N9" s="256">
        <v>4.09</v>
      </c>
      <c r="O9" s="194">
        <f t="shared" ref="O9" si="6">G9/I9</f>
        <v>4.729854637665631</v>
      </c>
      <c r="P9" s="194">
        <f t="shared" ref="P9" si="7">G9/J9</f>
        <v>5.0695443461483984</v>
      </c>
      <c r="Q9" s="194">
        <f t="shared" ref="Q9" si="8">G9/K9</f>
        <v>13.305656585953983</v>
      </c>
      <c r="R9" s="194">
        <f t="shared" ref="R9" si="9">G9/L9</f>
        <v>12.27123795404003</v>
      </c>
      <c r="S9" s="194">
        <f t="shared" ref="S9" si="10">D9/M9</f>
        <v>18.482288828337875</v>
      </c>
      <c r="T9" s="195">
        <f t="shared" ref="T9" si="11">D9/N9</f>
        <v>16.584352078239608</v>
      </c>
    </row>
    <row r="10" spans="2:20" x14ac:dyDescent="0.25">
      <c r="B10" s="8"/>
      <c r="D10" s="170"/>
      <c r="E10" s="14"/>
      <c r="F10" s="14"/>
      <c r="G10" s="193"/>
      <c r="H10" s="193"/>
      <c r="I10" s="193"/>
      <c r="J10" s="193"/>
      <c r="K10" s="193"/>
      <c r="L10" s="193"/>
      <c r="M10" s="256"/>
      <c r="N10" s="256"/>
      <c r="O10" s="194"/>
      <c r="P10" s="194"/>
      <c r="Q10" s="194"/>
      <c r="R10" s="194"/>
      <c r="S10" s="194"/>
      <c r="T10" s="195"/>
    </row>
    <row r="11" spans="2:20" x14ac:dyDescent="0.25">
      <c r="B11" s="205" t="s">
        <v>224</v>
      </c>
      <c r="C11" s="259"/>
      <c r="D11" s="170"/>
      <c r="E11" s="14"/>
      <c r="F11" s="14"/>
      <c r="G11" s="14"/>
      <c r="H11" s="14"/>
      <c r="I11" s="14"/>
      <c r="J11" s="14"/>
      <c r="K11" s="14"/>
      <c r="L11" s="14"/>
      <c r="M11" s="170"/>
      <c r="N11" s="170"/>
      <c r="O11" s="194"/>
      <c r="P11" s="194"/>
      <c r="Q11" s="194"/>
      <c r="R11" s="194"/>
      <c r="S11" s="194"/>
      <c r="T11" s="195"/>
    </row>
    <row r="12" spans="2:20" x14ac:dyDescent="0.25">
      <c r="B12" s="8" t="s">
        <v>284</v>
      </c>
      <c r="C12" s="1" t="s">
        <v>260</v>
      </c>
      <c r="D12" s="170">
        <v>27.29</v>
      </c>
      <c r="E12" s="14">
        <v>406130000</v>
      </c>
      <c r="F12" s="14">
        <v>10788200000</v>
      </c>
      <c r="G12" s="14">
        <v>23668800000</v>
      </c>
      <c r="H12" s="14">
        <v>11065100000</v>
      </c>
      <c r="I12" s="14">
        <v>5554600000</v>
      </c>
      <c r="J12" s="14">
        <v>5610900000</v>
      </c>
      <c r="K12" s="14">
        <v>1914400000</v>
      </c>
      <c r="L12" s="14">
        <v>2466400000</v>
      </c>
      <c r="M12" s="170">
        <v>1.43</v>
      </c>
      <c r="N12" s="170">
        <v>1.71</v>
      </c>
      <c r="O12" s="194">
        <f t="shared" si="0"/>
        <v>4.261116912108883</v>
      </c>
      <c r="P12" s="194">
        <f t="shared" si="1"/>
        <v>4.218360690798268</v>
      </c>
      <c r="Q12" s="194">
        <f t="shared" si="2"/>
        <v>12.36356038445466</v>
      </c>
      <c r="R12" s="194">
        <f t="shared" si="3"/>
        <v>9.5964969185857925</v>
      </c>
      <c r="S12" s="194">
        <f t="shared" si="4"/>
        <v>19.083916083916083</v>
      </c>
      <c r="T12" s="195">
        <f t="shared" si="5"/>
        <v>15.959064327485381</v>
      </c>
    </row>
    <row r="13" spans="2:20" x14ac:dyDescent="0.25">
      <c r="B13" s="8" t="s">
        <v>226</v>
      </c>
      <c r="C13" s="1" t="s">
        <v>261</v>
      </c>
      <c r="D13" s="170">
        <v>119.16</v>
      </c>
      <c r="E13" s="14">
        <v>140900000</v>
      </c>
      <c r="F13" s="14">
        <v>8043667000</v>
      </c>
      <c r="G13" s="14">
        <v>25007900000</v>
      </c>
      <c r="H13" s="14">
        <v>16637500000</v>
      </c>
      <c r="I13" s="14">
        <v>4201700000</v>
      </c>
      <c r="J13" s="14">
        <v>4751500000</v>
      </c>
      <c r="K13" s="14">
        <v>1456600000</v>
      </c>
      <c r="L13" s="14">
        <v>2280000000</v>
      </c>
      <c r="M13" s="170">
        <v>5.66</v>
      </c>
      <c r="N13" s="170">
        <v>5.9</v>
      </c>
      <c r="O13" s="194">
        <f t="shared" si="0"/>
        <v>5.9518528214770212</v>
      </c>
      <c r="P13" s="194">
        <f t="shared" si="1"/>
        <v>5.2631590024202879</v>
      </c>
      <c r="Q13" s="194">
        <f t="shared" si="2"/>
        <v>17.168680488809557</v>
      </c>
      <c r="R13" s="194">
        <f t="shared" si="3"/>
        <v>10.968377192982457</v>
      </c>
      <c r="S13" s="194">
        <f t="shared" si="4"/>
        <v>21.053003533568905</v>
      </c>
      <c r="T13" s="195">
        <f t="shared" si="5"/>
        <v>20.196610169491525</v>
      </c>
    </row>
    <row r="14" spans="2:20" x14ac:dyDescent="0.25">
      <c r="B14" s="8" t="s">
        <v>280</v>
      </c>
      <c r="C14" s="1" t="s">
        <v>282</v>
      </c>
      <c r="D14" s="170">
        <v>30.67</v>
      </c>
      <c r="E14" s="14">
        <v>629430000</v>
      </c>
      <c r="F14" s="14">
        <v>15474000000</v>
      </c>
      <c r="G14" s="14">
        <v>35638700000</v>
      </c>
      <c r="H14" s="14">
        <v>19304700000</v>
      </c>
      <c r="I14" s="14">
        <v>8924000000</v>
      </c>
      <c r="J14" s="14">
        <v>8967800000</v>
      </c>
      <c r="K14" s="14">
        <v>2808800000</v>
      </c>
      <c r="L14" s="14">
        <v>3407100000</v>
      </c>
      <c r="M14" s="170">
        <v>1.1599999999999999</v>
      </c>
      <c r="N14" s="170">
        <v>1.62</v>
      </c>
      <c r="O14" s="194">
        <f t="shared" si="0"/>
        <v>3.993579112505603</v>
      </c>
      <c r="P14" s="194">
        <f t="shared" si="1"/>
        <v>3.9740739088739714</v>
      </c>
      <c r="Q14" s="194">
        <f t="shared" si="2"/>
        <v>12.688229849045856</v>
      </c>
      <c r="R14" s="194">
        <f t="shared" si="3"/>
        <v>10.460127381057204</v>
      </c>
      <c r="S14" s="194">
        <f t="shared" si="4"/>
        <v>26.439655172413797</v>
      </c>
      <c r="T14" s="195">
        <f t="shared" si="5"/>
        <v>18.932098765432098</v>
      </c>
    </row>
    <row r="15" spans="2:20" x14ac:dyDescent="0.25">
      <c r="B15" s="8"/>
      <c r="D15" s="170"/>
      <c r="E15" s="14"/>
      <c r="F15" s="14"/>
      <c r="G15" s="14"/>
      <c r="H15" s="14"/>
      <c r="I15" s="14"/>
      <c r="J15" s="14"/>
      <c r="K15" s="14"/>
      <c r="L15" s="14"/>
      <c r="M15" s="170"/>
      <c r="N15" s="170"/>
      <c r="O15" s="194"/>
      <c r="P15" s="194"/>
      <c r="Q15" s="194"/>
      <c r="R15" s="194"/>
      <c r="S15" s="194"/>
      <c r="T15" s="195"/>
    </row>
    <row r="16" spans="2:20" x14ac:dyDescent="0.25">
      <c r="B16" s="205" t="s">
        <v>225</v>
      </c>
      <c r="C16" s="259"/>
      <c r="D16" s="170"/>
      <c r="E16" s="14"/>
      <c r="F16" s="14"/>
      <c r="G16" s="14"/>
      <c r="H16" s="14"/>
      <c r="I16" s="14"/>
      <c r="J16" s="14"/>
      <c r="K16" s="14"/>
      <c r="L16" s="14"/>
      <c r="M16" s="170"/>
      <c r="N16" s="170"/>
      <c r="O16" s="194"/>
      <c r="P16" s="194"/>
      <c r="Q16" s="194"/>
      <c r="R16" s="194"/>
      <c r="S16" s="194"/>
      <c r="T16" s="195"/>
    </row>
    <row r="17" spans="2:20" x14ac:dyDescent="0.25">
      <c r="B17" s="8" t="s">
        <v>229</v>
      </c>
      <c r="C17" s="1" t="s">
        <v>258</v>
      </c>
      <c r="D17" s="170">
        <v>95.47</v>
      </c>
      <c r="E17" s="14">
        <v>513860000</v>
      </c>
      <c r="F17" s="14">
        <v>37230200000</v>
      </c>
      <c r="G17" s="14">
        <v>86496500000</v>
      </c>
      <c r="H17" s="14">
        <v>48657800000</v>
      </c>
      <c r="I17" s="14">
        <v>18819800000</v>
      </c>
      <c r="J17" s="14">
        <v>18916700000</v>
      </c>
      <c r="K17" s="14">
        <v>7444400000</v>
      </c>
      <c r="L17" s="14">
        <v>7892300000</v>
      </c>
      <c r="M17" s="170">
        <v>4.9400000000000004</v>
      </c>
      <c r="N17" s="170">
        <v>5.64</v>
      </c>
      <c r="O17" s="194">
        <f t="shared" si="0"/>
        <v>4.5960371523608119</v>
      </c>
      <c r="P17" s="194">
        <f t="shared" si="1"/>
        <v>4.5724941453847663</v>
      </c>
      <c r="Q17" s="194">
        <f t="shared" si="2"/>
        <v>11.619002202998226</v>
      </c>
      <c r="R17" s="194">
        <f t="shared" si="3"/>
        <v>10.959606198446588</v>
      </c>
      <c r="S17" s="194">
        <f t="shared" si="4"/>
        <v>19.325910931174086</v>
      </c>
      <c r="T17" s="195">
        <f t="shared" si="5"/>
        <v>16.927304964539008</v>
      </c>
    </row>
    <row r="18" spans="2:20" x14ac:dyDescent="0.25">
      <c r="B18" s="8" t="s">
        <v>230</v>
      </c>
      <c r="C18" s="1" t="s">
        <v>259</v>
      </c>
      <c r="D18" s="170">
        <v>70.73</v>
      </c>
      <c r="E18" s="14">
        <v>65080000</v>
      </c>
      <c r="F18" s="14">
        <v>4620690000</v>
      </c>
      <c r="G18" s="14">
        <v>9313500000</v>
      </c>
      <c r="H18" s="14">
        <v>4601000000</v>
      </c>
      <c r="I18" s="14">
        <v>2322900000</v>
      </c>
      <c r="J18" s="14">
        <v>2291000000</v>
      </c>
      <c r="K18" s="14">
        <v>688800000</v>
      </c>
      <c r="L18" s="14">
        <v>807000000</v>
      </c>
      <c r="M18" s="170">
        <v>3.99</v>
      </c>
      <c r="N18" s="170">
        <v>4.47</v>
      </c>
      <c r="O18" s="194">
        <f t="shared" si="0"/>
        <v>4.0094278703344957</v>
      </c>
      <c r="P18" s="194">
        <f t="shared" si="1"/>
        <v>4.065255347010039</v>
      </c>
      <c r="Q18" s="194">
        <f t="shared" si="2"/>
        <v>13.521341463414634</v>
      </c>
      <c r="R18" s="194">
        <f t="shared" si="3"/>
        <v>11.540892193308551</v>
      </c>
      <c r="S18" s="194">
        <f t="shared" si="4"/>
        <v>17.726817042606516</v>
      </c>
      <c r="T18" s="195">
        <f t="shared" si="5"/>
        <v>15.823266219239375</v>
      </c>
    </row>
    <row r="19" spans="2:20" x14ac:dyDescent="0.25">
      <c r="B19" s="8" t="s">
        <v>285</v>
      </c>
      <c r="C19" s="1" t="s">
        <v>283</v>
      </c>
      <c r="D19" s="170">
        <v>96.06</v>
      </c>
      <c r="E19" s="14">
        <v>315430000</v>
      </c>
      <c r="F19" s="14">
        <v>16308900000</v>
      </c>
      <c r="G19" s="14">
        <v>46850100000</v>
      </c>
      <c r="H19" s="14">
        <v>30300600000</v>
      </c>
      <c r="I19" s="14">
        <v>9240900000</v>
      </c>
      <c r="J19" s="14">
        <v>9345600000</v>
      </c>
      <c r="K19" s="14">
        <v>2983700000</v>
      </c>
      <c r="L19" s="14">
        <v>3590100000</v>
      </c>
      <c r="M19" s="170">
        <v>4.46</v>
      </c>
      <c r="N19" s="170">
        <v>4.93</v>
      </c>
      <c r="O19" s="194">
        <f t="shared" si="0"/>
        <v>5.0698633250008118</v>
      </c>
      <c r="P19" s="194">
        <f t="shared" si="1"/>
        <v>5.0130649717514126</v>
      </c>
      <c r="Q19" s="194">
        <f t="shared" si="2"/>
        <v>15.702014277574824</v>
      </c>
      <c r="R19" s="194">
        <f t="shared" si="3"/>
        <v>13.049803626639926</v>
      </c>
      <c r="S19" s="194">
        <f t="shared" si="4"/>
        <v>21.538116591928251</v>
      </c>
      <c r="T19" s="195">
        <f t="shared" si="5"/>
        <v>19.484787018255581</v>
      </c>
    </row>
    <row r="20" spans="2:20" x14ac:dyDescent="0.25">
      <c r="B20" s="8"/>
      <c r="D20" s="170"/>
      <c r="E20" s="14"/>
      <c r="F20" s="14"/>
      <c r="G20" s="14"/>
      <c r="H20" s="14"/>
      <c r="I20" s="14"/>
      <c r="J20" s="14"/>
      <c r="K20" s="14"/>
      <c r="L20" s="14"/>
      <c r="M20" s="170"/>
      <c r="N20" s="170"/>
      <c r="O20" s="196"/>
      <c r="P20" s="196"/>
      <c r="Q20" s="196"/>
      <c r="R20" s="196"/>
      <c r="S20" s="196"/>
      <c r="T20" s="195"/>
    </row>
    <row r="21" spans="2:20" x14ac:dyDescent="0.25">
      <c r="B21" s="253" t="s">
        <v>278</v>
      </c>
      <c r="C21" s="16"/>
      <c r="D21" s="170"/>
      <c r="E21" s="14"/>
      <c r="F21" s="14"/>
      <c r="G21" s="14"/>
      <c r="H21" s="14"/>
      <c r="I21" s="14"/>
      <c r="J21" s="14"/>
      <c r="K21" s="14"/>
      <c r="L21" s="14"/>
      <c r="M21" s="170"/>
      <c r="N21" s="170"/>
      <c r="O21" s="196">
        <f t="shared" ref="O21:T21" si="12">SUM(AVERAGE(O7:O9)*0.9, AVERAGE(O12:O14)*0.08, AVERAGE(O17:O18)*0.02)</f>
        <v>4.6916987991928272</v>
      </c>
      <c r="P21" s="196">
        <f t="shared" si="12"/>
        <v>4.7575074789141594</v>
      </c>
      <c r="Q21" s="196">
        <f t="shared" si="12"/>
        <v>14.000773406828092</v>
      </c>
      <c r="R21" s="196">
        <f t="shared" si="12"/>
        <v>11.662905737942285</v>
      </c>
      <c r="S21" s="196">
        <f t="shared" si="12"/>
        <v>18.914584596680342</v>
      </c>
      <c r="T21" s="251">
        <f t="shared" si="12"/>
        <v>17.153184601688682</v>
      </c>
    </row>
    <row r="22" spans="2:20" x14ac:dyDescent="0.25">
      <c r="B22" s="8"/>
      <c r="D22" s="170"/>
      <c r="E22" s="14"/>
      <c r="F22" s="14"/>
      <c r="G22" s="14"/>
      <c r="H22" s="14"/>
      <c r="I22" s="14"/>
      <c r="J22" s="14"/>
      <c r="K22" s="14"/>
      <c r="L22" s="14"/>
      <c r="M22" s="170"/>
      <c r="N22" s="170"/>
      <c r="O22" s="196"/>
      <c r="P22" s="196"/>
      <c r="Q22" s="196"/>
      <c r="R22" s="196"/>
      <c r="S22" s="196" t="s">
        <v>215</v>
      </c>
      <c r="T22" s="260">
        <f>'Income Statement'!AF33/'Income Statement'!AF39</f>
        <v>6.1979565503388869</v>
      </c>
    </row>
    <row r="23" spans="2:20" x14ac:dyDescent="0.25">
      <c r="B23" s="11"/>
      <c r="C23" s="12"/>
      <c r="D23" s="257"/>
      <c r="E23" s="254"/>
      <c r="F23" s="254"/>
      <c r="G23" s="254"/>
      <c r="H23" s="254"/>
      <c r="I23" s="254"/>
      <c r="J23" s="254"/>
      <c r="K23" s="254"/>
      <c r="L23" s="254"/>
      <c r="M23" s="257"/>
      <c r="N23" s="257"/>
      <c r="O23" s="255"/>
      <c r="P23" s="255"/>
      <c r="Q23" s="255"/>
      <c r="R23" s="255"/>
      <c r="S23" s="345"/>
      <c r="T23" s="261">
        <f>T21*N4</f>
        <v>106.3146928612085</v>
      </c>
    </row>
    <row r="26" spans="2:20" x14ac:dyDescent="0.25">
      <c r="B26" s="267" t="s">
        <v>298</v>
      </c>
      <c r="C26" s="269" t="s">
        <v>267</v>
      </c>
      <c r="D26" s="268" t="s">
        <v>268</v>
      </c>
      <c r="E26" s="268" t="s">
        <v>269</v>
      </c>
      <c r="F26" s="269" t="s">
        <v>270</v>
      </c>
      <c r="G26" s="269" t="s">
        <v>95</v>
      </c>
      <c r="H26" s="269" t="s">
        <v>271</v>
      </c>
      <c r="I26" s="270" t="s">
        <v>272</v>
      </c>
      <c r="K26" s="300" t="s">
        <v>273</v>
      </c>
      <c r="L26" s="297"/>
      <c r="M26" s="298"/>
      <c r="N26" s="299"/>
      <c r="R26" s="237" t="s">
        <v>262</v>
      </c>
      <c r="S26" s="262">
        <f>MIN(T6:T19)</f>
        <v>15.262886597938145</v>
      </c>
      <c r="T26" s="263">
        <f>S26*$T$22</f>
        <v>94.598707966770334</v>
      </c>
    </row>
    <row r="27" spans="2:20" x14ac:dyDescent="0.25">
      <c r="B27" s="271" t="s">
        <v>262</v>
      </c>
      <c r="C27" s="272">
        <f>MIN(Q7:Q19)</f>
        <v>11.619002202998226</v>
      </c>
      <c r="D27" s="273">
        <f>C27*$K$4</f>
        <v>138091841182.63391</v>
      </c>
      <c r="E27" s="273">
        <f>F4</f>
        <v>72462000000</v>
      </c>
      <c r="F27" s="274">
        <f>'Balance Sheet'!T5*1000000</f>
        <v>453000000</v>
      </c>
      <c r="G27" s="274">
        <f>D27-E27+F27</f>
        <v>66082841182.633911</v>
      </c>
      <c r="H27" s="274">
        <f>E4</f>
        <v>770000000</v>
      </c>
      <c r="I27" s="275">
        <f>G27/H27</f>
        <v>85.821871665758323</v>
      </c>
      <c r="K27" s="294" t="s">
        <v>274</v>
      </c>
      <c r="L27" s="293"/>
      <c r="M27" s="295" t="s">
        <v>275</v>
      </c>
      <c r="N27" s="296" t="s">
        <v>276</v>
      </c>
      <c r="R27" s="276" t="s">
        <v>263</v>
      </c>
      <c r="S27" s="285">
        <f>QUARTILE(T6:T19,1)</f>
        <v>15.959064327485381</v>
      </c>
      <c r="T27" s="286">
        <f>S27*$T$22</f>
        <v>98.913587285817684</v>
      </c>
    </row>
    <row r="28" spans="2:20" x14ac:dyDescent="0.25">
      <c r="B28" s="276" t="s">
        <v>263</v>
      </c>
      <c r="C28" s="277">
        <f>QUARTILE(Q7:Q19,1)</f>
        <v>12.36356038445466</v>
      </c>
      <c r="D28" s="278">
        <f>C28*$K$4</f>
        <v>146940915169.24362</v>
      </c>
      <c r="E28" s="278">
        <f t="shared" ref="E28:F28" si="13">E27</f>
        <v>72462000000</v>
      </c>
      <c r="F28" s="279">
        <f t="shared" si="13"/>
        <v>453000000</v>
      </c>
      <c r="G28" s="279">
        <f>D28-E28+F28</f>
        <v>74931915169.243622</v>
      </c>
      <c r="H28" s="279">
        <f>H27</f>
        <v>770000000</v>
      </c>
      <c r="I28" s="280">
        <f>G28/H28</f>
        <v>97.314175544472235</v>
      </c>
      <c r="K28" s="271" t="s">
        <v>217</v>
      </c>
      <c r="L28" s="350"/>
      <c r="M28" s="290">
        <f>I29</f>
        <v>111.85549158969231</v>
      </c>
      <c r="N28" s="289">
        <v>0.1</v>
      </c>
      <c r="R28" s="8" t="s">
        <v>264</v>
      </c>
      <c r="S28" s="196">
        <f>MEDIAN(T6:T19)</f>
        <v>16.927304964539008</v>
      </c>
      <c r="T28" s="264">
        <f>S28*$T$22</f>
        <v>104.91470068454851</v>
      </c>
    </row>
    <row r="29" spans="2:20" x14ac:dyDescent="0.25">
      <c r="B29" s="8" t="s">
        <v>264</v>
      </c>
      <c r="C29" s="272">
        <f>MEDIAN(Q7:Q19)</f>
        <v>13.305656585953983</v>
      </c>
      <c r="D29" s="273">
        <f>C29*$K$4</f>
        <v>158137728524.06308</v>
      </c>
      <c r="E29" s="273">
        <f t="shared" ref="E29:F29" si="14">E28</f>
        <v>72462000000</v>
      </c>
      <c r="F29" s="274">
        <f t="shared" si="14"/>
        <v>453000000</v>
      </c>
      <c r="G29" s="274">
        <f>D29-E29+F29</f>
        <v>86128728524.06308</v>
      </c>
      <c r="H29" s="274">
        <f>H28</f>
        <v>770000000</v>
      </c>
      <c r="I29" s="275">
        <f>G29/H29</f>
        <v>111.85549158969231</v>
      </c>
      <c r="K29" s="271" t="s">
        <v>304</v>
      </c>
      <c r="L29" s="350"/>
      <c r="M29" s="290">
        <f>E45</f>
        <v>100.77620654617435</v>
      </c>
      <c r="N29" s="289">
        <v>0.15</v>
      </c>
      <c r="R29" s="276" t="s">
        <v>265</v>
      </c>
      <c r="S29" s="285">
        <f>QUARTILE(T6:T19,3)</f>
        <v>19.341666666666665</v>
      </c>
      <c r="T29" s="286">
        <f>S29*$T$22</f>
        <v>119.87880961113797</v>
      </c>
    </row>
    <row r="30" spans="2:20" x14ac:dyDescent="0.25">
      <c r="B30" s="276" t="s">
        <v>265</v>
      </c>
      <c r="C30" s="277">
        <f>QUARTILE(Q7:Q19,3)</f>
        <v>15.702014277574824</v>
      </c>
      <c r="D30" s="278">
        <f>C30*$K$4</f>
        <v>186618439688.97678</v>
      </c>
      <c r="E30" s="278">
        <f t="shared" ref="E30:F30" si="15">E29</f>
        <v>72462000000</v>
      </c>
      <c r="F30" s="279">
        <f t="shared" si="15"/>
        <v>453000000</v>
      </c>
      <c r="G30" s="279">
        <f>D30-E30+F30</f>
        <v>114609439688.97678</v>
      </c>
      <c r="H30" s="279">
        <f>H29</f>
        <v>770000000</v>
      </c>
      <c r="I30" s="280">
        <f>G30/H30</f>
        <v>148.84342816750231</v>
      </c>
      <c r="K30" s="271" t="s">
        <v>218</v>
      </c>
      <c r="L30" s="350"/>
      <c r="M30" s="290">
        <f>I37</f>
        <v>126.64213185804856</v>
      </c>
      <c r="N30" s="289">
        <v>0.25</v>
      </c>
      <c r="R30" s="11" t="s">
        <v>266</v>
      </c>
      <c r="S30" s="255">
        <f>MAX(T6:T19)</f>
        <v>20.196610169491525</v>
      </c>
      <c r="T30" s="265">
        <f>S30*$T$22</f>
        <v>125.17771229464097</v>
      </c>
    </row>
    <row r="31" spans="2:20" x14ac:dyDescent="0.25">
      <c r="B31" s="11" t="s">
        <v>266</v>
      </c>
      <c r="C31" s="281">
        <f>MAX(Q11:Q23)</f>
        <v>17.168680488809557</v>
      </c>
      <c r="D31" s="282">
        <f>C31*$K$4</f>
        <v>204049767609.50159</v>
      </c>
      <c r="E31" s="282">
        <f>F4</f>
        <v>72462000000</v>
      </c>
      <c r="F31" s="283">
        <f t="shared" ref="F31" si="16">F30</f>
        <v>453000000</v>
      </c>
      <c r="G31" s="283">
        <f>D31-E31+F31</f>
        <v>132040767609.50159</v>
      </c>
      <c r="H31" s="283">
        <f>H30</f>
        <v>770000000</v>
      </c>
      <c r="I31" s="284">
        <f>G31/H31</f>
        <v>171.4815163759761</v>
      </c>
      <c r="K31" s="8" t="s">
        <v>305</v>
      </c>
      <c r="L31" s="287"/>
      <c r="M31" s="288">
        <f>T23</f>
        <v>106.3146928612085</v>
      </c>
      <c r="N31" s="289">
        <v>0.5</v>
      </c>
    </row>
    <row r="32" spans="2:20" x14ac:dyDescent="0.25">
      <c r="C32" s="272"/>
      <c r="D32" s="273"/>
      <c r="E32" s="273"/>
      <c r="F32" s="274"/>
      <c r="G32" s="274"/>
      <c r="H32" s="274"/>
      <c r="I32" s="274"/>
      <c r="K32" s="291" t="s">
        <v>277</v>
      </c>
      <c r="L32" s="198"/>
      <c r="M32" s="292">
        <f>SUM(M28*N28,M29*N29,M30*N30,M31*N31)</f>
        <v>111.11985953601177</v>
      </c>
      <c r="N32" s="351"/>
    </row>
    <row r="34" spans="2:14" x14ac:dyDescent="0.25">
      <c r="B34" s="267" t="s">
        <v>297</v>
      </c>
      <c r="C34" s="269" t="s">
        <v>267</v>
      </c>
      <c r="D34" s="268" t="s">
        <v>268</v>
      </c>
      <c r="E34" s="268" t="s">
        <v>269</v>
      </c>
      <c r="F34" s="269" t="s">
        <v>270</v>
      </c>
      <c r="G34" s="269" t="s">
        <v>95</v>
      </c>
      <c r="H34" s="269" t="s">
        <v>271</v>
      </c>
      <c r="I34" s="270" t="s">
        <v>272</v>
      </c>
    </row>
    <row r="35" spans="2:14" x14ac:dyDescent="0.25">
      <c r="B35" s="271" t="s">
        <v>262</v>
      </c>
      <c r="C35" s="272">
        <f>MIN(R7:R18)</f>
        <v>9.5964969185857925</v>
      </c>
      <c r="D35" s="273">
        <f>C35*$L$4</f>
        <v>146014019513.73239</v>
      </c>
      <c r="E35" s="273">
        <f>F4</f>
        <v>72462000000</v>
      </c>
      <c r="F35" s="274">
        <f>'Balance Sheet'!T5*1000000</f>
        <v>453000000</v>
      </c>
      <c r="G35" s="274">
        <f>D35-E35+F35</f>
        <v>74005019513.732391</v>
      </c>
      <c r="H35" s="274">
        <f>E4</f>
        <v>770000000</v>
      </c>
      <c r="I35" s="275">
        <f>G35/H35</f>
        <v>96.110414952899205</v>
      </c>
    </row>
    <row r="36" spans="2:14" x14ac:dyDescent="0.25">
      <c r="B36" s="276" t="s">
        <v>263</v>
      </c>
      <c r="C36" s="277">
        <f>QUARTILE(R7:R18,1)</f>
        <v>10.834736494099243</v>
      </c>
      <c r="D36" s="278">
        <f t="shared" ref="D36:D39" si="17">C36*$L$4</f>
        <v>164854262893.74493</v>
      </c>
      <c r="E36" s="278">
        <f t="shared" ref="E36:F39" si="18">E35</f>
        <v>72462000000</v>
      </c>
      <c r="F36" s="279">
        <f t="shared" si="18"/>
        <v>453000000</v>
      </c>
      <c r="G36" s="279">
        <f>D36-E36+F36</f>
        <v>92845262893.744934</v>
      </c>
      <c r="H36" s="279">
        <f>H35</f>
        <v>770000000</v>
      </c>
      <c r="I36" s="280">
        <f>G36/H36</f>
        <v>120.57826349837005</v>
      </c>
      <c r="K36" s="354" t="s">
        <v>299</v>
      </c>
      <c r="L36" s="355"/>
      <c r="M36" s="343" t="s">
        <v>262</v>
      </c>
      <c r="N36" s="344" t="s">
        <v>300</v>
      </c>
    </row>
    <row r="37" spans="2:14" x14ac:dyDescent="0.25">
      <c r="B37" s="8" t="s">
        <v>264</v>
      </c>
      <c r="C37" s="272">
        <f>MEDIAN(R7:R18)</f>
        <v>11.141609481714152</v>
      </c>
      <c r="D37" s="273">
        <f t="shared" si="17"/>
        <v>169523441530.69739</v>
      </c>
      <c r="E37" s="273">
        <f t="shared" si="18"/>
        <v>72462000000</v>
      </c>
      <c r="F37" s="274">
        <f t="shared" si="18"/>
        <v>453000000</v>
      </c>
      <c r="G37" s="274">
        <f>D37-E37+F37</f>
        <v>97514441530.697388</v>
      </c>
      <c r="H37" s="274">
        <f>H36</f>
        <v>770000000</v>
      </c>
      <c r="I37" s="275">
        <f>G37/H37</f>
        <v>126.64213185804856</v>
      </c>
      <c r="K37" s="356" t="s">
        <v>301</v>
      </c>
      <c r="L37" s="357"/>
      <c r="M37" s="342">
        <f>83.76</f>
        <v>83.76</v>
      </c>
      <c r="N37" s="347">
        <f>116.33-M37</f>
        <v>32.569999999999993</v>
      </c>
    </row>
    <row r="38" spans="2:14" x14ac:dyDescent="0.25">
      <c r="B38" s="276" t="s">
        <v>265</v>
      </c>
      <c r="C38" s="277">
        <f>QUARTILE(R7:R18,3)</f>
        <v>11.601288697933324</v>
      </c>
      <c r="D38" s="278">
        <f t="shared" si="17"/>
        <v>176517619783.0856</v>
      </c>
      <c r="E38" s="278">
        <f t="shared" si="18"/>
        <v>72462000000</v>
      </c>
      <c r="F38" s="279">
        <f t="shared" si="18"/>
        <v>453000000</v>
      </c>
      <c r="G38" s="279">
        <f>D38-E38+F38</f>
        <v>104508619783.0856</v>
      </c>
      <c r="H38" s="279">
        <f>H37</f>
        <v>770000000</v>
      </c>
      <c r="I38" s="280">
        <f>G38/H38</f>
        <v>135.7254802377735</v>
      </c>
      <c r="K38" s="356" t="s">
        <v>217</v>
      </c>
      <c r="L38" s="357"/>
      <c r="M38" s="342">
        <f>I27</f>
        <v>85.821871665758323</v>
      </c>
      <c r="N38" s="347">
        <f>I31-I27</f>
        <v>85.659644710217776</v>
      </c>
    </row>
    <row r="39" spans="2:14" x14ac:dyDescent="0.25">
      <c r="B39" s="11" t="s">
        <v>266</v>
      </c>
      <c r="C39" s="281">
        <f>MAX(R7:R18)</f>
        <v>12.27123795404003</v>
      </c>
      <c r="D39" s="282">
        <f t="shared" si="17"/>
        <v>186711129413.13828</v>
      </c>
      <c r="E39" s="282">
        <f>F4</f>
        <v>72462000000</v>
      </c>
      <c r="F39" s="283">
        <f t="shared" si="18"/>
        <v>453000000</v>
      </c>
      <c r="G39" s="283">
        <f>D39-E39+F39</f>
        <v>114702129413.13828</v>
      </c>
      <c r="H39" s="283">
        <f>H38</f>
        <v>770000000</v>
      </c>
      <c r="I39" s="284">
        <f>G39/H39</f>
        <v>148.96380443264712</v>
      </c>
      <c r="K39" s="356" t="s">
        <v>218</v>
      </c>
      <c r="L39" s="357"/>
      <c r="M39" s="342">
        <f>I35</f>
        <v>96.110414952899205</v>
      </c>
      <c r="N39" s="347">
        <f>I39-I35</f>
        <v>52.853389479747918</v>
      </c>
    </row>
    <row r="40" spans="2:14" x14ac:dyDescent="0.25">
      <c r="C40" s="272"/>
      <c r="D40" s="273"/>
      <c r="E40" s="273"/>
      <c r="K40" s="356" t="s">
        <v>302</v>
      </c>
      <c r="L40" s="357"/>
      <c r="M40" s="342">
        <f>E43</f>
        <v>76.437252958065628</v>
      </c>
      <c r="N40" s="347">
        <f>E47-E43</f>
        <v>61.434030840867152</v>
      </c>
    </row>
    <row r="41" spans="2:14" x14ac:dyDescent="0.25">
      <c r="C41" s="272"/>
      <c r="D41" s="273"/>
      <c r="E41" s="273"/>
      <c r="K41" s="352" t="s">
        <v>303</v>
      </c>
      <c r="L41" s="353"/>
      <c r="M41" s="346">
        <f>E51</f>
        <v>94.598707966770334</v>
      </c>
      <c r="N41" s="348">
        <f>E55-E51</f>
        <v>30.579004327870635</v>
      </c>
    </row>
    <row r="42" spans="2:14" x14ac:dyDescent="0.25">
      <c r="B42" s="267" t="s">
        <v>298</v>
      </c>
      <c r="C42" s="269" t="s">
        <v>295</v>
      </c>
      <c r="D42" s="268" t="s">
        <v>296</v>
      </c>
      <c r="E42" s="334" t="s">
        <v>272</v>
      </c>
    </row>
    <row r="43" spans="2:14" x14ac:dyDescent="0.25">
      <c r="B43" s="271" t="s">
        <v>262</v>
      </c>
      <c r="C43" s="272">
        <f>MIN(S7:S19)</f>
        <v>14.658415841584159</v>
      </c>
      <c r="D43" s="273">
        <f>$M$4</f>
        <v>5.2145643693107928</v>
      </c>
      <c r="E43" s="335">
        <f>C43*D43</f>
        <v>76.437252958065628</v>
      </c>
    </row>
    <row r="44" spans="2:14" x14ac:dyDescent="0.25">
      <c r="B44" s="276" t="s">
        <v>263</v>
      </c>
      <c r="C44" s="277">
        <f>QUARTILE(S7:S19,1)</f>
        <v>18.482288828337875</v>
      </c>
      <c r="D44" s="278">
        <f>$M$4</f>
        <v>5.2145643693107928</v>
      </c>
      <c r="E44" s="336">
        <f t="shared" ref="E44:E47" si="19">C44*D44</f>
        <v>96.3770847875616</v>
      </c>
    </row>
    <row r="45" spans="2:14" x14ac:dyDescent="0.25">
      <c r="B45" s="8" t="s">
        <v>264</v>
      </c>
      <c r="C45" s="272">
        <f>MEDIAN(S7:S19)</f>
        <v>19.325910931174086</v>
      </c>
      <c r="D45" s="273">
        <f>$M$4</f>
        <v>5.2145643693107928</v>
      </c>
      <c r="E45" s="335">
        <f t="shared" si="19"/>
        <v>100.77620654617435</v>
      </c>
    </row>
    <row r="46" spans="2:14" x14ac:dyDescent="0.25">
      <c r="B46" s="276" t="s">
        <v>265</v>
      </c>
      <c r="C46" s="277">
        <f>QUARTILE(S7:S19,3)</f>
        <v>21.538116591928251</v>
      </c>
      <c r="D46" s="278">
        <f>$M$4</f>
        <v>5.2145643693107928</v>
      </c>
      <c r="E46" s="336">
        <f t="shared" si="19"/>
        <v>112.31189536233066</v>
      </c>
    </row>
    <row r="47" spans="2:14" x14ac:dyDescent="0.25">
      <c r="B47" s="11" t="s">
        <v>266</v>
      </c>
      <c r="C47" s="281">
        <f>MAX(S7:S19)</f>
        <v>26.439655172413797</v>
      </c>
      <c r="D47" s="282">
        <f>$M$4</f>
        <v>5.2145643693107928</v>
      </c>
      <c r="E47" s="337">
        <f t="shared" si="19"/>
        <v>137.87128379893278</v>
      </c>
    </row>
    <row r="50" spans="2:5" x14ac:dyDescent="0.25">
      <c r="B50" s="267" t="s">
        <v>297</v>
      </c>
      <c r="C50" s="269" t="s">
        <v>295</v>
      </c>
      <c r="D50" s="268" t="s">
        <v>296</v>
      </c>
      <c r="E50" s="334" t="s">
        <v>272</v>
      </c>
    </row>
    <row r="51" spans="2:5" x14ac:dyDescent="0.25">
      <c r="B51" s="271" t="s">
        <v>262</v>
      </c>
      <c r="C51" s="272">
        <f>MIN(T7:T19)</f>
        <v>15.262886597938145</v>
      </c>
      <c r="D51" s="273">
        <f>$N$4</f>
        <v>6.1979565503388869</v>
      </c>
      <c r="E51" s="335">
        <f>C51*D51</f>
        <v>94.598707966770334</v>
      </c>
    </row>
    <row r="52" spans="2:5" x14ac:dyDescent="0.25">
      <c r="B52" s="276" t="s">
        <v>263</v>
      </c>
      <c r="C52" s="277">
        <f>QUARTILE(T7:T19,1)</f>
        <v>15.959064327485381</v>
      </c>
      <c r="D52" s="278">
        <f>$N$4</f>
        <v>6.1979565503388869</v>
      </c>
      <c r="E52" s="336">
        <f t="shared" ref="E52:E55" si="20">C52*D52</f>
        <v>98.913587285817684</v>
      </c>
    </row>
    <row r="53" spans="2:5" x14ac:dyDescent="0.25">
      <c r="B53" s="8" t="s">
        <v>264</v>
      </c>
      <c r="C53" s="272">
        <f>MEDIAN(T7:T19)</f>
        <v>16.927304964539008</v>
      </c>
      <c r="D53" s="273">
        <f>$N$4</f>
        <v>6.1979565503388869</v>
      </c>
      <c r="E53" s="335">
        <f t="shared" si="20"/>
        <v>104.91470068454851</v>
      </c>
    </row>
    <row r="54" spans="2:5" x14ac:dyDescent="0.25">
      <c r="B54" s="276" t="s">
        <v>265</v>
      </c>
      <c r="C54" s="277">
        <f>QUARTILE(T9:T21,3)</f>
        <v>19.07027082863797</v>
      </c>
      <c r="D54" s="278">
        <f>$N$4</f>
        <v>6.1979565503388869</v>
      </c>
      <c r="E54" s="336">
        <f t="shared" si="20"/>
        <v>118.1967099990933</v>
      </c>
    </row>
    <row r="55" spans="2:5" x14ac:dyDescent="0.25">
      <c r="B55" s="11" t="s">
        <v>266</v>
      </c>
      <c r="C55" s="281">
        <f>MAX(T7:T19)</f>
        <v>20.196610169491525</v>
      </c>
      <c r="D55" s="282">
        <f>$N$4</f>
        <v>6.1979565503388869</v>
      </c>
      <c r="E55" s="337">
        <f t="shared" si="20"/>
        <v>125.17771229464097</v>
      </c>
    </row>
  </sheetData>
  <mergeCells count="6">
    <mergeCell ref="K41:L41"/>
    <mergeCell ref="K36:L36"/>
    <mergeCell ref="K37:L37"/>
    <mergeCell ref="K38:L38"/>
    <mergeCell ref="K39:L39"/>
    <mergeCell ref="K40:L4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U40"/>
  <sheetViews>
    <sheetView showGridLines="0" zoomScaleNormal="100" workbookViewId="0">
      <pane xSplit="2" topLeftCell="C1" activePane="topRight" state="frozen"/>
      <selection pane="topRight"/>
    </sheetView>
  </sheetViews>
  <sheetFormatPr defaultColWidth="10.875" defaultRowHeight="15.75" outlineLevelCol="1" x14ac:dyDescent="0.25"/>
  <cols>
    <col min="1" max="1" width="2.625" style="1" customWidth="1"/>
    <col min="2" max="2" width="65.875" style="1" customWidth="1"/>
    <col min="3" max="6" width="12.375" style="1" customWidth="1" outlineLevel="1"/>
    <col min="7" max="7" width="12.5" style="14" customWidth="1"/>
    <col min="8" max="11" width="12.5" style="14" customWidth="1" outlineLevel="1"/>
    <col min="12" max="12" width="12.5" style="14" customWidth="1"/>
    <col min="13" max="16" width="12.5" style="14" customWidth="1" outlineLevel="1"/>
    <col min="17" max="17" width="12.5" style="14" customWidth="1"/>
    <col min="18" max="20" width="12.5" style="14" customWidth="1" outlineLevel="1"/>
    <col min="21" max="21" width="10.875" style="1" customWidth="1" outlineLevel="1"/>
    <col min="22" max="22" width="10.875" style="1"/>
    <col min="23" max="26" width="10.875" style="1" customWidth="1" outlineLevel="1"/>
    <col min="27" max="27" width="10.875" style="1"/>
    <col min="28" max="31" width="10.875" style="1" customWidth="1" outlineLevel="1"/>
    <col min="32" max="32" width="10.875" style="1"/>
    <col min="33" max="36" width="10.875" style="1" customWidth="1" outlineLevel="1"/>
    <col min="37" max="37" width="10.875" style="1"/>
    <col min="38" max="41" width="10.875" style="1" customWidth="1" outlineLevel="1"/>
    <col min="42" max="42" width="10.875" style="1"/>
    <col min="43" max="46" width="10.875" style="1" customWidth="1" outlineLevel="1"/>
    <col min="47" max="16384" width="10.875" style="1"/>
  </cols>
  <sheetData>
    <row r="2" spans="2:47" x14ac:dyDescent="0.25">
      <c r="B2" s="234" t="s">
        <v>21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</row>
    <row r="3" spans="2:47" x14ac:dyDescent="0.25">
      <c r="B3" s="52" t="s">
        <v>22</v>
      </c>
      <c r="C3" s="15" t="s">
        <v>47</v>
      </c>
      <c r="D3" s="15" t="s">
        <v>48</v>
      </c>
      <c r="E3" s="15" t="s">
        <v>49</v>
      </c>
      <c r="F3" s="15" t="s">
        <v>50</v>
      </c>
      <c r="G3" s="30" t="s">
        <v>23</v>
      </c>
      <c r="H3" s="15" t="s">
        <v>29</v>
      </c>
      <c r="I3" s="15" t="s">
        <v>30</v>
      </c>
      <c r="J3" s="15" t="s">
        <v>31</v>
      </c>
      <c r="K3" s="15" t="s">
        <v>32</v>
      </c>
      <c r="L3" s="30" t="s">
        <v>24</v>
      </c>
      <c r="M3" s="18" t="s">
        <v>33</v>
      </c>
      <c r="N3" s="18" t="s">
        <v>34</v>
      </c>
      <c r="O3" s="18" t="s">
        <v>35</v>
      </c>
      <c r="P3" s="18" t="s">
        <v>36</v>
      </c>
      <c r="Q3" s="30" t="s">
        <v>25</v>
      </c>
      <c r="R3" s="18" t="s">
        <v>44</v>
      </c>
      <c r="S3" s="18" t="s">
        <v>45</v>
      </c>
      <c r="T3" s="18" t="s">
        <v>46</v>
      </c>
      <c r="U3" s="159" t="s">
        <v>161</v>
      </c>
      <c r="V3" s="176" t="s">
        <v>187</v>
      </c>
      <c r="W3" s="161" t="s">
        <v>162</v>
      </c>
      <c r="X3" s="161" t="s">
        <v>163</v>
      </c>
      <c r="Y3" s="160" t="s">
        <v>164</v>
      </c>
      <c r="Z3" s="159" t="s">
        <v>165</v>
      </c>
      <c r="AA3" s="176" t="s">
        <v>186</v>
      </c>
      <c r="AB3" s="161" t="s">
        <v>166</v>
      </c>
      <c r="AC3" s="161" t="s">
        <v>167</v>
      </c>
      <c r="AD3" s="160" t="s">
        <v>168</v>
      </c>
      <c r="AE3" s="159" t="s">
        <v>169</v>
      </c>
      <c r="AF3" s="176" t="s">
        <v>185</v>
      </c>
      <c r="AG3" s="161" t="s">
        <v>170</v>
      </c>
      <c r="AH3" s="161" t="s">
        <v>171</v>
      </c>
      <c r="AI3" s="160" t="s">
        <v>172</v>
      </c>
      <c r="AJ3" s="159" t="s">
        <v>173</v>
      </c>
      <c r="AK3" s="176" t="s">
        <v>182</v>
      </c>
      <c r="AL3" s="161" t="s">
        <v>174</v>
      </c>
      <c r="AM3" s="161" t="s">
        <v>175</v>
      </c>
      <c r="AN3" s="160" t="s">
        <v>176</v>
      </c>
      <c r="AO3" s="159" t="s">
        <v>177</v>
      </c>
      <c r="AP3" s="176" t="s">
        <v>183</v>
      </c>
      <c r="AQ3" s="161" t="s">
        <v>178</v>
      </c>
      <c r="AR3" s="161" t="s">
        <v>179</v>
      </c>
      <c r="AS3" s="160" t="s">
        <v>180</v>
      </c>
      <c r="AT3" s="159" t="s">
        <v>181</v>
      </c>
      <c r="AU3" s="176" t="s">
        <v>184</v>
      </c>
    </row>
    <row r="4" spans="2:47" x14ac:dyDescent="0.25">
      <c r="B4" s="31" t="s">
        <v>26</v>
      </c>
      <c r="C4" s="33">
        <f>'Revenue Build'!C20</f>
        <v>6212</v>
      </c>
      <c r="D4" s="33">
        <f>'Revenue Build'!D20</f>
        <v>5924</v>
      </c>
      <c r="E4" s="33">
        <f>'Revenue Build'!E20</f>
        <v>6989</v>
      </c>
      <c r="F4" s="33">
        <f>'Revenue Build'!F20</f>
        <v>6154</v>
      </c>
      <c r="G4" s="32">
        <f>'Revenue Build'!G20</f>
        <v>25279</v>
      </c>
      <c r="H4" s="33">
        <f>'Revenue Build'!H20</f>
        <v>5989</v>
      </c>
      <c r="I4" s="33">
        <f>'Revenue Build'!I20</f>
        <v>5472</v>
      </c>
      <c r="J4" s="33">
        <f>'Revenue Build'!J20</f>
        <v>6770</v>
      </c>
      <c r="K4" s="33">
        <f>'Revenue Build'!K20</f>
        <v>5836</v>
      </c>
      <c r="L4" s="32">
        <f>'Revenue Build'!L20</f>
        <v>24067</v>
      </c>
      <c r="M4" s="33">
        <f>'Revenue Build'!M20</f>
        <v>6201</v>
      </c>
      <c r="N4" s="33">
        <f>'Revenue Build'!N20</f>
        <v>5808</v>
      </c>
      <c r="O4" s="33">
        <f>'Revenue Build'!O20</f>
        <v>7003</v>
      </c>
      <c r="P4" s="33">
        <f>'Revenue Build'!P20</f>
        <v>6290</v>
      </c>
      <c r="Q4" s="32">
        <f>'Revenue Build'!Q20</f>
        <v>25302</v>
      </c>
      <c r="R4" s="33">
        <f>'Revenue Build'!R20</f>
        <v>7185</v>
      </c>
      <c r="S4" s="33">
        <f>'Revenue Build'!S20</f>
        <v>6739</v>
      </c>
      <c r="T4" s="33">
        <f>'Revenue Build'!T20</f>
        <v>8025</v>
      </c>
      <c r="U4" s="33">
        <f>'Revenue Build'!U20</f>
        <v>6369.8829999999998</v>
      </c>
      <c r="V4" s="32">
        <f>'Revenue Build'!V20</f>
        <v>26528.917700000002</v>
      </c>
      <c r="W4" s="33">
        <f>'Revenue Build'!W20</f>
        <v>7276.249499999999</v>
      </c>
      <c r="X4" s="33">
        <f>'Revenue Build'!X20</f>
        <v>6824.5852999999997</v>
      </c>
      <c r="Y4" s="33">
        <f>'Revenue Build'!Y20</f>
        <v>8126.9174999999987</v>
      </c>
      <c r="Z4" s="33">
        <f>'Revenue Build'!Z20</f>
        <v>6450.780514099999</v>
      </c>
      <c r="AA4" s="32">
        <f>'Revenue Build'!AA20</f>
        <v>28678.532814099995</v>
      </c>
      <c r="AB4" s="33">
        <f>'Revenue Build'!AB20</f>
        <v>7368.6578686499988</v>
      </c>
      <c r="AC4" s="33">
        <f>'Revenue Build'!AC20</f>
        <v>6911.2575333099994</v>
      </c>
      <c r="AD4" s="33">
        <f>'Revenue Build'!AD20</f>
        <v>8230.1293522499982</v>
      </c>
      <c r="AE4" s="33">
        <f>'Revenue Build'!AE20</f>
        <v>6532.7054266290688</v>
      </c>
      <c r="AF4" s="32">
        <f>'Revenue Build'!AF20</f>
        <v>29042.750180839066</v>
      </c>
      <c r="AG4" s="33">
        <f>'Revenue Build'!AG20</f>
        <v>7462.2398235818537</v>
      </c>
      <c r="AH4" s="33">
        <f>'Revenue Build'!AH20</f>
        <v>6999.0305039830355</v>
      </c>
      <c r="AI4" s="33">
        <f>'Revenue Build'!AI20</f>
        <v>8334.6519950235743</v>
      </c>
      <c r="AJ4" s="33">
        <f>'Revenue Build'!AJ20</f>
        <v>6615.6707855472569</v>
      </c>
      <c r="AK4" s="32">
        <f>'Revenue Build'!AK20</f>
        <v>29411.593108135719</v>
      </c>
      <c r="AL4" s="33">
        <f>'Revenue Build'!AL20</f>
        <v>7557.0102693413428</v>
      </c>
      <c r="AM4" s="33">
        <f>'Revenue Build'!AM20</f>
        <v>7087.9181913836201</v>
      </c>
      <c r="AN4" s="33">
        <f>'Revenue Build'!AN20</f>
        <v>8440.5020753603712</v>
      </c>
      <c r="AO4" s="33">
        <f>'Revenue Build'!AO20</f>
        <v>6699.6898045237067</v>
      </c>
      <c r="AP4" s="32">
        <f>'Revenue Build'!AP20</f>
        <v>29785.120340609039</v>
      </c>
      <c r="AQ4" s="33">
        <f>'Revenue Build'!AQ20</f>
        <v>7652.9842997619771</v>
      </c>
      <c r="AR4" s="33">
        <f>'Revenue Build'!AR20</f>
        <v>7177.9347524141913</v>
      </c>
      <c r="AS4" s="33">
        <f>'Revenue Build'!AS20</f>
        <v>8547.6964517174474</v>
      </c>
      <c r="AT4" s="33">
        <f>'Revenue Build'!AT20</f>
        <v>6784.7758650411579</v>
      </c>
      <c r="AU4" s="32">
        <f>'Revenue Build'!AU20</f>
        <v>30163.391368934776</v>
      </c>
    </row>
    <row r="5" spans="2:47" x14ac:dyDescent="0.25">
      <c r="B5" s="19" t="s">
        <v>27</v>
      </c>
      <c r="C5" s="19"/>
      <c r="D5" s="79"/>
      <c r="E5" s="79"/>
      <c r="F5" s="88"/>
      <c r="G5" s="73"/>
      <c r="H5" s="20"/>
      <c r="I5" s="20"/>
      <c r="J5" s="20"/>
      <c r="K5" s="20"/>
      <c r="L5" s="34"/>
      <c r="M5" s="20"/>
      <c r="N5" s="20"/>
      <c r="O5" s="20"/>
      <c r="P5" s="20"/>
      <c r="Q5" s="34"/>
      <c r="R5" s="20"/>
      <c r="S5" s="20"/>
      <c r="T5" s="20"/>
      <c r="V5" s="185"/>
      <c r="AA5" s="185"/>
      <c r="AF5" s="185"/>
      <c r="AK5" s="185"/>
      <c r="AP5" s="185"/>
      <c r="AU5" s="185"/>
    </row>
    <row r="6" spans="2:47" x14ac:dyDescent="0.25">
      <c r="B6" s="21" t="s">
        <v>58</v>
      </c>
      <c r="C6" s="53">
        <v>3355</v>
      </c>
      <c r="D6" s="80">
        <v>3151</v>
      </c>
      <c r="E6" s="80">
        <v>3510</v>
      </c>
      <c r="F6" s="56">
        <f>G6-SUM(C6:E6)</f>
        <v>3503</v>
      </c>
      <c r="G6" s="74">
        <v>13519</v>
      </c>
      <c r="H6" s="55">
        <v>2985</v>
      </c>
      <c r="I6" s="55">
        <v>2761</v>
      </c>
      <c r="J6" s="55">
        <v>3340</v>
      </c>
      <c r="K6" s="55">
        <f>L6-SUM(H6:J6)</f>
        <v>3213</v>
      </c>
      <c r="L6" s="54">
        <v>12299</v>
      </c>
      <c r="M6" s="55">
        <v>3121</v>
      </c>
      <c r="N6" s="55">
        <v>2904</v>
      </c>
      <c r="O6" s="55">
        <v>3426</v>
      </c>
      <c r="P6" s="55">
        <v>3551</v>
      </c>
      <c r="Q6" s="54">
        <v>13002</v>
      </c>
      <c r="R6" s="55">
        <v>3928</v>
      </c>
      <c r="S6" s="55">
        <v>3608</v>
      </c>
      <c r="T6" s="55">
        <v>4212</v>
      </c>
      <c r="U6" s="14">
        <f>U$4*U7</f>
        <v>3233.0188945681971</v>
      </c>
      <c r="V6" s="69">
        <f>SUM(R6:U6)</f>
        <v>14981.018894568197</v>
      </c>
      <c r="W6" s="14">
        <f>W$4*W7</f>
        <v>3456.2200435534583</v>
      </c>
      <c r="X6" s="14">
        <f>X$4*X7</f>
        <v>3191.8278599999994</v>
      </c>
      <c r="Y6" s="14">
        <f t="shared" ref="Y6:Z6" si="0">Y$4*Y7</f>
        <v>3714.3211699950016</v>
      </c>
      <c r="Z6" s="14">
        <f t="shared" si="0"/>
        <v>3135.384161954606</v>
      </c>
      <c r="AA6" s="69">
        <f>SUM(W6:Z6)</f>
        <v>13497.753235503065</v>
      </c>
      <c r="AB6" s="14">
        <f>AB$4*AB7</f>
        <v>3395.8264991807932</v>
      </c>
      <c r="AC6" s="14">
        <f t="shared" ref="AC6:AE6" si="1">AC$4*AC7</f>
        <v>3120.7317274054999</v>
      </c>
      <c r="AD6" s="14">
        <f t="shared" si="1"/>
        <v>3629.0721335544686</v>
      </c>
      <c r="AE6" s="14">
        <f t="shared" si="1"/>
        <v>2918.7960131281284</v>
      </c>
      <c r="AF6" s="69">
        <f>SUM(AB6:AE6)</f>
        <v>13064.426373268891</v>
      </c>
      <c r="AG6" s="14">
        <f>AG$4*AG7</f>
        <v>3118.6474998763724</v>
      </c>
      <c r="AH6" s="14">
        <f t="shared" ref="AH6:AJ6" si="2">AH$4*AH7</f>
        <v>2866.9385337523918</v>
      </c>
      <c r="AI6" s="14">
        <f t="shared" si="2"/>
        <v>3325.4800803613184</v>
      </c>
      <c r="AJ6" s="14">
        <f t="shared" si="2"/>
        <v>2754.9131348599317</v>
      </c>
      <c r="AK6" s="69">
        <f>SUM(AG6:AJ6)</f>
        <v>12065.979248850013</v>
      </c>
      <c r="AL6" s="14">
        <f>AL$4*AL7</f>
        <v>2942.5907506533531</v>
      </c>
      <c r="AM6" s="14">
        <f t="shared" ref="AM6:AO6" si="3">AM$4*AM7</f>
        <v>2697.5292450472989</v>
      </c>
      <c r="AN6" s="14">
        <f t="shared" si="3"/>
        <v>3122.7496843185213</v>
      </c>
      <c r="AO6" s="14">
        <f t="shared" si="3"/>
        <v>2556.6678778454107</v>
      </c>
      <c r="AP6" s="69">
        <f>SUM(AL6:AO6)</f>
        <v>11319.537557864584</v>
      </c>
      <c r="AQ6" s="14">
        <f>AQ$4*AQ7</f>
        <v>2706.5136881194703</v>
      </c>
      <c r="AR6" s="14">
        <f t="shared" ref="AR6:AT6" si="4">AR$4*AR7</f>
        <v>2477.1077861218955</v>
      </c>
      <c r="AS6" s="14">
        <f t="shared" si="4"/>
        <v>2859.0613006111389</v>
      </c>
      <c r="AT6" s="14">
        <f t="shared" si="4"/>
        <v>2367.996120907414</v>
      </c>
      <c r="AU6" s="69">
        <f>SUM(AQ6:AT6)</f>
        <v>10410.678895759918</v>
      </c>
    </row>
    <row r="7" spans="2:47" s="17" customFormat="1" x14ac:dyDescent="0.25">
      <c r="B7" s="22" t="s">
        <v>28</v>
      </c>
      <c r="C7" s="48">
        <f t="shared" ref="C7:F7" si="5">C6/C4</f>
        <v>0.54008370895041857</v>
      </c>
      <c r="D7" s="23">
        <f t="shared" si="5"/>
        <v>0.53190411883862254</v>
      </c>
      <c r="E7" s="23">
        <f t="shared" si="5"/>
        <v>0.5022177707826585</v>
      </c>
      <c r="F7" s="43">
        <f t="shared" si="5"/>
        <v>0.56922326941826451</v>
      </c>
      <c r="G7" s="75">
        <f>G6/G4</f>
        <v>0.53479172435618494</v>
      </c>
      <c r="H7" s="23">
        <f t="shared" ref="H7:Q7" si="6">H6/H4</f>
        <v>0.49841375855735515</v>
      </c>
      <c r="I7" s="23">
        <f t="shared" si="6"/>
        <v>0.50456871345029242</v>
      </c>
      <c r="J7" s="23">
        <f t="shared" si="6"/>
        <v>0.49335302806499259</v>
      </c>
      <c r="K7" s="23">
        <f t="shared" si="6"/>
        <v>0.55054832076764904</v>
      </c>
      <c r="L7" s="35">
        <f t="shared" si="6"/>
        <v>0.51103170316200608</v>
      </c>
      <c r="M7" s="23">
        <f t="shared" si="6"/>
        <v>0.50330591840025807</v>
      </c>
      <c r="N7" s="23">
        <f t="shared" si="6"/>
        <v>0.5</v>
      </c>
      <c r="O7" s="23">
        <f t="shared" si="6"/>
        <v>0.48921890618306441</v>
      </c>
      <c r="P7" s="23">
        <f t="shared" si="6"/>
        <v>0.56454689984101747</v>
      </c>
      <c r="Q7" s="35">
        <f t="shared" si="6"/>
        <v>0.51387242115247811</v>
      </c>
      <c r="R7" s="23">
        <f t="shared" ref="R7:T7" si="7">R6/R4</f>
        <v>0.54669450243562978</v>
      </c>
      <c r="S7" s="23">
        <f t="shared" si="7"/>
        <v>0.53539100756788838</v>
      </c>
      <c r="T7" s="23">
        <f t="shared" si="7"/>
        <v>0.52485981308411211</v>
      </c>
      <c r="U7" s="17">
        <f>AVERAGE(K7,P7)-0.05</f>
        <v>0.50754761030433326</v>
      </c>
      <c r="V7" s="39">
        <f>V6/V$4</f>
        <v>0.56470524218061846</v>
      </c>
      <c r="W7" s="17">
        <f>AVERAGE(M7,R7)-0.05</f>
        <v>0.47500021041794388</v>
      </c>
      <c r="X7" s="17">
        <f t="shared" ref="X7:Z7" si="8">AVERAGE(N7,S7)-0.05</f>
        <v>0.46769550378394414</v>
      </c>
      <c r="Y7" s="17">
        <f t="shared" si="8"/>
        <v>0.45703935963358827</v>
      </c>
      <c r="Z7" s="17">
        <f t="shared" si="8"/>
        <v>0.48604725507267538</v>
      </c>
      <c r="AA7" s="39">
        <f>AA6/AA$4</f>
        <v>0.47065703545569121</v>
      </c>
      <c r="AB7" s="17">
        <f>AVERAGE(R7,W7)-0.05</f>
        <v>0.46084735642678681</v>
      </c>
      <c r="AC7" s="17">
        <f t="shared" ref="AC7" si="9">AVERAGE(S7,X7)-0.05</f>
        <v>0.4515432556759163</v>
      </c>
      <c r="AD7" s="17">
        <f t="shared" ref="AD7" si="10">AVERAGE(T7,Y7)-0.05</f>
        <v>0.44094958635885023</v>
      </c>
      <c r="AE7" s="17">
        <f t="shared" ref="AE7" si="11">AVERAGE(U7,Z7)-0.05</f>
        <v>0.4467974326885043</v>
      </c>
      <c r="AF7" s="39">
        <f>AF6/AF$4</f>
        <v>0.44983434047813203</v>
      </c>
      <c r="AG7" s="17">
        <f>AVERAGE(W7,AB7)-0.05</f>
        <v>0.41792378342236536</v>
      </c>
      <c r="AH7" s="17">
        <f t="shared" ref="AH7" si="12">AVERAGE(X7,AC7)-0.05</f>
        <v>0.40961937972993023</v>
      </c>
      <c r="AI7" s="17">
        <f t="shared" ref="AI7" si="13">AVERAGE(Y7,AD7)-0.05</f>
        <v>0.39899447299621926</v>
      </c>
      <c r="AJ7" s="17">
        <f t="shared" ref="AJ7" si="14">AVERAGE(Z7,AE7)-0.05</f>
        <v>0.41642234388058985</v>
      </c>
      <c r="AK7" s="39">
        <f>AK6/AK$4</f>
        <v>0.41024568796691158</v>
      </c>
      <c r="AL7" s="17">
        <f>AVERAGE(AB7,AG7)-0.05</f>
        <v>0.38938556992457612</v>
      </c>
      <c r="AM7" s="17">
        <f t="shared" ref="AM7" si="15">AVERAGE(AC7,AH7)-0.05</f>
        <v>0.38058131770292331</v>
      </c>
      <c r="AN7" s="17">
        <f t="shared" ref="AN7" si="16">AVERAGE(AD7,AI7)-0.05</f>
        <v>0.36997202967753479</v>
      </c>
      <c r="AO7" s="17">
        <f t="shared" ref="AO7" si="17">AVERAGE(AE7,AJ7)-0.05</f>
        <v>0.38160988828454706</v>
      </c>
      <c r="AP7" s="39">
        <f>AP6/AP$4</f>
        <v>0.38004001422252182</v>
      </c>
      <c r="AQ7" s="17">
        <f>AVERAGE(AG7,AL7)-0.05</f>
        <v>0.35365467667347078</v>
      </c>
      <c r="AR7" s="17">
        <f t="shared" ref="AR7" si="18">AVERAGE(AH7,AM7)-0.05</f>
        <v>0.34510034871642675</v>
      </c>
      <c r="AS7" s="17">
        <f t="shared" ref="AS7" si="19">AVERAGE(AI7,AN7)-0.05</f>
        <v>0.33448325133687701</v>
      </c>
      <c r="AT7" s="17">
        <f t="shared" ref="AT7" si="20">AVERAGE(AJ7,AO7)-0.05</f>
        <v>0.34901611608256849</v>
      </c>
      <c r="AU7" s="39">
        <f>AU6/AU$4</f>
        <v>0.34514285109471671</v>
      </c>
    </row>
    <row r="8" spans="2:47" x14ac:dyDescent="0.25">
      <c r="B8" s="21" t="s">
        <v>57</v>
      </c>
      <c r="C8" s="53">
        <v>1089</v>
      </c>
      <c r="D8" s="80">
        <v>1089</v>
      </c>
      <c r="E8" s="80">
        <v>1186</v>
      </c>
      <c r="F8" s="56">
        <f>G8-SUM(C8:E8)</f>
        <v>1184</v>
      </c>
      <c r="G8" s="76">
        <v>4548</v>
      </c>
      <c r="H8" s="58">
        <v>1130</v>
      </c>
      <c r="I8" s="58">
        <v>1150</v>
      </c>
      <c r="J8" s="58">
        <v>1217</v>
      </c>
      <c r="K8" s="55">
        <f>L8-SUM(H8:J8)</f>
        <v>1208</v>
      </c>
      <c r="L8" s="57">
        <v>4705</v>
      </c>
      <c r="M8" s="58">
        <v>1226</v>
      </c>
      <c r="N8" s="58">
        <v>1207</v>
      </c>
      <c r="O8" s="58">
        <v>1265</v>
      </c>
      <c r="P8" s="58">
        <v>1292</v>
      </c>
      <c r="Q8" s="57">
        <v>4990</v>
      </c>
      <c r="R8" s="58">
        <v>1320</v>
      </c>
      <c r="S8" s="58">
        <v>1302</v>
      </c>
      <c r="T8" s="58">
        <v>1364</v>
      </c>
      <c r="U8" s="14">
        <f>$U$4*U9</f>
        <v>828.08479</v>
      </c>
      <c r="V8" s="69">
        <f>SUM(R8:U8)</f>
        <v>4814.0847899999999</v>
      </c>
      <c r="W8" s="14">
        <f>W$4*W9</f>
        <v>1387.6758144654088</v>
      </c>
      <c r="X8" s="14">
        <f>X$4*X9</f>
        <v>1368.3994542269284</v>
      </c>
      <c r="Y8" s="14">
        <f t="shared" ref="Y8:Z8" si="21">Y$4*Y9</f>
        <v>1424.6718696201626</v>
      </c>
      <c r="Z8" s="14">
        <f t="shared" si="21"/>
        <v>1081.8133267564999</v>
      </c>
      <c r="AA8" s="69">
        <f>SUM(W8:Z8)</f>
        <v>5262.5604650689993</v>
      </c>
      <c r="AB8" s="14">
        <f>AB$4*AB9</f>
        <v>1379.5201000545596</v>
      </c>
      <c r="AC8" s="14">
        <f t="shared" ref="AC8:AE8" si="22">AC$4*AC9</f>
        <v>1360.5294634378051</v>
      </c>
      <c r="AD8" s="14">
        <f t="shared" si="22"/>
        <v>1420.8154009621692</v>
      </c>
      <c r="AE8" s="14">
        <f t="shared" si="22"/>
        <v>972.40203073404314</v>
      </c>
      <c r="AF8" s="69">
        <f>SUM(AB8:AE8)</f>
        <v>5133.2669951885773</v>
      </c>
      <c r="AG8" s="14">
        <f>AG$4*AG9</f>
        <v>1410.0933018550988</v>
      </c>
      <c r="AH8" s="14">
        <f>AH$4*AH9</f>
        <v>1390.5928485678648</v>
      </c>
      <c r="AI8" s="14">
        <f>AI$4*AI9</f>
        <v>1449.9740384943775</v>
      </c>
      <c r="AJ8" s="14">
        <f>AJ$4*AJ9</f>
        <v>1047.1087037259763</v>
      </c>
      <c r="AK8" s="69">
        <f>SUM(AG8:AJ8)</f>
        <v>5297.7688926433184</v>
      </c>
      <c r="AL8" s="14">
        <f>AL$4*AL9</f>
        <v>1421.3919500907709</v>
      </c>
      <c r="AM8" s="14">
        <f t="shared" ref="AM8:AO8" si="23">AM$4*AM9</f>
        <v>1401.77986467548</v>
      </c>
      <c r="AN8" s="14">
        <f t="shared" si="23"/>
        <v>1462.7609921229425</v>
      </c>
      <c r="AO8" s="14">
        <f t="shared" si="23"/>
        <v>1028.8324326507604</v>
      </c>
      <c r="AP8" s="69">
        <f>SUM(AL8:AO8)</f>
        <v>5314.7652395399546</v>
      </c>
      <c r="AQ8" s="14">
        <f>AQ$4*AQ9</f>
        <v>1442.7903667638989</v>
      </c>
      <c r="AR8" s="14">
        <f t="shared" ref="AR8:AT8" si="24">AR$4*AR9</f>
        <v>1422.8603322994461</v>
      </c>
      <c r="AS8" s="14">
        <f t="shared" si="24"/>
        <v>1484.1876510538532</v>
      </c>
      <c r="AT8" s="14">
        <f t="shared" si="24"/>
        <v>1057.8863787544324</v>
      </c>
      <c r="AU8" s="69">
        <f>SUM(AQ8:AT8)</f>
        <v>5407.7247288716308</v>
      </c>
    </row>
    <row r="9" spans="2:47" s="17" customFormat="1" x14ac:dyDescent="0.25">
      <c r="B9" s="22" t="s">
        <v>28</v>
      </c>
      <c r="C9" s="49">
        <f t="shared" ref="C9:F9" si="25">C8/C4</f>
        <v>0.17530585962652931</v>
      </c>
      <c r="D9" s="25">
        <f t="shared" si="25"/>
        <v>0.18382849426063472</v>
      </c>
      <c r="E9" s="25">
        <f t="shared" si="25"/>
        <v>0.16969523536986694</v>
      </c>
      <c r="F9" s="44">
        <f t="shared" si="25"/>
        <v>0.192395190120247</v>
      </c>
      <c r="G9" s="77">
        <f>G8/G4</f>
        <v>0.17991218007041418</v>
      </c>
      <c r="H9" s="25">
        <f t="shared" ref="H9:Q9" si="26">H8/H4</f>
        <v>0.18867924528301888</v>
      </c>
      <c r="I9" s="25">
        <f t="shared" si="26"/>
        <v>0.2101608187134503</v>
      </c>
      <c r="J9" s="25">
        <f t="shared" si="26"/>
        <v>0.17976366322008863</v>
      </c>
      <c r="K9" s="25">
        <f t="shared" si="26"/>
        <v>0.2069910897875257</v>
      </c>
      <c r="L9" s="37">
        <f t="shared" si="26"/>
        <v>0.19549590725890223</v>
      </c>
      <c r="M9" s="25">
        <f t="shared" si="26"/>
        <v>0.19771004676665055</v>
      </c>
      <c r="N9" s="25">
        <f t="shared" si="26"/>
        <v>0.2078168044077135</v>
      </c>
      <c r="O9" s="25">
        <f t="shared" si="26"/>
        <v>0.18063686991289446</v>
      </c>
      <c r="P9" s="25">
        <f t="shared" si="26"/>
        <v>0.20540540540540542</v>
      </c>
      <c r="Q9" s="37">
        <f t="shared" si="26"/>
        <v>0.19721761125602719</v>
      </c>
      <c r="R9" s="25">
        <f t="shared" ref="R9:T9" si="27">R8/R4</f>
        <v>0.1837160751565762</v>
      </c>
      <c r="S9" s="25">
        <f t="shared" si="27"/>
        <v>0.19320373942721472</v>
      </c>
      <c r="T9" s="25">
        <f t="shared" si="27"/>
        <v>0.16996884735202492</v>
      </c>
      <c r="U9" s="17">
        <v>0.13</v>
      </c>
      <c r="V9" s="39">
        <f>V8/V$4</f>
        <v>0.18146555560387598</v>
      </c>
      <c r="W9" s="17">
        <f>AVERAGE(M9,R9)</f>
        <v>0.19071306096161339</v>
      </c>
      <c r="X9" s="17">
        <f t="shared" ref="X9:Z9" si="28">AVERAGE(N9,S9)</f>
        <v>0.20051027191746412</v>
      </c>
      <c r="Y9" s="17">
        <f t="shared" si="28"/>
        <v>0.1753028586324597</v>
      </c>
      <c r="Z9" s="17">
        <f t="shared" si="28"/>
        <v>0.16770270270270271</v>
      </c>
      <c r="AA9" s="39">
        <f>AA8/AA$4</f>
        <v>0.1835017327832624</v>
      </c>
      <c r="AB9" s="17">
        <f>AVERAGE(R9,W9)</f>
        <v>0.18721456805909481</v>
      </c>
      <c r="AC9" s="17">
        <f t="shared" ref="AC9:AE9" si="29">AVERAGE(S9,X9)</f>
        <v>0.19685700567233944</v>
      </c>
      <c r="AD9" s="17">
        <f t="shared" si="29"/>
        <v>0.17263585299224232</v>
      </c>
      <c r="AE9" s="17">
        <f t="shared" si="29"/>
        <v>0.14885135135135136</v>
      </c>
      <c r="AF9" s="39">
        <f>AF8/AF$4</f>
        <v>0.17674865373373788</v>
      </c>
      <c r="AG9" s="17">
        <f>AVERAGE(W9,AB9)</f>
        <v>0.1889638145103541</v>
      </c>
      <c r="AH9" s="17">
        <f t="shared" ref="AH9:AJ9" si="30">AVERAGE(X9,AC9)</f>
        <v>0.19868363879490178</v>
      </c>
      <c r="AI9" s="17">
        <f t="shared" si="30"/>
        <v>0.17396935581235101</v>
      </c>
      <c r="AJ9" s="17">
        <f t="shared" si="30"/>
        <v>0.15827702702702703</v>
      </c>
      <c r="AK9" s="39">
        <f>AK8/AK$4</f>
        <v>0.18012519325850018</v>
      </c>
      <c r="AL9" s="17">
        <f>AVERAGE(AB9,AG9)</f>
        <v>0.18808919128472446</v>
      </c>
      <c r="AM9" s="17">
        <f t="shared" ref="AM9:AO9" si="31">AVERAGE(AC9,AH9)</f>
        <v>0.19777032223362062</v>
      </c>
      <c r="AN9" s="17">
        <f t="shared" si="31"/>
        <v>0.17330260440229667</v>
      </c>
      <c r="AO9" s="17">
        <f t="shared" si="31"/>
        <v>0.15356418918918918</v>
      </c>
      <c r="AP9" s="39">
        <f>AP8/AP$4</f>
        <v>0.17843692349611906</v>
      </c>
      <c r="AQ9" s="17">
        <f>AVERAGE(AG9,AL9)</f>
        <v>0.18852650289753928</v>
      </c>
      <c r="AR9" s="17">
        <f t="shared" ref="AR9:AT9" si="32">AVERAGE(AH9,AM9)</f>
        <v>0.19822698051426119</v>
      </c>
      <c r="AS9" s="17">
        <f t="shared" si="32"/>
        <v>0.17363598010732384</v>
      </c>
      <c r="AT9" s="17">
        <f t="shared" si="32"/>
        <v>0.15592060810810809</v>
      </c>
      <c r="AU9" s="39">
        <f>AU8/AU$4</f>
        <v>0.17928105837730957</v>
      </c>
    </row>
    <row r="10" spans="2:47" x14ac:dyDescent="0.25">
      <c r="B10" s="21" t="s">
        <v>59</v>
      </c>
      <c r="C10" s="53">
        <v>343</v>
      </c>
      <c r="D10" s="80">
        <v>334</v>
      </c>
      <c r="E10" s="80">
        <v>335</v>
      </c>
      <c r="F10" s="56">
        <f>G10-SUM(C10:E10)</f>
        <v>295</v>
      </c>
      <c r="G10" s="76">
        <v>1307</v>
      </c>
      <c r="H10" s="58">
        <v>345</v>
      </c>
      <c r="I10" s="58">
        <v>334</v>
      </c>
      <c r="J10" s="58">
        <v>324</v>
      </c>
      <c r="K10" s="55">
        <f>L10-SUM(H10:J10)</f>
        <v>334</v>
      </c>
      <c r="L10" s="57">
        <v>1337</v>
      </c>
      <c r="M10" s="58">
        <v>353</v>
      </c>
      <c r="N10" s="58">
        <v>349</v>
      </c>
      <c r="O10" s="58">
        <v>371</v>
      </c>
      <c r="P10" s="58">
        <v>316</v>
      </c>
      <c r="Q10" s="57">
        <v>1389</v>
      </c>
      <c r="R10" s="58">
        <v>392</v>
      </c>
      <c r="S10" s="58">
        <v>379</v>
      </c>
      <c r="T10" s="58">
        <v>378</v>
      </c>
      <c r="U10" s="14">
        <f>$U$4*U11</f>
        <v>342.2839236806031</v>
      </c>
      <c r="V10" s="69">
        <f>SUM(R10:U10)</f>
        <v>1491.283923680603</v>
      </c>
      <c r="W10" s="14">
        <f>W$4*W11</f>
        <v>405.59418899371059</v>
      </c>
      <c r="X10" s="14">
        <f>X$4*X11</f>
        <v>396.94971729511019</v>
      </c>
      <c r="Y10" s="14">
        <f t="shared" ref="Y10:Z10" si="33">Y$4*Y11</f>
        <v>406.6713547265457</v>
      </c>
      <c r="Z10" s="14">
        <f t="shared" si="33"/>
        <v>335.35414857567332</v>
      </c>
      <c r="AA10" s="69">
        <f>SUM(W10:Z10)</f>
        <v>1544.5694095910399</v>
      </c>
      <c r="AB10" s="14">
        <f>AB$4*AB11</f>
        <v>406.38263043696531</v>
      </c>
      <c r="AC10" s="14">
        <f t="shared" ref="AC10:AE10" si="34">AC$4*AC11</f>
        <v>395.33935380737898</v>
      </c>
      <c r="AD10" s="14">
        <f t="shared" si="34"/>
        <v>399.74912427578636</v>
      </c>
      <c r="AE10" s="14">
        <f t="shared" si="34"/>
        <v>345.32314428936257</v>
      </c>
      <c r="AF10" s="69">
        <f>SUM(AB10:AE10)</f>
        <v>1546.7942528094932</v>
      </c>
      <c r="AG10" s="14">
        <f>AG$4*AG11</f>
        <v>413.75269476220421</v>
      </c>
      <c r="AH10" s="14">
        <f>AH$4*AH11</f>
        <v>403.72821386752054</v>
      </c>
      <c r="AI10" s="14">
        <f>AI$4*AI11</f>
        <v>410.94616865674635</v>
      </c>
      <c r="AJ10" s="14">
        <f>AJ$4*AJ11</f>
        <v>346.8174907209783</v>
      </c>
      <c r="AK10" s="69">
        <f>SUM(AG10:AJ10)</f>
        <v>1575.2445680074493</v>
      </c>
      <c r="AL10" s="14">
        <f>AL$4*AL11</f>
        <v>417.88882434510577</v>
      </c>
      <c r="AM10" s="14">
        <f t="shared" ref="AM10:AO10" si="35">AM$4*AM11</f>
        <v>407.15014993105001</v>
      </c>
      <c r="AN10" s="14">
        <f t="shared" si="35"/>
        <v>413.06620628366636</v>
      </c>
      <c r="AO10" s="14">
        <f t="shared" si="35"/>
        <v>352.68606108869471</v>
      </c>
      <c r="AP10" s="69">
        <f>SUM(AL10:AO10)</f>
        <v>1590.7912416485169</v>
      </c>
      <c r="AQ10" s="14">
        <f>AQ$4*AQ11</f>
        <v>423.76237989779548</v>
      </c>
      <c r="AR10" s="14">
        <f t="shared" ref="AR10:AT10" si="36">AR$4*AR11</f>
        <v>413.18449232927225</v>
      </c>
      <c r="AS10" s="14">
        <f t="shared" si="36"/>
        <v>419.88131497581952</v>
      </c>
      <c r="AT10" s="14">
        <f t="shared" si="36"/>
        <v>356.42388362144527</v>
      </c>
      <c r="AU10" s="69">
        <f>SUM(AQ10:AT10)</f>
        <v>1613.2520708243323</v>
      </c>
    </row>
    <row r="11" spans="2:47" s="17" customFormat="1" x14ac:dyDescent="0.25">
      <c r="B11" s="22" t="s">
        <v>28</v>
      </c>
      <c r="C11" s="49">
        <f t="shared" ref="C11:F11" si="37">C10/C4</f>
        <v>5.5215711526078556E-2</v>
      </c>
      <c r="D11" s="25">
        <f t="shared" si="37"/>
        <v>5.6380823767724512E-2</v>
      </c>
      <c r="E11" s="25">
        <f t="shared" si="37"/>
        <v>4.7932465302618403E-2</v>
      </c>
      <c r="F11" s="44">
        <f t="shared" si="37"/>
        <v>4.7936301592460186E-2</v>
      </c>
      <c r="G11" s="77">
        <f>G10/G4</f>
        <v>5.1702994580481824E-2</v>
      </c>
      <c r="H11" s="25">
        <f t="shared" ref="H11:Q11" si="38">H10/H4</f>
        <v>5.7605610285523461E-2</v>
      </c>
      <c r="I11" s="25">
        <f t="shared" si="38"/>
        <v>6.1038011695906433E-2</v>
      </c>
      <c r="J11" s="25">
        <f t="shared" si="38"/>
        <v>4.7858197932053176E-2</v>
      </c>
      <c r="K11" s="25">
        <f t="shared" si="38"/>
        <v>5.7230980123372174E-2</v>
      </c>
      <c r="L11" s="37">
        <f t="shared" si="38"/>
        <v>5.5553247184942034E-2</v>
      </c>
      <c r="M11" s="25">
        <f t="shared" si="38"/>
        <v>5.6926302209321079E-2</v>
      </c>
      <c r="N11" s="25">
        <f t="shared" si="38"/>
        <v>6.0089531680440775E-2</v>
      </c>
      <c r="O11" s="25">
        <f t="shared" si="38"/>
        <v>5.2977295444809371E-2</v>
      </c>
      <c r="P11" s="25">
        <f t="shared" si="38"/>
        <v>5.0238473767885532E-2</v>
      </c>
      <c r="Q11" s="37">
        <f t="shared" si="38"/>
        <v>5.4896846099122598E-2</v>
      </c>
      <c r="R11" s="25">
        <f t="shared" ref="R11:T11" si="39">R10/R4</f>
        <v>5.4558107167710507E-2</v>
      </c>
      <c r="S11" s="25">
        <f t="shared" si="39"/>
        <v>5.6239798189642379E-2</v>
      </c>
      <c r="T11" s="25">
        <f t="shared" si="39"/>
        <v>4.710280373831776E-2</v>
      </c>
      <c r="U11" s="17">
        <f>AVERAGE(K11,P11)</f>
        <v>5.373472694562885E-2</v>
      </c>
      <c r="V11" s="39">
        <f>V10/V$4</f>
        <v>5.6213522939181304E-2</v>
      </c>
      <c r="W11" s="17">
        <f>AVERAGE(M11,R11)</f>
        <v>5.574220468851579E-2</v>
      </c>
      <c r="X11" s="17">
        <f t="shared" ref="X11:Z11" si="40">AVERAGE(N11,S11)</f>
        <v>5.8164664935041577E-2</v>
      </c>
      <c r="Y11" s="17">
        <f t="shared" si="40"/>
        <v>5.0040049591563565E-2</v>
      </c>
      <c r="Z11" s="17">
        <f t="shared" si="40"/>
        <v>5.1986600356757187E-2</v>
      </c>
      <c r="AA11" s="39">
        <f>AA10/AA$4</f>
        <v>5.3858034495810808E-2</v>
      </c>
      <c r="AB11" s="17">
        <f>AVERAGE(R11,W11)</f>
        <v>5.5150155928113148E-2</v>
      </c>
      <c r="AC11" s="17">
        <f t="shared" ref="AC11:AE11" si="41">AVERAGE(S11,X11)</f>
        <v>5.7202231562341978E-2</v>
      </c>
      <c r="AD11" s="17">
        <f t="shared" si="41"/>
        <v>4.8571426664940659E-2</v>
      </c>
      <c r="AE11" s="17">
        <f t="shared" si="41"/>
        <v>5.2860663651193018E-2</v>
      </c>
      <c r="AF11" s="39">
        <f>AF10/AF$4</f>
        <v>5.3259221085404977E-2</v>
      </c>
      <c r="AG11" s="17">
        <f>AVERAGE(W11,AB11)</f>
        <v>5.5446180308314469E-2</v>
      </c>
      <c r="AH11" s="17">
        <f t="shared" ref="AH11:AJ11" si="42">AVERAGE(X11,AC11)</f>
        <v>5.7683448248691774E-2</v>
      </c>
      <c r="AI11" s="17">
        <f t="shared" si="42"/>
        <v>4.9305738128252112E-2</v>
      </c>
      <c r="AJ11" s="17">
        <f t="shared" si="42"/>
        <v>5.2423632003975103E-2</v>
      </c>
      <c r="AK11" s="39">
        <f>AK10/AK$4</f>
        <v>5.3558627790607889E-2</v>
      </c>
      <c r="AL11" s="17">
        <f>AVERAGE(AB11,AG11)</f>
        <v>5.5298168118213809E-2</v>
      </c>
      <c r="AM11" s="17">
        <f t="shared" ref="AM11:AO11" si="43">AVERAGE(AC11,AH11)</f>
        <v>5.7442839905516879E-2</v>
      </c>
      <c r="AN11" s="17">
        <f t="shared" si="43"/>
        <v>4.8938582396596389E-2</v>
      </c>
      <c r="AO11" s="17">
        <f t="shared" si="43"/>
        <v>5.2642147827584057E-2</v>
      </c>
      <c r="AP11" s="39">
        <f>AP10/AP$4</f>
        <v>5.3408924438006447E-2</v>
      </c>
      <c r="AQ11" s="17">
        <f>AVERAGE(AG11,AL11)</f>
        <v>5.5372174213264139E-2</v>
      </c>
      <c r="AR11" s="17">
        <f t="shared" ref="AR11:AT11" si="44">AVERAGE(AH11,AM11)</f>
        <v>5.7563144077104327E-2</v>
      </c>
      <c r="AS11" s="17">
        <f t="shared" si="44"/>
        <v>4.9122160262424247E-2</v>
      </c>
      <c r="AT11" s="17">
        <f t="shared" si="44"/>
        <v>5.2532889915779576E-2</v>
      </c>
      <c r="AU11" s="39">
        <f>AU10/AU$4</f>
        <v>5.3483776114307158E-2</v>
      </c>
    </row>
    <row r="12" spans="2:47" x14ac:dyDescent="0.25">
      <c r="B12" s="21" t="s">
        <v>61</v>
      </c>
      <c r="C12" s="53">
        <v>0</v>
      </c>
      <c r="D12" s="80">
        <v>4</v>
      </c>
      <c r="E12" s="80">
        <v>-20</v>
      </c>
      <c r="F12" s="56">
        <f>G12-SUM(C12:E12)</f>
        <v>8</v>
      </c>
      <c r="G12" s="76">
        <v>-8</v>
      </c>
      <c r="H12" s="58">
        <v>2</v>
      </c>
      <c r="I12" s="58">
        <v>6</v>
      </c>
      <c r="J12" s="58">
        <v>28</v>
      </c>
      <c r="K12" s="55">
        <f>L12-SUM(H12:J12)</f>
        <v>948</v>
      </c>
      <c r="L12" s="57">
        <v>984</v>
      </c>
      <c r="M12" s="58">
        <v>0</v>
      </c>
      <c r="N12" s="58">
        <v>131</v>
      </c>
      <c r="O12" s="58">
        <v>211</v>
      </c>
      <c r="P12" s="58">
        <v>14</v>
      </c>
      <c r="Q12" s="57">
        <v>356</v>
      </c>
      <c r="R12" s="58">
        <v>215</v>
      </c>
      <c r="S12" s="58">
        <v>-9</v>
      </c>
      <c r="T12" s="58">
        <v>-4</v>
      </c>
      <c r="U12" s="14">
        <f>U4*U13</f>
        <v>11.22922044198895</v>
      </c>
      <c r="V12" s="69">
        <f>SUM(R12:U12)</f>
        <v>213.22922044198896</v>
      </c>
      <c r="W12" s="14">
        <f>W4*W13</f>
        <v>108.86524999999999</v>
      </c>
      <c r="X12" s="14">
        <f>X4*X13</f>
        <v>72.40743972968319</v>
      </c>
      <c r="Y12" s="14">
        <f>Y4*Y13</f>
        <v>120.40638584178208</v>
      </c>
      <c r="Z12" s="14">
        <f>Z4*Z13</f>
        <v>12.864844800801102</v>
      </c>
      <c r="AA12" s="69">
        <f>SUM(W12:Z12)</f>
        <v>314.54392037226637</v>
      </c>
      <c r="AB12" s="14">
        <f>AB4*AB13</f>
        <v>165.37175801249998</v>
      </c>
      <c r="AC12" s="14">
        <f>AC4*AC13</f>
        <v>32.048481302125083</v>
      </c>
      <c r="AD12" s="14">
        <f>AD4*AD13</f>
        <v>58.916650890986354</v>
      </c>
      <c r="AE12" s="14">
        <f>AE4*AE13</f>
        <v>12.272241065975916</v>
      </c>
      <c r="AF12" s="69">
        <f>SUM(AB12:AE12)</f>
        <v>268.60913127158733</v>
      </c>
      <c r="AG12" s="14">
        <f>AG4*AG13</f>
        <v>139.55998278271559</v>
      </c>
      <c r="AH12" s="14">
        <f>AH4*AH13</f>
        <v>53.356882154716601</v>
      </c>
      <c r="AI12" s="14">
        <f>AI4*AI13</f>
        <v>91.574510372718819</v>
      </c>
      <c r="AJ12" s="14">
        <f>AJ4*AJ13</f>
        <v>12.810892678536588</v>
      </c>
      <c r="AK12" s="69">
        <f>SUM(AG12:AJ12)</f>
        <v>297.30226798868756</v>
      </c>
      <c r="AL12" s="14">
        <f>AL4*AL13</f>
        <v>155.46563402046169</v>
      </c>
      <c r="AM12" s="14">
        <f>AM4*AM13</f>
        <v>43.451098192414882</v>
      </c>
      <c r="AN12" s="14">
        <f>AN4*AN13</f>
        <v>76.580071572345972</v>
      </c>
      <c r="AO12" s="14">
        <f>AO4*AO13</f>
        <v>12.779763197183618</v>
      </c>
      <c r="AP12" s="69">
        <f>SUM(AL12:AO12)</f>
        <v>288.27656698240617</v>
      </c>
      <c r="AQ12" s="14">
        <f>AQ4*AQ13</f>
        <v>150.28368177377058</v>
      </c>
      <c r="AR12" s="14">
        <f>AR4*AR13</f>
        <v>49.36184001621384</v>
      </c>
      <c r="AS12" s="14">
        <f>AS4*AS13</f>
        <v>85.733955735139318</v>
      </c>
      <c r="AT12" s="14">
        <f>AT4*AT13</f>
        <v>13.040210905619693</v>
      </c>
      <c r="AU12" s="69">
        <f>SUM(AQ12:AT12)</f>
        <v>298.41968843074346</v>
      </c>
    </row>
    <row r="13" spans="2:47" s="17" customFormat="1" x14ac:dyDescent="0.25">
      <c r="B13" s="22" t="s">
        <v>28</v>
      </c>
      <c r="C13" s="181">
        <f>C12/C$4</f>
        <v>0</v>
      </c>
      <c r="D13" s="181">
        <f t="shared" ref="D13:Q13" si="45">D12/D$4</f>
        <v>6.7521944632005406E-4</v>
      </c>
      <c r="E13" s="181">
        <f t="shared" si="45"/>
        <v>-2.8616397195593076E-3</v>
      </c>
      <c r="F13" s="181">
        <f t="shared" si="45"/>
        <v>1.2999675008124798E-3</v>
      </c>
      <c r="G13" s="184">
        <f t="shared" si="45"/>
        <v>-3.1646821472368369E-4</v>
      </c>
      <c r="H13" s="181">
        <f t="shared" si="45"/>
        <v>3.3394556687259979E-4</v>
      </c>
      <c r="I13" s="181">
        <f t="shared" si="45"/>
        <v>1.0964912280701754E-3</v>
      </c>
      <c r="J13" s="181">
        <f t="shared" si="45"/>
        <v>4.13589364844904E-3</v>
      </c>
      <c r="K13" s="181">
        <f t="shared" si="45"/>
        <v>0.16244002741603839</v>
      </c>
      <c r="L13" s="184">
        <f t="shared" si="45"/>
        <v>4.0885860306643949E-2</v>
      </c>
      <c r="M13" s="181">
        <f t="shared" si="45"/>
        <v>0</v>
      </c>
      <c r="N13" s="181">
        <f t="shared" si="45"/>
        <v>2.2555096418732781E-2</v>
      </c>
      <c r="O13" s="181">
        <f t="shared" si="45"/>
        <v>3.0129944309581609E-2</v>
      </c>
      <c r="P13" s="181">
        <f t="shared" si="45"/>
        <v>2.2257551669316376E-3</v>
      </c>
      <c r="Q13" s="184">
        <f t="shared" si="45"/>
        <v>1.4070033989407952E-2</v>
      </c>
      <c r="R13" s="181">
        <f>R12/R$4</f>
        <v>2.9923451635351428E-2</v>
      </c>
      <c r="S13" s="181">
        <f t="shared" ref="S13" si="46">S12/S$4</f>
        <v>-1.335509719542959E-3</v>
      </c>
      <c r="T13" s="181">
        <f t="shared" ref="T13" si="47">T12/T$4</f>
        <v>-4.9844236760124608E-4</v>
      </c>
      <c r="U13" s="17">
        <f>AVERAGE(F13,P13)</f>
        <v>1.7628613338720586E-3</v>
      </c>
      <c r="V13" s="39">
        <f>V12/V4</f>
        <v>8.0376147588557267E-3</v>
      </c>
      <c r="W13" s="17">
        <f>AVERAGE(M13,R13)</f>
        <v>1.4961725817675714E-2</v>
      </c>
      <c r="X13" s="17">
        <f>AVERAGE(N13,S13)</f>
        <v>1.0609793349594911E-2</v>
      </c>
      <c r="Y13" s="17">
        <f>AVERAGE(O13,T13)</f>
        <v>1.4815750970990181E-2</v>
      </c>
      <c r="Z13" s="17">
        <f>AVERAGE(P13,U13)</f>
        <v>1.9943082504018479E-3</v>
      </c>
      <c r="AA13" s="39">
        <f>AA12/AA4</f>
        <v>1.0967922327519444E-2</v>
      </c>
      <c r="AB13" s="17">
        <f>AVERAGE(R13,W13)</f>
        <v>2.2442588726513571E-2</v>
      </c>
      <c r="AC13" s="17">
        <f>AVERAGE(S13,X13)</f>
        <v>4.6371418150259764E-3</v>
      </c>
      <c r="AD13" s="17">
        <f>AVERAGE(T13,Y13)</f>
        <v>7.1586543016944676E-3</v>
      </c>
      <c r="AE13" s="17">
        <f>AVERAGE(U13,Z13)</f>
        <v>1.8785847921369532E-3</v>
      </c>
      <c r="AF13" s="39">
        <f>AF12/AF4</f>
        <v>9.2487498463145554E-3</v>
      </c>
      <c r="AG13" s="17">
        <f>AVERAGE(W13,AB13)</f>
        <v>1.8702157272094642E-2</v>
      </c>
      <c r="AH13" s="17">
        <f>AVERAGE(X13,AC13)</f>
        <v>7.6234675823104439E-3</v>
      </c>
      <c r="AI13" s="17">
        <f>AVERAGE(Y13,AD13)</f>
        <v>1.0987202636342324E-2</v>
      </c>
      <c r="AJ13" s="17">
        <f>AVERAGE(Z13,AE13)</f>
        <v>1.9364465212694006E-3</v>
      </c>
      <c r="AK13" s="39">
        <f>AK12/AK4</f>
        <v>1.0108336086916999E-2</v>
      </c>
      <c r="AL13" s="17">
        <f>AVERAGE(AB13,AG13)</f>
        <v>2.0572372999304107E-2</v>
      </c>
      <c r="AM13" s="17">
        <f>AVERAGE(AC13,AH13)</f>
        <v>6.1303046986682097E-3</v>
      </c>
      <c r="AN13" s="17">
        <f>AVERAGE(AD13,AI13)</f>
        <v>9.0729284690183962E-3</v>
      </c>
      <c r="AO13" s="17">
        <f>AVERAGE(AE13,AJ13)</f>
        <v>1.9075156567031769E-3</v>
      </c>
      <c r="AP13" s="39">
        <f>AP12/AP4</f>
        <v>9.6785429666157788E-3</v>
      </c>
      <c r="AQ13" s="17">
        <f>AVERAGE(AG13,AL13)</f>
        <v>1.9637265135699376E-2</v>
      </c>
      <c r="AR13" s="17">
        <f>AVERAGE(AH13,AM13)</f>
        <v>6.8768861404893272E-3</v>
      </c>
      <c r="AS13" s="17">
        <f>AVERAGE(AI13,AN13)</f>
        <v>1.0030065552680361E-2</v>
      </c>
      <c r="AT13" s="17">
        <f>AVERAGE(AJ13,AO13)</f>
        <v>1.9219810889862887E-3</v>
      </c>
      <c r="AU13" s="39">
        <f>AU12/AU4</f>
        <v>9.8934395267663896E-3</v>
      </c>
    </row>
    <row r="14" spans="2:47" x14ac:dyDescent="0.25">
      <c r="B14" s="19" t="s">
        <v>60</v>
      </c>
      <c r="C14" s="60">
        <f>C6+C8+C10+C12</f>
        <v>4787</v>
      </c>
      <c r="D14" s="62">
        <f t="shared" ref="D14:F14" si="48">D6+D8+D10+D12</f>
        <v>4578</v>
      </c>
      <c r="E14" s="62">
        <f t="shared" si="48"/>
        <v>5011</v>
      </c>
      <c r="F14" s="63">
        <f t="shared" si="48"/>
        <v>4990</v>
      </c>
      <c r="G14" s="78">
        <f t="shared" ref="G14" si="49">G6+G8+G10+G12</f>
        <v>19366</v>
      </c>
      <c r="H14" s="62">
        <f>H6+H8+H10+H12</f>
        <v>4462</v>
      </c>
      <c r="I14" s="62">
        <f t="shared" ref="I14" si="50">I6+I8+I10+I12</f>
        <v>4251</v>
      </c>
      <c r="J14" s="62">
        <f t="shared" ref="J14" si="51">J6+J8+J10+J12</f>
        <v>4909</v>
      </c>
      <c r="K14" s="62">
        <f t="shared" ref="K14" si="52">K6+K8+K10+K12</f>
        <v>5703</v>
      </c>
      <c r="L14" s="61">
        <f t="shared" ref="L14" si="53">L6+L8+L10+L12</f>
        <v>19325</v>
      </c>
      <c r="M14" s="62">
        <f t="shared" ref="M14:N14" si="54">M6+M8+M10+M12</f>
        <v>4700</v>
      </c>
      <c r="N14" s="62">
        <f t="shared" si="54"/>
        <v>4591</v>
      </c>
      <c r="O14" s="62">
        <f t="shared" ref="O14" si="55">O6+O8+O10+O12</f>
        <v>5273</v>
      </c>
      <c r="P14" s="62">
        <f t="shared" ref="P14" si="56">P6+P8+P10+P12</f>
        <v>5173</v>
      </c>
      <c r="Q14" s="61">
        <f t="shared" ref="Q14:AU14" si="57">Q6+Q8+Q10+Q12</f>
        <v>19737</v>
      </c>
      <c r="R14" s="62">
        <f t="shared" si="57"/>
        <v>5855</v>
      </c>
      <c r="S14" s="62">
        <f t="shared" si="57"/>
        <v>5280</v>
      </c>
      <c r="T14" s="62">
        <f t="shared" si="57"/>
        <v>5950</v>
      </c>
      <c r="U14" s="62">
        <f t="shared" si="57"/>
        <v>4414.6168286907896</v>
      </c>
      <c r="V14" s="61">
        <f t="shared" si="57"/>
        <v>21499.616828690789</v>
      </c>
      <c r="W14" s="62">
        <f t="shared" si="57"/>
        <v>5358.3552970125775</v>
      </c>
      <c r="X14" s="62">
        <f t="shared" si="57"/>
        <v>5029.5844712517219</v>
      </c>
      <c r="Y14" s="62">
        <f t="shared" si="57"/>
        <v>5666.0707801834915</v>
      </c>
      <c r="Z14" s="62">
        <f t="shared" si="57"/>
        <v>4565.4164820875803</v>
      </c>
      <c r="AA14" s="61">
        <f t="shared" si="57"/>
        <v>20619.427030535371</v>
      </c>
      <c r="AB14" s="62">
        <f t="shared" si="57"/>
        <v>5347.1009876848184</v>
      </c>
      <c r="AC14" s="62">
        <f t="shared" si="57"/>
        <v>4908.6490259528082</v>
      </c>
      <c r="AD14" s="62">
        <f t="shared" si="57"/>
        <v>5508.5533096834106</v>
      </c>
      <c r="AE14" s="62">
        <f t="shared" si="57"/>
        <v>4248.7934292175105</v>
      </c>
      <c r="AF14" s="61">
        <f t="shared" si="57"/>
        <v>20013.096752538549</v>
      </c>
      <c r="AG14" s="62">
        <f t="shared" si="57"/>
        <v>5082.053479276391</v>
      </c>
      <c r="AH14" s="62">
        <f t="shared" si="57"/>
        <v>4714.6164783424947</v>
      </c>
      <c r="AI14" s="62">
        <f t="shared" si="57"/>
        <v>5277.974797885161</v>
      </c>
      <c r="AJ14" s="62">
        <f t="shared" si="57"/>
        <v>4161.6502219854228</v>
      </c>
      <c r="AK14" s="61">
        <f t="shared" si="57"/>
        <v>19236.29497748947</v>
      </c>
      <c r="AL14" s="62">
        <f t="shared" si="57"/>
        <v>4937.3371591096911</v>
      </c>
      <c r="AM14" s="62">
        <f t="shared" si="57"/>
        <v>4549.9103578462436</v>
      </c>
      <c r="AN14" s="62">
        <f t="shared" si="57"/>
        <v>5075.1569542974767</v>
      </c>
      <c r="AO14" s="62">
        <f t="shared" si="57"/>
        <v>3950.9661347820493</v>
      </c>
      <c r="AP14" s="61">
        <f t="shared" si="57"/>
        <v>18513.370606035463</v>
      </c>
      <c r="AQ14" s="62">
        <f t="shared" si="57"/>
        <v>4723.3501165549351</v>
      </c>
      <c r="AR14" s="62">
        <f t="shared" si="57"/>
        <v>4362.5144507668274</v>
      </c>
      <c r="AS14" s="62">
        <f t="shared" si="57"/>
        <v>4848.8642223759516</v>
      </c>
      <c r="AT14" s="62">
        <f t="shared" si="57"/>
        <v>3795.3465941889117</v>
      </c>
      <c r="AU14" s="61">
        <f t="shared" si="57"/>
        <v>17730.075383886622</v>
      </c>
    </row>
    <row r="15" spans="2:47" s="14" customFormat="1" x14ac:dyDescent="0.25">
      <c r="B15" s="183" t="s">
        <v>11</v>
      </c>
      <c r="C15" s="183">
        <v>-3</v>
      </c>
      <c r="D15" s="136">
        <v>3</v>
      </c>
      <c r="E15" s="136">
        <v>0</v>
      </c>
      <c r="F15" s="42">
        <f>G15-SUM(C15:E15)</f>
        <v>-4</v>
      </c>
      <c r="G15" s="85">
        <v>-4</v>
      </c>
      <c r="H15" s="24">
        <v>1</v>
      </c>
      <c r="I15" s="24">
        <v>7</v>
      </c>
      <c r="J15" s="24">
        <v>2</v>
      </c>
      <c r="K15" s="20">
        <f>L15-SUM(H15:J15)</f>
        <v>0</v>
      </c>
      <c r="L15" s="36">
        <v>10</v>
      </c>
      <c r="M15" s="24">
        <v>0</v>
      </c>
      <c r="N15" s="24">
        <v>2</v>
      </c>
      <c r="O15" s="24">
        <v>9</v>
      </c>
      <c r="P15" s="24">
        <v>0</v>
      </c>
      <c r="Q15" s="36">
        <v>13</v>
      </c>
      <c r="R15" s="24">
        <v>2</v>
      </c>
      <c r="S15" s="24">
        <v>8</v>
      </c>
      <c r="T15" s="24">
        <v>6</v>
      </c>
      <c r="U15" s="14">
        <v>0</v>
      </c>
      <c r="V15" s="173">
        <v>0</v>
      </c>
      <c r="W15" s="14">
        <v>0</v>
      </c>
      <c r="X15" s="14">
        <v>0</v>
      </c>
      <c r="Y15" s="14">
        <v>0</v>
      </c>
      <c r="Z15" s="14">
        <v>0</v>
      </c>
      <c r="AA15" s="173">
        <v>0</v>
      </c>
      <c r="AB15" s="14">
        <v>0</v>
      </c>
      <c r="AC15" s="14">
        <v>0</v>
      </c>
      <c r="AD15" s="14">
        <v>0</v>
      </c>
      <c r="AE15" s="14">
        <v>0</v>
      </c>
      <c r="AF15" s="173">
        <v>0</v>
      </c>
      <c r="AG15" s="14">
        <v>0</v>
      </c>
      <c r="AH15" s="14">
        <v>0</v>
      </c>
      <c r="AI15" s="14">
        <v>0</v>
      </c>
      <c r="AJ15" s="14">
        <v>0</v>
      </c>
      <c r="AK15" s="173">
        <v>0</v>
      </c>
      <c r="AL15" s="14">
        <v>0</v>
      </c>
      <c r="AM15" s="14">
        <v>0</v>
      </c>
      <c r="AN15" s="14">
        <v>0</v>
      </c>
      <c r="AO15" s="14">
        <v>0</v>
      </c>
      <c r="AP15" s="173">
        <v>0</v>
      </c>
      <c r="AQ15" s="14">
        <v>0</v>
      </c>
      <c r="AR15" s="14">
        <v>0</v>
      </c>
      <c r="AS15" s="14">
        <v>0</v>
      </c>
      <c r="AT15" s="14">
        <v>0</v>
      </c>
      <c r="AU15" s="173">
        <v>0</v>
      </c>
    </row>
    <row r="16" spans="2:47" x14ac:dyDescent="0.25">
      <c r="B16" s="31" t="s">
        <v>12</v>
      </c>
      <c r="C16" s="50">
        <f t="shared" ref="C16:T16" si="58">C4-C14+C15</f>
        <v>1422</v>
      </c>
      <c r="D16" s="33">
        <f t="shared" si="58"/>
        <v>1349</v>
      </c>
      <c r="E16" s="33">
        <f t="shared" si="58"/>
        <v>1978</v>
      </c>
      <c r="F16" s="45">
        <f t="shared" si="58"/>
        <v>1160</v>
      </c>
      <c r="G16" s="45">
        <f t="shared" si="58"/>
        <v>5909</v>
      </c>
      <c r="H16" s="33">
        <f t="shared" si="58"/>
        <v>1528</v>
      </c>
      <c r="I16" s="33">
        <f t="shared" si="58"/>
        <v>1228</v>
      </c>
      <c r="J16" s="33">
        <f t="shared" si="58"/>
        <v>1863</v>
      </c>
      <c r="K16" s="33">
        <f t="shared" si="58"/>
        <v>133</v>
      </c>
      <c r="L16" s="32">
        <f t="shared" si="58"/>
        <v>4752</v>
      </c>
      <c r="M16" s="33">
        <f t="shared" si="58"/>
        <v>1501</v>
      </c>
      <c r="N16" s="33">
        <f t="shared" si="58"/>
        <v>1219</v>
      </c>
      <c r="O16" s="33">
        <f t="shared" si="58"/>
        <v>1739</v>
      </c>
      <c r="P16" s="33">
        <f t="shared" si="58"/>
        <v>1117</v>
      </c>
      <c r="Q16" s="32">
        <f t="shared" si="58"/>
        <v>5578</v>
      </c>
      <c r="R16" s="33">
        <f t="shared" si="58"/>
        <v>1332</v>
      </c>
      <c r="S16" s="33">
        <f t="shared" si="58"/>
        <v>1467</v>
      </c>
      <c r="T16" s="33">
        <f t="shared" si="58"/>
        <v>2081</v>
      </c>
      <c r="U16" s="33">
        <f t="shared" ref="U16:AU16" si="59">U4-U14+U15</f>
        <v>1955.2661713092102</v>
      </c>
      <c r="V16" s="32">
        <f t="shared" si="59"/>
        <v>5029.3008713092131</v>
      </c>
      <c r="W16" s="33">
        <f t="shared" si="59"/>
        <v>1917.8942029874215</v>
      </c>
      <c r="X16" s="33">
        <f t="shared" si="59"/>
        <v>1795.0008287482779</v>
      </c>
      <c r="Y16" s="33">
        <f t="shared" si="59"/>
        <v>2460.8467198165072</v>
      </c>
      <c r="Z16" s="33">
        <f t="shared" si="59"/>
        <v>1885.3640320124186</v>
      </c>
      <c r="AA16" s="32">
        <f t="shared" si="59"/>
        <v>8059.1057835646243</v>
      </c>
      <c r="AB16" s="33">
        <f t="shared" si="59"/>
        <v>2021.5568809651804</v>
      </c>
      <c r="AC16" s="33">
        <f t="shared" si="59"/>
        <v>2002.6085073571912</v>
      </c>
      <c r="AD16" s="33">
        <f t="shared" si="59"/>
        <v>2721.5760425665876</v>
      </c>
      <c r="AE16" s="33">
        <f t="shared" si="59"/>
        <v>2283.9119974115583</v>
      </c>
      <c r="AF16" s="32">
        <f t="shared" si="59"/>
        <v>9029.6534283005167</v>
      </c>
      <c r="AG16" s="33">
        <f t="shared" si="59"/>
        <v>2380.1863443054626</v>
      </c>
      <c r="AH16" s="33">
        <f t="shared" si="59"/>
        <v>2284.4140256405408</v>
      </c>
      <c r="AI16" s="33">
        <f t="shared" si="59"/>
        <v>3056.6771971384132</v>
      </c>
      <c r="AJ16" s="33">
        <f t="shared" si="59"/>
        <v>2454.020563561834</v>
      </c>
      <c r="AK16" s="32">
        <f t="shared" si="59"/>
        <v>10175.29813064625</v>
      </c>
      <c r="AL16" s="33">
        <f t="shared" si="59"/>
        <v>2619.6731102316517</v>
      </c>
      <c r="AM16" s="33">
        <f t="shared" si="59"/>
        <v>2538.0078335373764</v>
      </c>
      <c r="AN16" s="33">
        <f t="shared" si="59"/>
        <v>3365.3451210628946</v>
      </c>
      <c r="AO16" s="33">
        <f t="shared" si="59"/>
        <v>2748.7236697416574</v>
      </c>
      <c r="AP16" s="32">
        <f t="shared" si="59"/>
        <v>11271.749734573576</v>
      </c>
      <c r="AQ16" s="33">
        <f t="shared" si="59"/>
        <v>2929.634183207042</v>
      </c>
      <c r="AR16" s="33">
        <f t="shared" si="59"/>
        <v>2815.4203016473639</v>
      </c>
      <c r="AS16" s="33">
        <f t="shared" si="59"/>
        <v>3698.8322293414958</v>
      </c>
      <c r="AT16" s="33">
        <f t="shared" si="59"/>
        <v>2989.4292708522462</v>
      </c>
      <c r="AU16" s="32">
        <f t="shared" si="59"/>
        <v>12433.315985048153</v>
      </c>
    </row>
    <row r="17" spans="2:47" x14ac:dyDescent="0.25">
      <c r="B17" s="19" t="s">
        <v>13</v>
      </c>
      <c r="C17" s="19"/>
      <c r="D17" s="79"/>
      <c r="E17" s="79"/>
      <c r="F17" s="42"/>
      <c r="G17" s="73"/>
      <c r="H17" s="20"/>
      <c r="I17" s="20"/>
      <c r="J17" s="20"/>
      <c r="K17" s="20"/>
      <c r="L17" s="34"/>
      <c r="M17" s="20"/>
      <c r="N17" s="20"/>
      <c r="O17" s="20"/>
      <c r="P17" s="20"/>
      <c r="Q17" s="34"/>
      <c r="R17" s="20"/>
      <c r="S17" s="20"/>
      <c r="T17" s="20"/>
      <c r="V17" s="185"/>
      <c r="AA17" s="185"/>
      <c r="AF17" s="185"/>
      <c r="AK17" s="185"/>
      <c r="AP17" s="185"/>
      <c r="AU17" s="185"/>
    </row>
    <row r="18" spans="2:47" x14ac:dyDescent="0.25">
      <c r="B18" s="21" t="s">
        <v>14</v>
      </c>
      <c r="C18" s="53">
        <v>-543</v>
      </c>
      <c r="D18" s="80">
        <v>-542</v>
      </c>
      <c r="E18" s="80">
        <v>-572</v>
      </c>
      <c r="F18" s="56">
        <f>G18-SUM(C18:E18)</f>
        <v>-547</v>
      </c>
      <c r="G18" s="76">
        <v>-2204</v>
      </c>
      <c r="H18" s="58">
        <v>-551</v>
      </c>
      <c r="I18" s="58">
        <v>-554</v>
      </c>
      <c r="J18" s="58">
        <v>-522</v>
      </c>
      <c r="K18" s="55">
        <f>L18-SUM(H18:J18)</f>
        <v>-535</v>
      </c>
      <c r="L18" s="57">
        <v>-2162</v>
      </c>
      <c r="M18" s="58">
        <v>-535</v>
      </c>
      <c r="N18" s="58">
        <v>-572</v>
      </c>
      <c r="O18" s="58">
        <v>-581</v>
      </c>
      <c r="P18" s="58">
        <v>-592</v>
      </c>
      <c r="Q18" s="57">
        <v>-2280</v>
      </c>
      <c r="R18" s="58">
        <v>-587</v>
      </c>
      <c r="S18" s="58">
        <v>-607</v>
      </c>
      <c r="T18" s="58">
        <v>-621</v>
      </c>
      <c r="U18" s="14">
        <f>-$U$4*U19</f>
        <v>-591.73036218300206</v>
      </c>
      <c r="V18" s="69">
        <f>SUM(R18:U18)</f>
        <v>-2406.7303621830019</v>
      </c>
      <c r="W18" s="14">
        <f>-W$4*W19</f>
        <v>-611.11178176100623</v>
      </c>
      <c r="X18" s="14">
        <f>-X$4*X19</f>
        <v>-643.41357462121209</v>
      </c>
      <c r="Y18" s="14">
        <f>-Y$4*Y19</f>
        <v>-651.56594513779794</v>
      </c>
      <c r="Z18" s="14">
        <f>-Z$4*Z19</f>
        <v>-603.18881073136299</v>
      </c>
      <c r="AA18" s="69">
        <f>SUM(W18:Z18)</f>
        <v>-2509.2801122513793</v>
      </c>
      <c r="AB18" s="14">
        <f>-AB$4*AB19</f>
        <v>-610.43868930968551</v>
      </c>
      <c r="AC18" s="14">
        <f>-AC$4*AC19</f>
        <v>-637.0503150244507</v>
      </c>
      <c r="AD18" s="14">
        <f>-AD$4*AD19</f>
        <v>-648.35719686552386</v>
      </c>
      <c r="AE18" s="14">
        <f>-AE$4*AE19</f>
        <v>-608.85253110010899</v>
      </c>
      <c r="AF18" s="69">
        <f>SUM(AB18:AE18)</f>
        <v>-2504.6987322997688</v>
      </c>
      <c r="AG18" s="14">
        <f>-AG$4*AG19</f>
        <v>-622.46192395046717</v>
      </c>
      <c r="AH18" s="14">
        <f>-AH$4*AH19</f>
        <v>-652.50045480865128</v>
      </c>
      <c r="AI18" s="14">
        <f>-AI$4*AI19</f>
        <v>-662.40607224065275</v>
      </c>
      <c r="AJ18" s="14">
        <f>-AJ$4*AJ19</f>
        <v>-617.59602654615128</v>
      </c>
      <c r="AK18" s="69">
        <f>SUM(AG18:AJ18)</f>
        <v>-2554.9644775459228</v>
      </c>
      <c r="AL18" s="14">
        <f>-AL$4*AL19</f>
        <v>-628.20474002949413</v>
      </c>
      <c r="AM18" s="14">
        <f>-AM$4*AM19</f>
        <v>-657.06067672805148</v>
      </c>
      <c r="AN18" s="14">
        <f>-AN$4*AN19</f>
        <v>-667.87433627814971</v>
      </c>
      <c r="AO18" s="14">
        <f>-AO$4*AO19</f>
        <v>-624.92754164904011</v>
      </c>
      <c r="AP18" s="69">
        <f>SUM(AL18:AO18)</f>
        <v>-2578.0672946847353</v>
      </c>
      <c r="AQ18" s="14">
        <f>-AQ$4*AQ19</f>
        <v>-637.27789696519574</v>
      </c>
      <c r="AR18" s="14">
        <f>-AR$4*AR19</f>
        <v>-667.29227774082233</v>
      </c>
      <c r="AS18" s="14">
        <f>-AS$4*AS19</f>
        <v>-677.84718314991949</v>
      </c>
      <c r="AT18" s="14">
        <f>-AT$4*AT19</f>
        <v>-633.12334955576398</v>
      </c>
      <c r="AU18" s="69">
        <f>SUM(AQ18:AT18)</f>
        <v>-2615.5407074117015</v>
      </c>
    </row>
    <row r="19" spans="2:47" s="17" customFormat="1" x14ac:dyDescent="0.25">
      <c r="B19" s="22" t="s">
        <v>28</v>
      </c>
      <c r="C19" s="49">
        <f t="shared" ref="C19:T19" si="60">-C18/C4</f>
        <v>8.741146168705731E-2</v>
      </c>
      <c r="D19" s="25">
        <f t="shared" si="60"/>
        <v>9.1492234976367326E-2</v>
      </c>
      <c r="E19" s="25">
        <f t="shared" si="60"/>
        <v>8.1842895979396188E-2</v>
      </c>
      <c r="F19" s="44">
        <f t="shared" si="60"/>
        <v>8.8885277868053295E-2</v>
      </c>
      <c r="G19" s="77">
        <f t="shared" si="60"/>
        <v>8.7186993156374862E-2</v>
      </c>
      <c r="H19" s="25">
        <f t="shared" si="60"/>
        <v>9.2002003673401236E-2</v>
      </c>
      <c r="I19" s="25">
        <f t="shared" si="60"/>
        <v>0.10124269005847954</v>
      </c>
      <c r="J19" s="25">
        <f t="shared" si="60"/>
        <v>7.7104874446085672E-2</v>
      </c>
      <c r="K19" s="25">
        <f t="shared" si="60"/>
        <v>9.1672378341329672E-2</v>
      </c>
      <c r="L19" s="37">
        <f t="shared" si="60"/>
        <v>8.9832550795695354E-2</v>
      </c>
      <c r="M19" s="25">
        <f t="shared" si="60"/>
        <v>8.6276407031124006E-2</v>
      </c>
      <c r="N19" s="25">
        <f t="shared" si="60"/>
        <v>9.8484848484848481E-2</v>
      </c>
      <c r="O19" s="25">
        <f t="shared" si="60"/>
        <v>8.2964443809795799E-2</v>
      </c>
      <c r="P19" s="25">
        <f t="shared" si="60"/>
        <v>9.4117647058823528E-2</v>
      </c>
      <c r="Q19" s="37">
        <f t="shared" si="60"/>
        <v>9.0111453640028455E-2</v>
      </c>
      <c r="R19" s="25">
        <f t="shared" si="60"/>
        <v>8.1697981906750178E-2</v>
      </c>
      <c r="S19" s="25">
        <f t="shared" si="60"/>
        <v>9.0072711084730667E-2</v>
      </c>
      <c r="T19" s="25">
        <f t="shared" si="60"/>
        <v>7.7383177570093456E-2</v>
      </c>
      <c r="U19" s="17">
        <f>AVERAGE(K19,P19)</f>
        <v>9.2895012700076607E-2</v>
      </c>
      <c r="V19" s="39">
        <f>V18/V$4</f>
        <v>-9.0721015813736039E-2</v>
      </c>
      <c r="W19" s="17">
        <f>AVERAGE(M19,R19)</f>
        <v>8.3987194468937099E-2</v>
      </c>
      <c r="X19" s="17">
        <f t="shared" ref="X19:Z19" si="61">AVERAGE(N19,S19)</f>
        <v>9.4278779784789574E-2</v>
      </c>
      <c r="Y19" s="17">
        <f t="shared" si="61"/>
        <v>8.0173810689944627E-2</v>
      </c>
      <c r="Z19" s="17">
        <f t="shared" si="61"/>
        <v>9.3506329879450067E-2</v>
      </c>
      <c r="AA19" s="39">
        <f>AA18/AA$4</f>
        <v>-8.7496809147003321E-2</v>
      </c>
      <c r="AB19" s="17">
        <f>AVERAGE(R19,W19)</f>
        <v>8.2842588187843638E-2</v>
      </c>
      <c r="AC19" s="17">
        <f t="shared" ref="AC19:AE19" si="62">AVERAGE(S19,X19)</f>
        <v>9.217574543476012E-2</v>
      </c>
      <c r="AD19" s="17">
        <f t="shared" si="62"/>
        <v>7.8778494130019042E-2</v>
      </c>
      <c r="AE19" s="17">
        <f t="shared" si="62"/>
        <v>9.3200671289763337E-2</v>
      </c>
      <c r="AF19" s="39">
        <f>AF18/AF$4</f>
        <v>-8.6241788973285397E-2</v>
      </c>
      <c r="AG19" s="17">
        <f>AVERAGE(W19,AB19)</f>
        <v>8.3414891328390361E-2</v>
      </c>
      <c r="AH19" s="17">
        <f t="shared" ref="AH19:AJ19" si="63">AVERAGE(X19,AC19)</f>
        <v>9.3227262609774847E-2</v>
      </c>
      <c r="AI19" s="17">
        <f t="shared" si="63"/>
        <v>7.9476152409981835E-2</v>
      </c>
      <c r="AJ19" s="17">
        <f t="shared" si="63"/>
        <v>9.3353500584606702E-2</v>
      </c>
      <c r="AK19" s="39">
        <f>AK18/AK$4</f>
        <v>-8.6869299060144373E-2</v>
      </c>
      <c r="AL19" s="17">
        <f>AVERAGE(AB19,AG19)</f>
        <v>8.3128739758116993E-2</v>
      </c>
      <c r="AM19" s="17">
        <f t="shared" ref="AM19:AO19" si="64">AVERAGE(AC19,AH19)</f>
        <v>9.2701504022267484E-2</v>
      </c>
      <c r="AN19" s="17">
        <f t="shared" si="64"/>
        <v>7.9127323270000438E-2</v>
      </c>
      <c r="AO19" s="17">
        <f t="shared" si="64"/>
        <v>9.327708593718502E-2</v>
      </c>
      <c r="AP19" s="39">
        <f>AP18/AP$4</f>
        <v>-8.6555544016714878E-2</v>
      </c>
      <c r="AQ19" s="17">
        <f>AVERAGE(AG19,AL19)</f>
        <v>8.3271815543253677E-2</v>
      </c>
      <c r="AR19" s="17">
        <f t="shared" ref="AR19:AT19" si="65">AVERAGE(AH19,AM19)</f>
        <v>9.2964383316021165E-2</v>
      </c>
      <c r="AS19" s="17">
        <f t="shared" si="65"/>
        <v>7.9301737839991143E-2</v>
      </c>
      <c r="AT19" s="17">
        <f t="shared" si="65"/>
        <v>9.3315293260895854E-2</v>
      </c>
      <c r="AU19" s="39">
        <f>AU18/AU$4</f>
        <v>-8.6712421538429604E-2</v>
      </c>
    </row>
    <row r="20" spans="2:47" x14ac:dyDescent="0.25">
      <c r="B20" s="21" t="s">
        <v>62</v>
      </c>
      <c r="C20" s="53">
        <v>43</v>
      </c>
      <c r="D20" s="80">
        <v>44</v>
      </c>
      <c r="E20" s="80">
        <v>50</v>
      </c>
      <c r="F20" s="56">
        <f>G20-SUM(C20:E20)</f>
        <v>25</v>
      </c>
      <c r="G20" s="76">
        <v>162</v>
      </c>
      <c r="H20" s="58">
        <v>44</v>
      </c>
      <c r="I20" s="58">
        <v>-1968</v>
      </c>
      <c r="J20" s="58">
        <v>-80</v>
      </c>
      <c r="K20" s="55">
        <f>L20-SUM(H20:J20)</f>
        <v>-1</v>
      </c>
      <c r="L20" s="57">
        <v>-2005</v>
      </c>
      <c r="M20" s="58">
        <v>-17</v>
      </c>
      <c r="N20" s="58">
        <v>9</v>
      </c>
      <c r="O20" s="58">
        <v>22</v>
      </c>
      <c r="P20" s="58">
        <v>14</v>
      </c>
      <c r="Q20" s="57">
        <v>28</v>
      </c>
      <c r="R20" s="58">
        <v>25</v>
      </c>
      <c r="S20" s="58">
        <v>36</v>
      </c>
      <c r="T20" s="58">
        <v>26</v>
      </c>
      <c r="U20" s="14">
        <f>$U$4*U21</f>
        <v>34.028162635405849</v>
      </c>
      <c r="V20" s="69">
        <f>SUM(R20:U20)</f>
        <v>121.02816263540585</v>
      </c>
      <c r="W20" s="14">
        <f>W$4*W21</f>
        <v>2.6848553459119495</v>
      </c>
      <c r="X20" s="14">
        <f>X$4*X21</f>
        <v>23.516243569214875</v>
      </c>
      <c r="Y20" s="14">
        <f t="shared" ref="Y20:Z20" si="66">Y$4*Y21</f>
        <v>25.930499471655001</v>
      </c>
      <c r="Z20" s="14">
        <f t="shared" si="66"/>
        <v>24.40908918043775</v>
      </c>
      <c r="AA20" s="69">
        <f>SUM(W20:Z20)</f>
        <v>76.540687567219578</v>
      </c>
      <c r="AB20" s="14">
        <f>AB$4*AB21</f>
        <v>14.178992629402513</v>
      </c>
      <c r="AC20" s="14">
        <f t="shared" ref="AC20:AE20" si="67">AC$4*AC21</f>
        <v>30.367553151271952</v>
      </c>
      <c r="AD20" s="14">
        <f t="shared" si="67"/>
        <v>26.462205177472505</v>
      </c>
      <c r="AE20" s="14">
        <f t="shared" si="67"/>
        <v>29.808525490862966</v>
      </c>
      <c r="AF20" s="69">
        <f>SUM(AB20:AE20)</f>
        <v>100.81727644900994</v>
      </c>
      <c r="AG20" s="14">
        <f>AG$4*AG21</f>
        <v>8.5562747739063916</v>
      </c>
      <c r="AH20" s="14">
        <f>AH$4*AH21</f>
        <v>27.435285083545658</v>
      </c>
      <c r="AI20" s="14">
        <f>AI$4*AI21</f>
        <v>26.695795835860615</v>
      </c>
      <c r="AJ20" s="14">
        <f>AJ$4*AJ21</f>
        <v>27.610055376105844</v>
      </c>
      <c r="AK20" s="69">
        <f>SUM(AG20:AJ20)</f>
        <v>90.297411069418501</v>
      </c>
      <c r="AL20" s="14">
        <f>AL$4*AL21</f>
        <v>11.603182717722767</v>
      </c>
      <c r="AM20" s="14">
        <f t="shared" ref="AM20:AO20" si="68">AM$4*AM21</f>
        <v>29.463750094034353</v>
      </c>
      <c r="AN20" s="14">
        <f t="shared" si="68"/>
        <v>27.086722860514708</v>
      </c>
      <c r="AO20" s="14">
        <f t="shared" si="68"/>
        <v>29.265586467394844</v>
      </c>
      <c r="AP20" s="69">
        <f>SUM(AL20:AO20)</f>
        <v>97.419242139666665</v>
      </c>
      <c r="AQ20" s="14">
        <f>AQ$4*AQ21</f>
        <v>10.26276366647987</v>
      </c>
      <c r="AR20" s="14">
        <f t="shared" ref="AR20:AT20" si="69">AR$4*AR21</f>
        <v>28.987253041013712</v>
      </c>
      <c r="AS20" s="14">
        <f t="shared" si="69"/>
        <v>27.404449527922534</v>
      </c>
      <c r="AT20" s="14">
        <f t="shared" si="69"/>
        <v>28.976531712010651</v>
      </c>
      <c r="AU20" s="69">
        <f>SUM(AQ20:AT20)</f>
        <v>95.630997947426778</v>
      </c>
    </row>
    <row r="21" spans="2:47" s="17" customFormat="1" x14ac:dyDescent="0.25">
      <c r="B21" s="22" t="s">
        <v>28</v>
      </c>
      <c r="C21" s="49">
        <f t="shared" ref="C21:T21" si="70">C20/C4</f>
        <v>6.9220862846104316E-3</v>
      </c>
      <c r="D21" s="25">
        <f t="shared" si="70"/>
        <v>7.4274139095205942E-3</v>
      </c>
      <c r="E21" s="25">
        <f t="shared" si="70"/>
        <v>7.1540992988982687E-3</v>
      </c>
      <c r="F21" s="44">
        <f t="shared" si="70"/>
        <v>4.0623984400389992E-3</v>
      </c>
      <c r="G21" s="77">
        <f t="shared" si="70"/>
        <v>6.4084813481545943E-3</v>
      </c>
      <c r="H21" s="25">
        <f t="shared" si="70"/>
        <v>7.3468024711971945E-3</v>
      </c>
      <c r="I21" s="25">
        <f t="shared" si="70"/>
        <v>-0.35964912280701755</v>
      </c>
      <c r="J21" s="25">
        <f t="shared" si="70"/>
        <v>-1.1816838995568686E-2</v>
      </c>
      <c r="K21" s="25">
        <f t="shared" si="70"/>
        <v>-1.7135023989033586E-4</v>
      </c>
      <c r="L21" s="37">
        <f t="shared" si="70"/>
        <v>-8.3309095441891384E-2</v>
      </c>
      <c r="M21" s="49">
        <f t="shared" si="70"/>
        <v>-2.7414933075310434E-3</v>
      </c>
      <c r="N21" s="25">
        <f t="shared" si="70"/>
        <v>1.5495867768595042E-3</v>
      </c>
      <c r="O21" s="25">
        <f t="shared" si="70"/>
        <v>3.1415107810938169E-3</v>
      </c>
      <c r="P21" s="25">
        <f>P20/P4</f>
        <v>2.2257551669316376E-3</v>
      </c>
      <c r="Q21" s="37">
        <f t="shared" si="70"/>
        <v>1.106631886807367E-3</v>
      </c>
      <c r="R21" s="25">
        <f t="shared" si="70"/>
        <v>3.4794711203897009E-3</v>
      </c>
      <c r="S21" s="25">
        <f t="shared" si="70"/>
        <v>5.3420388781718359E-3</v>
      </c>
      <c r="T21" s="25">
        <f t="shared" si="70"/>
        <v>3.2398753894080996E-3</v>
      </c>
      <c r="U21" s="17">
        <f>S21</f>
        <v>5.3420388781718359E-3</v>
      </c>
      <c r="V21" s="39">
        <f>V20/V$4</f>
        <v>4.5621221341949373E-3</v>
      </c>
      <c r="W21" s="17">
        <f>AVERAGE(M21,R21)</f>
        <v>3.6898890642932873E-4</v>
      </c>
      <c r="X21" s="17">
        <f t="shared" ref="X21:Y21" si="71">AVERAGE(N21,S21)</f>
        <v>3.4458128275156701E-3</v>
      </c>
      <c r="Y21" s="17">
        <f t="shared" si="71"/>
        <v>3.1906930852509583E-3</v>
      </c>
      <c r="Z21" s="17">
        <f>AVERAGE(P21,U21)</f>
        <v>3.783897022551737E-3</v>
      </c>
      <c r="AA21" s="39">
        <f>AA20/AA$4</f>
        <v>2.6689192248212862E-3</v>
      </c>
      <c r="AB21" s="17">
        <f>AVERAGE(R21,W21)</f>
        <v>1.9242300134095147E-3</v>
      </c>
      <c r="AC21" s="17">
        <f t="shared" ref="AC21:AE21" si="72">AVERAGE(S21,X21)</f>
        <v>4.393925852843753E-3</v>
      </c>
      <c r="AD21" s="17">
        <f t="shared" si="72"/>
        <v>3.215284237329529E-3</v>
      </c>
      <c r="AE21" s="17">
        <f t="shared" si="72"/>
        <v>4.5629679503617869E-3</v>
      </c>
      <c r="AF21" s="39">
        <f>AF20/AF$4</f>
        <v>3.4713405521603828E-3</v>
      </c>
      <c r="AG21" s="17">
        <f>AVERAGE(W21,AB21)</f>
        <v>1.1466094599194218E-3</v>
      </c>
      <c r="AH21" s="17">
        <f t="shared" ref="AH21:AJ21" si="73">AVERAGE(X21,AC21)</f>
        <v>3.919869340179712E-3</v>
      </c>
      <c r="AI21" s="17">
        <f t="shared" si="73"/>
        <v>3.2029886612902434E-3</v>
      </c>
      <c r="AJ21" s="17">
        <f t="shared" si="73"/>
        <v>4.1734324864567615E-3</v>
      </c>
      <c r="AK21" s="39">
        <f>AK20/AK$4</f>
        <v>3.0701298884908343E-3</v>
      </c>
      <c r="AL21" s="17">
        <f>AVERAGE(AB21,AG21)</f>
        <v>1.5354197366644682E-3</v>
      </c>
      <c r="AM21" s="17">
        <f t="shared" ref="AM21:AO21" si="74">AVERAGE(AC21,AH21)</f>
        <v>4.156897596511732E-3</v>
      </c>
      <c r="AN21" s="17">
        <f t="shared" si="74"/>
        <v>3.2091364493098862E-3</v>
      </c>
      <c r="AO21" s="17">
        <f t="shared" si="74"/>
        <v>4.3682002184092742E-3</v>
      </c>
      <c r="AP21" s="39">
        <f>AP20/AP$4</f>
        <v>3.2707352203256083E-3</v>
      </c>
      <c r="AQ21" s="17">
        <f>AVERAGE(AG21,AL21)</f>
        <v>1.341014598291945E-3</v>
      </c>
      <c r="AR21" s="17">
        <f t="shared" ref="AR21:AT21" si="75">AVERAGE(AH21,AM21)</f>
        <v>4.038383468345722E-3</v>
      </c>
      <c r="AS21" s="17">
        <f t="shared" si="75"/>
        <v>3.2060625553000646E-3</v>
      </c>
      <c r="AT21" s="17">
        <f t="shared" si="75"/>
        <v>4.2708163524330179E-3</v>
      </c>
      <c r="AU21" s="39">
        <f>AU20/AU$4</f>
        <v>3.1704325544082215E-3</v>
      </c>
    </row>
    <row r="22" spans="2:47" x14ac:dyDescent="0.25">
      <c r="B22" s="21" t="s">
        <v>63</v>
      </c>
      <c r="C22" s="53">
        <v>115</v>
      </c>
      <c r="D22" s="80">
        <v>89</v>
      </c>
      <c r="E22" s="80">
        <v>104</v>
      </c>
      <c r="F22" s="56">
        <f>G22-SUM(C22:E22)</f>
        <v>122</v>
      </c>
      <c r="G22" s="76">
        <v>430</v>
      </c>
      <c r="H22" s="58">
        <v>46</v>
      </c>
      <c r="I22" s="58">
        <v>137</v>
      </c>
      <c r="J22" s="58">
        <v>127</v>
      </c>
      <c r="K22" s="55">
        <f>L22-SUM(H22:J22)</f>
        <v>143</v>
      </c>
      <c r="L22" s="57">
        <v>453</v>
      </c>
      <c r="M22" s="58">
        <v>127</v>
      </c>
      <c r="N22" s="58">
        <v>128</v>
      </c>
      <c r="O22" s="58">
        <v>238</v>
      </c>
      <c r="P22" s="58">
        <v>150</v>
      </c>
      <c r="Q22" s="57">
        <v>643</v>
      </c>
      <c r="R22" s="58">
        <v>89</v>
      </c>
      <c r="S22" s="58">
        <v>115</v>
      </c>
      <c r="T22" s="58">
        <v>89</v>
      </c>
      <c r="U22" s="14">
        <f>$U$4*U23</f>
        <v>153.99339007882114</v>
      </c>
      <c r="V22" s="69">
        <f>SUM(R22:U22)</f>
        <v>446.99339007882111</v>
      </c>
      <c r="W22" s="14">
        <f>W$4*W23</f>
        <v>119.57601006289305</v>
      </c>
      <c r="X22" s="14">
        <f>X$4*X23</f>
        <v>133.43229187327825</v>
      </c>
      <c r="Y22" s="14">
        <f t="shared" ref="Y22:Z22" si="76">Y$4*Y23</f>
        <v>183.16356246608595</v>
      </c>
      <c r="Z22" s="14">
        <f t="shared" si="76"/>
        <v>154.89164981641105</v>
      </c>
      <c r="AA22" s="69">
        <f>SUM(W22:Z22)</f>
        <v>591.06351421866827</v>
      </c>
      <c r="AB22" s="14">
        <f>AB$4*AB23</f>
        <v>106.18479010034588</v>
      </c>
      <c r="AC22" s="14">
        <f t="shared" ref="AC22:AE22" si="77">AC$4*AC23</f>
        <v>126.53321516503445</v>
      </c>
      <c r="AD22" s="14">
        <f t="shared" si="77"/>
        <v>138.38234725970261</v>
      </c>
      <c r="AE22" s="14">
        <f t="shared" si="77"/>
        <v>130.65410853258138</v>
      </c>
      <c r="AF22" s="69">
        <f>SUM(AB22:AE22)</f>
        <v>501.75446105766434</v>
      </c>
      <c r="AG22" s="14">
        <f>AG$4*AG23</f>
        <v>115.08293203388692</v>
      </c>
      <c r="AH22" s="14">
        <f>AH$4*AH23</f>
        <v>132.49159018942305</v>
      </c>
      <c r="AI22" s="14">
        <f>AI$4*AI23</f>
        <v>163.9926312368078</v>
      </c>
      <c r="AJ22" s="14">
        <f>AJ$4*AJ23</f>
        <v>132.31341571094515</v>
      </c>
      <c r="AK22" s="69">
        <f>SUM(AG22:AJ22)</f>
        <v>543.88056917106292</v>
      </c>
      <c r="AL22" s="14">
        <f>AL$4*AL23</f>
        <v>151.14020538682686</v>
      </c>
      <c r="AM22" s="14">
        <f t="shared" ref="AM22:AO22" si="78">AM$4*AM23</f>
        <v>131.97090037866448</v>
      </c>
      <c r="AN22" s="14">
        <f t="shared" si="78"/>
        <v>153.99745811120189</v>
      </c>
      <c r="AO22" s="14">
        <f t="shared" si="78"/>
        <v>133.99379609047415</v>
      </c>
      <c r="AP22" s="69">
        <f>SUM(AL22:AO22)</f>
        <v>571.10235996716733</v>
      </c>
      <c r="AQ22" s="14">
        <f>AQ$4*AQ23</f>
        <v>135.54214311444747</v>
      </c>
      <c r="AR22" s="14">
        <f t="shared" ref="AR22:AT22" si="79">AR$4*AR23</f>
        <v>134.76258848114475</v>
      </c>
      <c r="AS22" s="14">
        <f t="shared" si="79"/>
        <v>162.06886013546449</v>
      </c>
      <c r="AT22" s="14">
        <f t="shared" si="79"/>
        <v>135.69551730082316</v>
      </c>
      <c r="AU22" s="69">
        <f>SUM(AQ22:AT22)</f>
        <v>568.06910903187986</v>
      </c>
    </row>
    <row r="23" spans="2:47" s="17" customFormat="1" x14ac:dyDescent="0.25">
      <c r="B23" s="22" t="s">
        <v>28</v>
      </c>
      <c r="C23" s="49">
        <f t="shared" ref="C23:T23" si="80">C22/C4</f>
        <v>1.8512556342562783E-2</v>
      </c>
      <c r="D23" s="25">
        <f t="shared" si="80"/>
        <v>1.5023632680621202E-2</v>
      </c>
      <c r="E23" s="25">
        <f t="shared" si="80"/>
        <v>1.4880526541708398E-2</v>
      </c>
      <c r="F23" s="44">
        <f t="shared" si="80"/>
        <v>1.9824504387390314E-2</v>
      </c>
      <c r="G23" s="77">
        <f t="shared" si="80"/>
        <v>1.7010166541398E-2</v>
      </c>
      <c r="H23" s="25">
        <f t="shared" si="80"/>
        <v>7.680748038069795E-3</v>
      </c>
      <c r="I23" s="25">
        <f t="shared" si="80"/>
        <v>2.503654970760234E-2</v>
      </c>
      <c r="J23" s="25">
        <f t="shared" si="80"/>
        <v>1.8759231905465287E-2</v>
      </c>
      <c r="K23" s="25">
        <f t="shared" si="80"/>
        <v>2.4503084304318027E-2</v>
      </c>
      <c r="L23" s="37">
        <f t="shared" si="80"/>
        <v>1.8822453982631819E-2</v>
      </c>
      <c r="M23" s="25">
        <f t="shared" si="80"/>
        <v>2.0480567650378971E-2</v>
      </c>
      <c r="N23" s="25">
        <f t="shared" si="80"/>
        <v>2.2038567493112948E-2</v>
      </c>
      <c r="O23" s="25">
        <f t="shared" si="80"/>
        <v>3.3985434813651294E-2</v>
      </c>
      <c r="P23" s="25">
        <f t="shared" si="80"/>
        <v>2.3847376788553261E-2</v>
      </c>
      <c r="Q23" s="37">
        <f t="shared" si="80"/>
        <v>2.5413010829183465E-2</v>
      </c>
      <c r="R23" s="25">
        <f t="shared" si="80"/>
        <v>1.2386917188587334E-2</v>
      </c>
      <c r="S23" s="25">
        <f t="shared" si="80"/>
        <v>1.7064846416382253E-2</v>
      </c>
      <c r="T23" s="25">
        <f t="shared" si="80"/>
        <v>1.1090342679127726E-2</v>
      </c>
      <c r="U23" s="17">
        <f>AVERAGE(K23,P23)</f>
        <v>2.4175230546435646E-2</v>
      </c>
      <c r="V23" s="39">
        <f>V22/V$4</f>
        <v>1.6849288581374019E-2</v>
      </c>
      <c r="W23" s="17">
        <f>AVERAGE(M23,R23)</f>
        <v>1.6433742419483151E-2</v>
      </c>
      <c r="X23" s="17">
        <f t="shared" ref="X23:Z23" si="81">AVERAGE(N23,S23)</f>
        <v>1.9551706954747602E-2</v>
      </c>
      <c r="Y23" s="17">
        <f t="shared" si="81"/>
        <v>2.2537888746389512E-2</v>
      </c>
      <c r="Z23" s="17">
        <f t="shared" si="81"/>
        <v>2.4011303667494453E-2</v>
      </c>
      <c r="AA23" s="39">
        <f>AA22/AA$4</f>
        <v>2.0609963489069006E-2</v>
      </c>
      <c r="AB23" s="17">
        <f>AVERAGE(R23,W23)</f>
        <v>1.4410329804035242E-2</v>
      </c>
      <c r="AC23" s="17">
        <f t="shared" ref="AC23:AD23" si="82">AVERAGE(S23,X23)</f>
        <v>1.830827668556493E-2</v>
      </c>
      <c r="AD23" s="17">
        <f t="shared" si="82"/>
        <v>1.681411571275862E-2</v>
      </c>
      <c r="AE23" s="17">
        <v>0.02</v>
      </c>
      <c r="AF23" s="39">
        <f>AF22/AF$4</f>
        <v>1.727641004840845E-2</v>
      </c>
      <c r="AG23" s="17">
        <f>AVERAGE(W23,AB23)</f>
        <v>1.5422036111759196E-2</v>
      </c>
      <c r="AH23" s="17">
        <f t="shared" ref="AH23:AI23" si="83">AVERAGE(X23,AC23)</f>
        <v>1.8929991820156266E-2</v>
      </c>
      <c r="AI23" s="17">
        <f t="shared" si="83"/>
        <v>1.9676002229574066E-2</v>
      </c>
      <c r="AJ23" s="17">
        <v>0.02</v>
      </c>
      <c r="AK23" s="39">
        <f>AK22/AK$4</f>
        <v>1.8492047240399802E-2</v>
      </c>
      <c r="AL23" s="17">
        <v>0.02</v>
      </c>
      <c r="AM23" s="17">
        <f t="shared" ref="AM23:AO23" si="84">AVERAGE(AC23,AH23)</f>
        <v>1.8619134252860596E-2</v>
      </c>
      <c r="AN23" s="17">
        <f t="shared" si="84"/>
        <v>1.8245058971166343E-2</v>
      </c>
      <c r="AO23" s="17">
        <f t="shared" si="84"/>
        <v>0.02</v>
      </c>
      <c r="AP23" s="39">
        <f>AP22/AP$4</f>
        <v>1.917408267740071E-2</v>
      </c>
      <c r="AQ23" s="17">
        <f>AVERAGE(AG23,AL23)</f>
        <v>1.7711018055879598E-2</v>
      </c>
      <c r="AR23" s="17">
        <f t="shared" ref="AR23:AT23" si="85">AVERAGE(AH23,AM23)</f>
        <v>1.8774563036508429E-2</v>
      </c>
      <c r="AS23" s="17">
        <f t="shared" si="85"/>
        <v>1.8960530600370205E-2</v>
      </c>
      <c r="AT23" s="17">
        <f t="shared" si="85"/>
        <v>0.02</v>
      </c>
      <c r="AU23" s="39">
        <f>AU22/AU$4</f>
        <v>1.8833064958900254E-2</v>
      </c>
    </row>
    <row r="24" spans="2:47" x14ac:dyDescent="0.25">
      <c r="B24" s="21" t="s">
        <v>64</v>
      </c>
      <c r="C24" s="58">
        <f t="shared" ref="C24:D24" si="86">SUM(C18,C20,C22)</f>
        <v>-385</v>
      </c>
      <c r="D24" s="58">
        <f t="shared" si="86"/>
        <v>-409</v>
      </c>
      <c r="E24" s="58">
        <f>SUM(E18,E20,E22)</f>
        <v>-418</v>
      </c>
      <c r="F24" s="58">
        <f>SUM(F18,F20,F22)</f>
        <v>-400</v>
      </c>
      <c r="G24" s="64">
        <f t="shared" ref="G24" si="87">SUM(G18,G20,G22)</f>
        <v>-1612</v>
      </c>
      <c r="H24" s="58">
        <f t="shared" ref="H24:I24" si="88">SUM(H18,H20,H22)</f>
        <v>-461</v>
      </c>
      <c r="I24" s="58">
        <f t="shared" si="88"/>
        <v>-2385</v>
      </c>
      <c r="J24" s="58">
        <f>SUM(J18,J20,J22)</f>
        <v>-475</v>
      </c>
      <c r="K24" s="58">
        <f>SUM(K18,K20,K22)</f>
        <v>-393</v>
      </c>
      <c r="L24" s="64">
        <f t="shared" ref="L24" si="89">SUM(L18,L20,L22)</f>
        <v>-3714</v>
      </c>
      <c r="M24" s="58">
        <f>SUM(M18,M20,M22)</f>
        <v>-425</v>
      </c>
      <c r="N24" s="58">
        <f>SUM(N18,N20,N22)</f>
        <v>-435</v>
      </c>
      <c r="O24" s="58">
        <f>SUM(O18,O20,O22)</f>
        <v>-321</v>
      </c>
      <c r="P24" s="58">
        <f>SUM(P18,P20,P22)</f>
        <v>-428</v>
      </c>
      <c r="Q24" s="64">
        <f t="shared" ref="Q24:AU24" si="90">SUM(Q18,Q20,Q22)</f>
        <v>-1609</v>
      </c>
      <c r="R24" s="58">
        <f t="shared" si="90"/>
        <v>-473</v>
      </c>
      <c r="S24" s="58">
        <f t="shared" si="90"/>
        <v>-456</v>
      </c>
      <c r="T24" s="58">
        <f t="shared" si="90"/>
        <v>-506</v>
      </c>
      <c r="U24" s="58">
        <f t="shared" si="90"/>
        <v>-403.70880946877514</v>
      </c>
      <c r="V24" s="57">
        <f t="shared" si="90"/>
        <v>-1838.7088094687751</v>
      </c>
      <c r="W24" s="58">
        <f t="shared" si="90"/>
        <v>-488.85091635220124</v>
      </c>
      <c r="X24" s="58">
        <f t="shared" si="90"/>
        <v>-486.46503917871894</v>
      </c>
      <c r="Y24" s="58">
        <f t="shared" si="90"/>
        <v>-442.47188320005694</v>
      </c>
      <c r="Z24" s="58">
        <f t="shared" si="90"/>
        <v>-423.88807173451426</v>
      </c>
      <c r="AA24" s="57">
        <f t="shared" si="90"/>
        <v>-1841.6759104654911</v>
      </c>
      <c r="AB24" s="58">
        <f t="shared" si="90"/>
        <v>-490.07490657993714</v>
      </c>
      <c r="AC24" s="58">
        <f t="shared" si="90"/>
        <v>-480.14954670814427</v>
      </c>
      <c r="AD24" s="58">
        <f t="shared" si="90"/>
        <v>-483.51264442834878</v>
      </c>
      <c r="AE24" s="58">
        <f t="shared" si="90"/>
        <v>-448.38989707666462</v>
      </c>
      <c r="AF24" s="57">
        <f t="shared" si="90"/>
        <v>-1902.1269947930946</v>
      </c>
      <c r="AG24" s="58">
        <f t="shared" si="90"/>
        <v>-498.82271714267392</v>
      </c>
      <c r="AH24" s="58">
        <f t="shared" si="90"/>
        <v>-492.5735795356826</v>
      </c>
      <c r="AI24" s="58">
        <f t="shared" si="90"/>
        <v>-471.7176451679843</v>
      </c>
      <c r="AJ24" s="58">
        <f t="shared" si="90"/>
        <v>-457.67255545910029</v>
      </c>
      <c r="AK24" s="57">
        <f t="shared" si="90"/>
        <v>-1920.7864973054413</v>
      </c>
      <c r="AL24" s="58">
        <f t="shared" si="90"/>
        <v>-465.46135192494444</v>
      </c>
      <c r="AM24" s="58">
        <f t="shared" si="90"/>
        <v>-495.6260262553526</v>
      </c>
      <c r="AN24" s="58">
        <f t="shared" si="90"/>
        <v>-486.79015530643312</v>
      </c>
      <c r="AO24" s="58">
        <f t="shared" si="90"/>
        <v>-461.66815909117111</v>
      </c>
      <c r="AP24" s="57">
        <f t="shared" si="90"/>
        <v>-1909.5456925779015</v>
      </c>
      <c r="AQ24" s="58">
        <f t="shared" si="90"/>
        <v>-491.47299018426844</v>
      </c>
      <c r="AR24" s="58">
        <f t="shared" si="90"/>
        <v>-503.54243621866391</v>
      </c>
      <c r="AS24" s="58">
        <f t="shared" si="90"/>
        <v>-488.37387348653243</v>
      </c>
      <c r="AT24" s="58">
        <f t="shared" si="90"/>
        <v>-468.45130054293014</v>
      </c>
      <c r="AU24" s="57">
        <f t="shared" si="90"/>
        <v>-1951.8406004323949</v>
      </c>
    </row>
    <row r="25" spans="2:47" x14ac:dyDescent="0.25">
      <c r="B25" s="31" t="s">
        <v>20</v>
      </c>
      <c r="C25" s="66">
        <f t="shared" ref="C25:F25" si="91">C16+C24</f>
        <v>1037</v>
      </c>
      <c r="D25" s="67">
        <f t="shared" si="91"/>
        <v>940</v>
      </c>
      <c r="E25" s="67">
        <f t="shared" si="91"/>
        <v>1560</v>
      </c>
      <c r="F25" s="72">
        <f t="shared" si="91"/>
        <v>760</v>
      </c>
      <c r="G25" s="72">
        <f>G16+G24</f>
        <v>4297</v>
      </c>
      <c r="H25" s="67">
        <f t="shared" ref="H25:Q25" si="92">H16+H24</f>
        <v>1067</v>
      </c>
      <c r="I25" s="67">
        <f t="shared" si="92"/>
        <v>-1157</v>
      </c>
      <c r="J25" s="67">
        <f t="shared" si="92"/>
        <v>1388</v>
      </c>
      <c r="K25" s="67">
        <f t="shared" si="92"/>
        <v>-260</v>
      </c>
      <c r="L25" s="65">
        <f t="shared" si="92"/>
        <v>1038</v>
      </c>
      <c r="M25" s="67">
        <f>M16+M24</f>
        <v>1076</v>
      </c>
      <c r="N25" s="67">
        <f t="shared" si="92"/>
        <v>784</v>
      </c>
      <c r="O25" s="67">
        <f t="shared" si="92"/>
        <v>1418</v>
      </c>
      <c r="P25" s="67">
        <f t="shared" si="92"/>
        <v>689</v>
      </c>
      <c r="Q25" s="65">
        <f t="shared" si="92"/>
        <v>3969</v>
      </c>
      <c r="R25" s="67">
        <f t="shared" ref="R25:AU25" si="93">R16+R24</f>
        <v>859</v>
      </c>
      <c r="S25" s="67">
        <f t="shared" si="93"/>
        <v>1011</v>
      </c>
      <c r="T25" s="67">
        <f t="shared" si="93"/>
        <v>1575</v>
      </c>
      <c r="U25" s="67">
        <f t="shared" si="93"/>
        <v>1551.5573618404351</v>
      </c>
      <c r="V25" s="65">
        <f t="shared" si="93"/>
        <v>3190.592061840438</v>
      </c>
      <c r="W25" s="67">
        <f t="shared" si="93"/>
        <v>1429.0432866352203</v>
      </c>
      <c r="X25" s="67">
        <f t="shared" si="93"/>
        <v>1308.5357895695588</v>
      </c>
      <c r="Y25" s="67">
        <f t="shared" si="93"/>
        <v>2018.3748366164502</v>
      </c>
      <c r="Z25" s="67">
        <f t="shared" si="93"/>
        <v>1461.4759602779045</v>
      </c>
      <c r="AA25" s="65">
        <f t="shared" si="93"/>
        <v>6217.4298730991331</v>
      </c>
      <c r="AB25" s="67">
        <f t="shared" si="93"/>
        <v>1531.4819743852433</v>
      </c>
      <c r="AC25" s="67">
        <f t="shared" si="93"/>
        <v>1522.458960649047</v>
      </c>
      <c r="AD25" s="67">
        <f t="shared" si="93"/>
        <v>2238.0633981382389</v>
      </c>
      <c r="AE25" s="67">
        <f t="shared" si="93"/>
        <v>1835.5221003348938</v>
      </c>
      <c r="AF25" s="65">
        <f t="shared" si="93"/>
        <v>7127.5264335074226</v>
      </c>
      <c r="AG25" s="67">
        <f t="shared" si="93"/>
        <v>1881.3636271627888</v>
      </c>
      <c r="AH25" s="67">
        <f t="shared" si="93"/>
        <v>1791.8404461048581</v>
      </c>
      <c r="AI25" s="67">
        <f t="shared" si="93"/>
        <v>2584.9595519704289</v>
      </c>
      <c r="AJ25" s="67">
        <f t="shared" si="93"/>
        <v>1996.3480081027337</v>
      </c>
      <c r="AK25" s="65">
        <f t="shared" si="93"/>
        <v>8254.5116333408077</v>
      </c>
      <c r="AL25" s="67">
        <f t="shared" si="93"/>
        <v>2154.2117583067075</v>
      </c>
      <c r="AM25" s="67">
        <f t="shared" si="93"/>
        <v>2042.3818072820238</v>
      </c>
      <c r="AN25" s="67">
        <f t="shared" si="93"/>
        <v>2878.5549657564616</v>
      </c>
      <c r="AO25" s="67">
        <f t="shared" si="93"/>
        <v>2287.0555106504862</v>
      </c>
      <c r="AP25" s="65">
        <f t="shared" si="93"/>
        <v>9362.2040419956738</v>
      </c>
      <c r="AQ25" s="67">
        <f t="shared" si="93"/>
        <v>2438.1611930227737</v>
      </c>
      <c r="AR25" s="67">
        <f t="shared" si="93"/>
        <v>2311.8778654286998</v>
      </c>
      <c r="AS25" s="67">
        <f t="shared" si="93"/>
        <v>3210.4583558549634</v>
      </c>
      <c r="AT25" s="67">
        <f t="shared" si="93"/>
        <v>2520.9779703093159</v>
      </c>
      <c r="AU25" s="65">
        <f t="shared" si="93"/>
        <v>10481.475384615758</v>
      </c>
    </row>
    <row r="26" spans="2:47" x14ac:dyDescent="0.25">
      <c r="B26" s="8" t="s">
        <v>37</v>
      </c>
      <c r="C26" s="68">
        <v>95</v>
      </c>
      <c r="D26" s="70">
        <v>141</v>
      </c>
      <c r="E26" s="70">
        <v>188</v>
      </c>
      <c r="F26" s="56">
        <f>G26-SUM(C26:E26)</f>
        <v>102</v>
      </c>
      <c r="G26" s="81">
        <v>526</v>
      </c>
      <c r="H26" s="70">
        <v>137</v>
      </c>
      <c r="I26" s="70">
        <v>-316</v>
      </c>
      <c r="J26" s="70">
        <v>105</v>
      </c>
      <c r="K26" s="55">
        <f>L26-SUM(H26:J26)</f>
        <v>-169</v>
      </c>
      <c r="L26" s="69">
        <v>-243</v>
      </c>
      <c r="M26" s="70">
        <v>84</v>
      </c>
      <c r="N26" s="70">
        <v>36</v>
      </c>
      <c r="O26" s="70">
        <v>90</v>
      </c>
      <c r="P26" s="70">
        <f>Q26-SUM(M26:O26)</f>
        <v>-18</v>
      </c>
      <c r="Q26" s="69">
        <v>192</v>
      </c>
      <c r="R26" s="70">
        <v>-14</v>
      </c>
      <c r="S26" s="70">
        <v>77</v>
      </c>
      <c r="T26" s="70">
        <v>128</v>
      </c>
      <c r="U26" s="14">
        <f>$U$4*U27</f>
        <v>517.6793803174603</v>
      </c>
      <c r="V26" s="69">
        <f>SUM(R26:U26)</f>
        <v>708.6793803174603</v>
      </c>
      <c r="W26" s="14">
        <f>W$4*W27</f>
        <v>591.33964190476183</v>
      </c>
      <c r="X26" s="14">
        <f>X$4*X27</f>
        <v>554.63296406349207</v>
      </c>
      <c r="Y26" s="14">
        <f t="shared" ref="Y26:Z26" si="94">Y$4*Y27</f>
        <v>660.47329523809515</v>
      </c>
      <c r="Z26" s="14">
        <f t="shared" si="94"/>
        <v>524.25390844749199</v>
      </c>
      <c r="AA26" s="69">
        <f>SUM(W26:Z26)</f>
        <v>2330.6998096538409</v>
      </c>
      <c r="AB26" s="14">
        <f>AB$4*AB27</f>
        <v>598.84965535695233</v>
      </c>
      <c r="AC26" s="14">
        <f t="shared" ref="AC26:AE26" si="95">AC$4*AC27</f>
        <v>561.67680270709832</v>
      </c>
      <c r="AD26" s="14">
        <f t="shared" si="95"/>
        <v>668.86130608761891</v>
      </c>
      <c r="AE26" s="14">
        <f t="shared" si="95"/>
        <v>530.91193308477511</v>
      </c>
      <c r="AF26" s="69">
        <f>SUM(AB26:AE26)</f>
        <v>2360.2996972364444</v>
      </c>
      <c r="AG26" s="14">
        <f>AG$4*AG27</f>
        <v>606.45504597998558</v>
      </c>
      <c r="AH26" s="14">
        <f>AH$4*AH27</f>
        <v>568.81009810147839</v>
      </c>
      <c r="AI26" s="14">
        <f>AI$4*AI27</f>
        <v>677.35584467493175</v>
      </c>
      <c r="AJ26" s="14">
        <f>AJ$4*AJ27</f>
        <v>537.65451463495162</v>
      </c>
      <c r="AK26" s="69">
        <f>SUM(AG26:AJ26)</f>
        <v>2390.2755033913472</v>
      </c>
      <c r="AL26" s="14">
        <f>AL$4*AL27</f>
        <v>614.15702506393131</v>
      </c>
      <c r="AM26" s="14">
        <f t="shared" ref="AM26:AO26" si="96">AM$4*AM27</f>
        <v>576.0339863473672</v>
      </c>
      <c r="AN26" s="14">
        <f t="shared" si="96"/>
        <v>685.9582639023032</v>
      </c>
      <c r="AO26" s="14">
        <f t="shared" si="96"/>
        <v>544.48272697081552</v>
      </c>
      <c r="AP26" s="69">
        <f>SUM(AL26:AO26)</f>
        <v>2420.6320022844175</v>
      </c>
      <c r="AQ26" s="14">
        <f>AQ$4*AQ27</f>
        <v>621.95681928224326</v>
      </c>
      <c r="AR26" s="14">
        <f t="shared" ref="AR26:AT26" si="97">AR$4*AR27</f>
        <v>583.34961797397875</v>
      </c>
      <c r="AS26" s="14">
        <f t="shared" si="97"/>
        <v>694.6699338538624</v>
      </c>
      <c r="AT26" s="14">
        <f t="shared" si="97"/>
        <v>551.3976576033449</v>
      </c>
      <c r="AU26" s="69">
        <f>SUM(AQ26:AT26)</f>
        <v>2451.3740287134297</v>
      </c>
    </row>
    <row r="27" spans="2:47" s="17" customFormat="1" x14ac:dyDescent="0.25">
      <c r="B27" s="47" t="s">
        <v>38</v>
      </c>
      <c r="C27" s="51">
        <f t="shared" ref="C27:F27" si="98">C26/C25</f>
        <v>9.1610414657666339E-2</v>
      </c>
      <c r="D27" s="17">
        <f t="shared" si="98"/>
        <v>0.15</v>
      </c>
      <c r="E27" s="17">
        <f t="shared" si="98"/>
        <v>0.12051282051282051</v>
      </c>
      <c r="F27" s="46">
        <f t="shared" si="98"/>
        <v>0.13421052631578947</v>
      </c>
      <c r="G27" s="82">
        <f>G26/G25</f>
        <v>0.12241098440772633</v>
      </c>
      <c r="H27" s="17">
        <f t="shared" ref="H27:Q27" si="99">H26/H25</f>
        <v>0.12839737582005623</v>
      </c>
      <c r="I27" s="17">
        <f t="shared" si="99"/>
        <v>0.27312013828867759</v>
      </c>
      <c r="J27" s="17">
        <f t="shared" si="99"/>
        <v>7.5648414985590773E-2</v>
      </c>
      <c r="K27" s="17">
        <f t="shared" si="99"/>
        <v>0.65</v>
      </c>
      <c r="L27" s="39">
        <f t="shared" si="99"/>
        <v>-0.23410404624277456</v>
      </c>
      <c r="M27" s="17">
        <f t="shared" si="99"/>
        <v>7.8066914498141265E-2</v>
      </c>
      <c r="N27" s="17">
        <f t="shared" si="99"/>
        <v>4.5918367346938778E-2</v>
      </c>
      <c r="O27" s="17">
        <f t="shared" si="99"/>
        <v>6.3469675599435824E-2</v>
      </c>
      <c r="P27" s="17">
        <f t="shared" si="99"/>
        <v>-2.6124818577648767E-2</v>
      </c>
      <c r="Q27" s="39">
        <f t="shared" si="99"/>
        <v>4.8374905517762662E-2</v>
      </c>
      <c r="R27" s="17">
        <f t="shared" ref="R27:T27" si="100">R26/R25</f>
        <v>-1.6298020954598369E-2</v>
      </c>
      <c r="S27" s="17">
        <f t="shared" si="100"/>
        <v>7.6162215628091001E-2</v>
      </c>
      <c r="T27" s="17">
        <f t="shared" si="100"/>
        <v>8.126984126984127E-2</v>
      </c>
      <c r="U27" s="266">
        <f>WACC!$C$4</f>
        <v>8.126984126984127E-2</v>
      </c>
      <c r="V27" s="82">
        <f>V26/V$4</f>
        <v>2.671346748222074E-2</v>
      </c>
      <c r="W27" s="17">
        <f>WACC!$C$4</f>
        <v>8.126984126984127E-2</v>
      </c>
      <c r="X27" s="17">
        <f>WACC!$C$4</f>
        <v>8.126984126984127E-2</v>
      </c>
      <c r="Y27" s="17">
        <f>WACC!$C$4</f>
        <v>8.126984126984127E-2</v>
      </c>
      <c r="Z27" s="17">
        <f>WACC!$C$4</f>
        <v>8.126984126984127E-2</v>
      </c>
      <c r="AA27" s="39">
        <f>AA26/AA$4</f>
        <v>8.126984126984127E-2</v>
      </c>
      <c r="AB27" s="17">
        <f>WACC!$C$4</f>
        <v>8.126984126984127E-2</v>
      </c>
      <c r="AC27" s="17">
        <f>WACC!$C$4</f>
        <v>8.126984126984127E-2</v>
      </c>
      <c r="AD27" s="17">
        <v>8.126984126984127E-2</v>
      </c>
      <c r="AE27" s="17">
        <f>WACC!$C$4</f>
        <v>8.126984126984127E-2</v>
      </c>
      <c r="AF27" s="39">
        <f>AF26/AF$4</f>
        <v>8.1269841269841256E-2</v>
      </c>
      <c r="AG27" s="17">
        <f>WACC!$C$4</f>
        <v>8.126984126984127E-2</v>
      </c>
      <c r="AH27" s="17">
        <f>WACC!$C$4</f>
        <v>8.126984126984127E-2</v>
      </c>
      <c r="AI27" s="17">
        <v>8.126984126984127E-2</v>
      </c>
      <c r="AJ27" s="17">
        <f>WACC!$C$4</f>
        <v>8.126984126984127E-2</v>
      </c>
      <c r="AK27" s="39">
        <f>AK26/AK$4</f>
        <v>8.126984126984127E-2</v>
      </c>
      <c r="AL27" s="17">
        <f>WACC!$C$4</f>
        <v>8.126984126984127E-2</v>
      </c>
      <c r="AM27" s="17">
        <f>WACC!$C$4</f>
        <v>8.126984126984127E-2</v>
      </c>
      <c r="AN27" s="17">
        <v>8.126984126984127E-2</v>
      </c>
      <c r="AO27" s="17">
        <f>WACC!$C$4</f>
        <v>8.126984126984127E-2</v>
      </c>
      <c r="AP27" s="39">
        <f>AP26/AP$4</f>
        <v>8.1269841269841284E-2</v>
      </c>
      <c r="AQ27" s="17">
        <f>WACC!$C$4</f>
        <v>8.126984126984127E-2</v>
      </c>
      <c r="AR27" s="17">
        <f>WACC!$C$4</f>
        <v>8.126984126984127E-2</v>
      </c>
      <c r="AS27" s="17">
        <v>8.126984126984127E-2</v>
      </c>
      <c r="AT27" s="17">
        <f>WACC!$C$4</f>
        <v>8.126984126984127E-2</v>
      </c>
      <c r="AU27" s="39">
        <f>AU26/AU$4</f>
        <v>8.1269841269841284E-2</v>
      </c>
    </row>
    <row r="28" spans="2:47" x14ac:dyDescent="0.25">
      <c r="B28" s="31" t="s">
        <v>15</v>
      </c>
      <c r="C28" s="50">
        <f t="shared" ref="C28:E28" si="101">C25-C26</f>
        <v>942</v>
      </c>
      <c r="D28" s="33">
        <f t="shared" si="101"/>
        <v>799</v>
      </c>
      <c r="E28" s="33">
        <f t="shared" si="101"/>
        <v>1372</v>
      </c>
      <c r="F28" s="45">
        <f t="shared" ref="F28:Q28" si="102">F25-F26</f>
        <v>658</v>
      </c>
      <c r="G28" s="45">
        <f t="shared" si="102"/>
        <v>3771</v>
      </c>
      <c r="H28" s="33">
        <f t="shared" si="102"/>
        <v>930</v>
      </c>
      <c r="I28" s="33">
        <f t="shared" si="102"/>
        <v>-841</v>
      </c>
      <c r="J28" s="33">
        <f t="shared" si="102"/>
        <v>1283</v>
      </c>
      <c r="K28" s="33">
        <f t="shared" si="102"/>
        <v>-91</v>
      </c>
      <c r="L28" s="32">
        <f t="shared" si="102"/>
        <v>1281</v>
      </c>
      <c r="M28" s="33">
        <f t="shared" si="102"/>
        <v>992</v>
      </c>
      <c r="N28" s="33">
        <f t="shared" si="102"/>
        <v>748</v>
      </c>
      <c r="O28" s="33">
        <f t="shared" si="102"/>
        <v>1328</v>
      </c>
      <c r="P28" s="33">
        <f t="shared" si="102"/>
        <v>707</v>
      </c>
      <c r="Q28" s="32">
        <f t="shared" si="102"/>
        <v>3777</v>
      </c>
      <c r="R28" s="33">
        <f t="shared" ref="R28:AU28" si="103">R25-R26</f>
        <v>873</v>
      </c>
      <c r="S28" s="33">
        <f t="shared" si="103"/>
        <v>934</v>
      </c>
      <c r="T28" s="33">
        <f t="shared" si="103"/>
        <v>1447</v>
      </c>
      <c r="U28" s="45">
        <f t="shared" si="103"/>
        <v>1033.8779815229748</v>
      </c>
      <c r="V28" s="32">
        <f t="shared" si="103"/>
        <v>2481.9126815229774</v>
      </c>
      <c r="W28" s="33">
        <f t="shared" si="103"/>
        <v>837.70364473045845</v>
      </c>
      <c r="X28" s="33">
        <f t="shared" si="103"/>
        <v>753.90282550606673</v>
      </c>
      <c r="Y28" s="33">
        <f t="shared" si="103"/>
        <v>1357.901541378355</v>
      </c>
      <c r="Z28" s="33">
        <f t="shared" si="103"/>
        <v>937.22205183041251</v>
      </c>
      <c r="AA28" s="32">
        <f t="shared" si="103"/>
        <v>3886.7300634452922</v>
      </c>
      <c r="AB28" s="33">
        <f t="shared" si="103"/>
        <v>932.63231902829102</v>
      </c>
      <c r="AC28" s="33">
        <f t="shared" si="103"/>
        <v>960.78215794194864</v>
      </c>
      <c r="AD28" s="33">
        <f t="shared" si="103"/>
        <v>1569.20209205062</v>
      </c>
      <c r="AE28" s="33">
        <f t="shared" si="103"/>
        <v>1304.6101672501186</v>
      </c>
      <c r="AF28" s="32">
        <f t="shared" si="103"/>
        <v>4767.2267362709781</v>
      </c>
      <c r="AG28" s="33">
        <f t="shared" si="103"/>
        <v>1274.9085811828031</v>
      </c>
      <c r="AH28" s="33">
        <f t="shared" si="103"/>
        <v>1223.0303480033797</v>
      </c>
      <c r="AI28" s="33">
        <f t="shared" si="103"/>
        <v>1907.6037072954973</v>
      </c>
      <c r="AJ28" s="33">
        <f t="shared" si="103"/>
        <v>1458.693493467782</v>
      </c>
      <c r="AK28" s="32">
        <f t="shared" si="103"/>
        <v>5864.2361299494605</v>
      </c>
      <c r="AL28" s="33">
        <f t="shared" si="103"/>
        <v>1540.0547332427761</v>
      </c>
      <c r="AM28" s="33">
        <f t="shared" si="103"/>
        <v>1466.3478209346567</v>
      </c>
      <c r="AN28" s="33">
        <f t="shared" si="103"/>
        <v>2192.5967018541583</v>
      </c>
      <c r="AO28" s="33">
        <f t="shared" si="103"/>
        <v>1742.5727836796707</v>
      </c>
      <c r="AP28" s="32">
        <f t="shared" si="103"/>
        <v>6941.5720397112564</v>
      </c>
      <c r="AQ28" s="33">
        <f t="shared" si="103"/>
        <v>1816.2043737405304</v>
      </c>
      <c r="AR28" s="33">
        <f t="shared" si="103"/>
        <v>1728.5282474547212</v>
      </c>
      <c r="AS28" s="33">
        <f t="shared" si="103"/>
        <v>2515.788422001101</v>
      </c>
      <c r="AT28" s="33">
        <f t="shared" si="103"/>
        <v>1969.580312705971</v>
      </c>
      <c r="AU28" s="32">
        <f t="shared" si="103"/>
        <v>8030.1013559023286</v>
      </c>
    </row>
    <row r="29" spans="2:47" x14ac:dyDescent="0.25">
      <c r="B29" s="21" t="s">
        <v>39</v>
      </c>
      <c r="C29" s="53">
        <v>48</v>
      </c>
      <c r="D29" s="80">
        <v>84</v>
      </c>
      <c r="E29" s="80">
        <v>19</v>
      </c>
      <c r="F29" s="89">
        <f>G29-SUM(C29:E29)</f>
        <v>26</v>
      </c>
      <c r="G29" s="76">
        <v>177</v>
      </c>
      <c r="H29" s="58">
        <v>48</v>
      </c>
      <c r="I29" s="58">
        <v>90</v>
      </c>
      <c r="J29" s="58">
        <v>70</v>
      </c>
      <c r="K29" s="71">
        <f>L29-SUM(H29:J29)</f>
        <v>87</v>
      </c>
      <c r="L29" s="57">
        <v>295</v>
      </c>
      <c r="M29" s="58">
        <v>51</v>
      </c>
      <c r="N29" s="58">
        <v>67</v>
      </c>
      <c r="O29" s="58">
        <v>129</v>
      </c>
      <c r="P29" s="58">
        <f>Q29-SUM(M29:O29)</f>
        <v>82</v>
      </c>
      <c r="Q29" s="57">
        <v>329</v>
      </c>
      <c r="R29" s="58">
        <v>37</v>
      </c>
      <c r="S29" s="58">
        <v>27</v>
      </c>
      <c r="T29" s="58">
        <v>9</v>
      </c>
      <c r="U29" s="14">
        <f>U$4*U30</f>
        <v>89.000122635366694</v>
      </c>
      <c r="V29" s="69">
        <f>SUM(R29:U29)</f>
        <v>162.00012263536669</v>
      </c>
      <c r="W29" s="14">
        <f>W$4*W30</f>
        <v>48.656633962264145</v>
      </c>
      <c r="X29" s="14">
        <f>X$4*X30</f>
        <v>53.035018793044081</v>
      </c>
      <c r="Y29" s="14">
        <f>Y$4*Y30</f>
        <v>79.408810538340688</v>
      </c>
      <c r="Z29" s="14">
        <f>Z$4*Z30</f>
        <v>87.113224986417919</v>
      </c>
      <c r="AA29" s="69">
        <f>SUM(W29:Z29)</f>
        <v>268.21368828006683</v>
      </c>
      <c r="AB29" s="14">
        <f>AB$4*AB30</f>
        <v>43.610170471792443</v>
      </c>
      <c r="AC29" s="14">
        <f>AC$4*AC30</f>
        <v>40.699359180857869</v>
      </c>
      <c r="AD29" s="14">
        <f>AD$4*AD30</f>
        <v>44.823677021088805</v>
      </c>
      <c r="AE29" s="14">
        <f>AE$4*AE30</f>
        <v>89.747321761915131</v>
      </c>
      <c r="AF29" s="69">
        <f>SUM(AB29:AE29)</f>
        <v>218.88052843565424</v>
      </c>
      <c r="AG29" s="14">
        <f>AG$4*AG30</f>
        <v>47.032189965090815</v>
      </c>
      <c r="AH29" s="14">
        <f>AH$4*AH30</f>
        <v>47.803451665511638</v>
      </c>
      <c r="AI29" s="14">
        <f>AI$4*AI30</f>
        <v>63.415769946161461</v>
      </c>
      <c r="AJ29" s="14">
        <f>AJ$4*AJ30</f>
        <v>90.113532070711202</v>
      </c>
      <c r="AK29" s="69">
        <f>SUM(AG29:AJ29)</f>
        <v>248.36494364747512</v>
      </c>
      <c r="AL29" s="14">
        <f>AL$4*AL30</f>
        <v>46.177200731909409</v>
      </c>
      <c r="AM29" s="14">
        <f>AM$4*AM30</f>
        <v>45.075121402678782</v>
      </c>
      <c r="AN29" s="14">
        <f>AN$4*AN30</f>
        <v>55.095289126384444</v>
      </c>
      <c r="AO29" s="14">
        <f>AO$4*AO30</f>
        <v>91.649676504101976</v>
      </c>
      <c r="AP29" s="69">
        <f>SUM(AL29:AO29)</f>
        <v>237.99728776507459</v>
      </c>
      <c r="AQ29" s="14">
        <f>AQ$4*AQ30</f>
        <v>47.499022296664116</v>
      </c>
      <c r="AR29" s="14">
        <f>AR$4*AR30</f>
        <v>47.336472500513779</v>
      </c>
      <c r="AS29" s="14">
        <f>AS$4*AS30</f>
        <v>60.415879065309035</v>
      </c>
      <c r="AT29" s="14">
        <f>AT$4*AT30</f>
        <v>92.615288796299509</v>
      </c>
      <c r="AU29" s="69">
        <f>SUM(AQ29:AT29)</f>
        <v>247.86666265878642</v>
      </c>
    </row>
    <row r="30" spans="2:47" s="17" customFormat="1" x14ac:dyDescent="0.25">
      <c r="B30" s="22" t="s">
        <v>28</v>
      </c>
      <c r="C30" s="180"/>
      <c r="D30" s="181"/>
      <c r="E30" s="181"/>
      <c r="F30" s="182"/>
      <c r="G30" s="77"/>
      <c r="H30" s="25">
        <f>H29/H4</f>
        <v>8.0146936049423946E-3</v>
      </c>
      <c r="I30" s="25">
        <f t="shared" ref="I30:K30" si="104">I29/I4</f>
        <v>1.6447368421052631E-2</v>
      </c>
      <c r="J30" s="25">
        <f t="shared" si="104"/>
        <v>1.03397341211226E-2</v>
      </c>
      <c r="K30" s="25">
        <f t="shared" si="104"/>
        <v>1.4907470870459219E-2</v>
      </c>
      <c r="L30" s="37">
        <f>L29/L4</f>
        <v>1.2257447957784518E-2</v>
      </c>
      <c r="M30" s="25">
        <f>M29/M4</f>
        <v>8.2244799225931302E-3</v>
      </c>
      <c r="N30" s="25">
        <f t="shared" ref="N30" si="105">N29/N4</f>
        <v>1.1535812672176309E-2</v>
      </c>
      <c r="O30" s="25">
        <f t="shared" ref="O30" si="106">O29/O4</f>
        <v>1.842067685277738E-2</v>
      </c>
      <c r="P30" s="25">
        <f t="shared" ref="P30" si="107">P29/P4</f>
        <v>1.3036565977742448E-2</v>
      </c>
      <c r="Q30" s="37">
        <f>Q29/Q4</f>
        <v>1.3002924669986562E-2</v>
      </c>
      <c r="R30" s="25">
        <f>R29/R4</f>
        <v>5.1496172581767573E-3</v>
      </c>
      <c r="S30" s="25">
        <f t="shared" ref="S30" si="108">S29/S4</f>
        <v>4.0065291586288765E-3</v>
      </c>
      <c r="T30" s="25">
        <f t="shared" ref="T30" si="109">T29/T4</f>
        <v>1.1214953271028037E-3</v>
      </c>
      <c r="U30" s="17">
        <f t="shared" ref="U30:AU30" si="110">AVERAGE(K30,P30)</f>
        <v>1.3972018424100834E-2</v>
      </c>
      <c r="V30" s="39">
        <f t="shared" si="110"/>
        <v>1.2630186313885541E-2</v>
      </c>
      <c r="W30" s="17">
        <f t="shared" si="110"/>
        <v>6.6870485903849433E-3</v>
      </c>
      <c r="X30" s="17">
        <f t="shared" si="110"/>
        <v>7.7711709154025931E-3</v>
      </c>
      <c r="Y30" s="17">
        <f t="shared" si="110"/>
        <v>9.7710860899400918E-3</v>
      </c>
      <c r="Z30" s="17">
        <f t="shared" si="110"/>
        <v>1.3504292200921642E-2</v>
      </c>
      <c r="AA30" s="39">
        <f t="shared" si="110"/>
        <v>1.2816555491936051E-2</v>
      </c>
      <c r="AB30" s="17">
        <f t="shared" si="110"/>
        <v>5.9183329242808499E-3</v>
      </c>
      <c r="AC30" s="17">
        <f t="shared" si="110"/>
        <v>5.8888500370157353E-3</v>
      </c>
      <c r="AD30" s="17">
        <f t="shared" si="110"/>
        <v>5.4462907085214476E-3</v>
      </c>
      <c r="AE30" s="17">
        <f t="shared" si="110"/>
        <v>1.3738155312511238E-2</v>
      </c>
      <c r="AF30" s="39">
        <f t="shared" si="110"/>
        <v>1.2723370902910796E-2</v>
      </c>
      <c r="AG30" s="17">
        <f t="shared" si="110"/>
        <v>6.3026907573328966E-3</v>
      </c>
      <c r="AH30" s="17">
        <f t="shared" si="110"/>
        <v>6.8300104762091642E-3</v>
      </c>
      <c r="AI30" s="17">
        <f t="shared" si="110"/>
        <v>7.6086883992307697E-3</v>
      </c>
      <c r="AJ30" s="17">
        <f t="shared" si="110"/>
        <v>1.362122375671644E-2</v>
      </c>
      <c r="AK30" s="39">
        <f t="shared" si="110"/>
        <v>1.2769963197423424E-2</v>
      </c>
      <c r="AL30" s="17">
        <f t="shared" si="110"/>
        <v>6.1105118408068728E-3</v>
      </c>
      <c r="AM30" s="17">
        <f t="shared" si="110"/>
        <v>6.3594302566124493E-3</v>
      </c>
      <c r="AN30" s="17">
        <f t="shared" si="110"/>
        <v>6.5274895538761091E-3</v>
      </c>
      <c r="AO30" s="17">
        <f t="shared" si="110"/>
        <v>1.3679689534613838E-2</v>
      </c>
      <c r="AP30" s="39">
        <f t="shared" si="110"/>
        <v>1.274666705016711E-2</v>
      </c>
      <c r="AQ30" s="17">
        <f t="shared" si="110"/>
        <v>6.2066012990698843E-3</v>
      </c>
      <c r="AR30" s="17">
        <f t="shared" si="110"/>
        <v>6.5947203664108063E-3</v>
      </c>
      <c r="AS30" s="17">
        <f t="shared" si="110"/>
        <v>7.068088976553439E-3</v>
      </c>
      <c r="AT30" s="17">
        <f t="shared" si="110"/>
        <v>1.3650456645665138E-2</v>
      </c>
      <c r="AU30" s="39">
        <f t="shared" si="110"/>
        <v>1.2758315123795267E-2</v>
      </c>
    </row>
    <row r="31" spans="2:47" x14ac:dyDescent="0.25">
      <c r="B31" s="21" t="s">
        <v>40</v>
      </c>
      <c r="C31" s="53">
        <v>39</v>
      </c>
      <c r="D31" s="80">
        <v>12</v>
      </c>
      <c r="E31" s="80">
        <v>15</v>
      </c>
      <c r="F31" s="59">
        <f>G31-SUM(C31:E31)</f>
        <v>-25</v>
      </c>
      <c r="G31" s="76">
        <v>41</v>
      </c>
      <c r="H31" s="58">
        <v>39</v>
      </c>
      <c r="I31" s="58">
        <v>15</v>
      </c>
      <c r="J31" s="58">
        <v>39</v>
      </c>
      <c r="K31" s="58">
        <f>L31-SUM(H31:J31)</f>
        <v>14</v>
      </c>
      <c r="L31" s="57">
        <v>107</v>
      </c>
      <c r="M31" s="58">
        <v>39</v>
      </c>
      <c r="N31" s="58">
        <v>14</v>
      </c>
      <c r="O31" s="58">
        <v>39</v>
      </c>
      <c r="P31" s="58">
        <f>Q31-SUM(M31:O31)</f>
        <v>14</v>
      </c>
      <c r="Q31" s="57">
        <v>106</v>
      </c>
      <c r="R31" s="58">
        <v>39</v>
      </c>
      <c r="S31" s="58">
        <v>14</v>
      </c>
      <c r="T31" s="58">
        <v>39</v>
      </c>
      <c r="U31" s="14">
        <f>U$4*U32</f>
        <v>26.434536291289884</v>
      </c>
      <c r="V31" s="69">
        <f>SUM(R31:U31)</f>
        <v>118.43453629128989</v>
      </c>
      <c r="W31" s="14">
        <f>W$4*W32</f>
        <v>81.583898930121379</v>
      </c>
      <c r="X31" s="14">
        <f>X$4*X32</f>
        <v>29.691050068870521</v>
      </c>
      <c r="Y31" s="14">
        <f>Y$4*Y32</f>
        <v>83.881153738567804</v>
      </c>
      <c r="Z31" s="14">
        <f>Z$4*Z32</f>
        <v>26.101394305135742</v>
      </c>
      <c r="AA31" s="69">
        <f>SUM(W31:Z31)</f>
        <v>221.25749704269543</v>
      </c>
      <c r="AB31" s="14">
        <f>AB$4*AB32</f>
        <v>77.890666194416397</v>
      </c>
      <c r="AC31" s="14">
        <f>AC$4*AC32</f>
        <v>28.442822274758953</v>
      </c>
      <c r="AD31" s="14">
        <f>AD$4*AD32</f>
        <v>80.575672900384916</v>
      </c>
      <c r="AE31" s="14">
        <f>AE$4*AE32</f>
        <v>26.771559576129015</v>
      </c>
      <c r="AF31" s="69">
        <f>SUM(AB31:AE31)</f>
        <v>213.68072094568927</v>
      </c>
      <c r="AG31" s="14">
        <f>AG$4*AG32</f>
        <v>81.274583142545183</v>
      </c>
      <c r="AH31" s="14">
        <f>AH$4*AH32</f>
        <v>29.627018863866912</v>
      </c>
      <c r="AI31" s="14">
        <f>AI$4*AI32</f>
        <v>83.812124090516861</v>
      </c>
      <c r="AJ31" s="14">
        <f>AJ$4*AJ32</f>
        <v>26.940068998559752</v>
      </c>
      <c r="AK31" s="69">
        <f>SUM(AG31:AJ31)</f>
        <v>221.6537950954887</v>
      </c>
      <c r="AL31" s="14">
        <f>AL$4*AL32</f>
        <v>81.094211224880283</v>
      </c>
      <c r="AM31" s="14">
        <f>AM$4*AM32</f>
        <v>29.586569753390272</v>
      </c>
      <c r="AN31" s="14">
        <f>AN$4*AN32</f>
        <v>83.755914554401585</v>
      </c>
      <c r="AO31" s="14">
        <f>AO$4*AO32</f>
        <v>27.369041524524086</v>
      </c>
      <c r="AP31" s="69">
        <f>SUM(AL31:AO31)</f>
        <v>221.80573705719621</v>
      </c>
      <c r="AQ31" s="14">
        <f>AQ$4*AQ32</f>
        <v>82.738087019658565</v>
      </c>
      <c r="AR31" s="14">
        <f>AR$4*AR32</f>
        <v>30.173321437070005</v>
      </c>
      <c r="AS31" s="14">
        <f>AS$4*AS32</f>
        <v>85.387042384576503</v>
      </c>
      <c r="AT31" s="14">
        <f>AT$4*AT32</f>
        <v>27.672660133368744</v>
      </c>
      <c r="AU31" s="69">
        <f>SUM(AQ31:AT31)</f>
        <v>225.97111097467379</v>
      </c>
    </row>
    <row r="32" spans="2:47" s="17" customFormat="1" x14ac:dyDescent="0.25">
      <c r="B32" s="22" t="s">
        <v>28</v>
      </c>
      <c r="C32" s="180"/>
      <c r="D32" s="181"/>
      <c r="E32" s="181"/>
      <c r="F32" s="44"/>
      <c r="G32" s="77"/>
      <c r="H32" s="25">
        <f>H31/H6</f>
        <v>1.3065326633165829E-2</v>
      </c>
      <c r="I32" s="25">
        <f t="shared" ref="I32" si="111">I31/I6</f>
        <v>5.4328141977544372E-3</v>
      </c>
      <c r="J32" s="25">
        <f t="shared" ref="J32" si="112">J31/J6</f>
        <v>1.1676646706586826E-2</v>
      </c>
      <c r="K32" s="25">
        <f t="shared" ref="K32" si="113">K31/K6</f>
        <v>4.3572984749455342E-3</v>
      </c>
      <c r="L32" s="37">
        <f>L31/L6</f>
        <v>8.6998943003496216E-3</v>
      </c>
      <c r="M32" s="25">
        <f>M31/M6</f>
        <v>1.2495994873438001E-2</v>
      </c>
      <c r="N32" s="25">
        <f t="shared" ref="N32" si="114">N31/N6</f>
        <v>4.8209366391184574E-3</v>
      </c>
      <c r="O32" s="25">
        <f t="shared" ref="O32" si="115">O31/O6</f>
        <v>1.138353765323993E-2</v>
      </c>
      <c r="P32" s="25">
        <f t="shared" ref="P32" si="116">P31/P6</f>
        <v>3.942551393973529E-3</v>
      </c>
      <c r="Q32" s="37">
        <f>Q31/Q6</f>
        <v>8.152591908937086E-3</v>
      </c>
      <c r="R32" s="25">
        <f>R31/R6</f>
        <v>9.9287169042769855E-3</v>
      </c>
      <c r="S32" s="25">
        <f t="shared" ref="S32" si="117">S31/S6</f>
        <v>3.8802660753880268E-3</v>
      </c>
      <c r="T32" s="25">
        <f t="shared" ref="T32" si="118">T31/T6</f>
        <v>9.2592592592592587E-3</v>
      </c>
      <c r="U32" s="17">
        <f t="shared" ref="U32:AU32" si="119">AVERAGE(K32,P32)</f>
        <v>4.1499249344595316E-3</v>
      </c>
      <c r="V32" s="39">
        <f t="shared" si="119"/>
        <v>8.4262431046433529E-3</v>
      </c>
      <c r="W32" s="17">
        <f t="shared" si="119"/>
        <v>1.1212355888857493E-2</v>
      </c>
      <c r="X32" s="17">
        <f t="shared" si="119"/>
        <v>4.3506013572532417E-3</v>
      </c>
      <c r="Y32" s="17">
        <f t="shared" si="119"/>
        <v>1.0321398456249594E-2</v>
      </c>
      <c r="Z32" s="17">
        <f t="shared" si="119"/>
        <v>4.0462381642165299E-3</v>
      </c>
      <c r="AA32" s="39">
        <f t="shared" si="119"/>
        <v>8.2894175067902195E-3</v>
      </c>
      <c r="AB32" s="17">
        <f t="shared" si="119"/>
        <v>1.0570536396567239E-2</v>
      </c>
      <c r="AC32" s="17">
        <f t="shared" si="119"/>
        <v>4.1154337163206347E-3</v>
      </c>
      <c r="AD32" s="17">
        <f t="shared" si="119"/>
        <v>9.7903288577544274E-3</v>
      </c>
      <c r="AE32" s="17">
        <f t="shared" si="119"/>
        <v>4.0980815493380307E-3</v>
      </c>
      <c r="AF32" s="39">
        <f t="shared" si="119"/>
        <v>8.3578303057167853E-3</v>
      </c>
      <c r="AG32" s="17">
        <f t="shared" si="119"/>
        <v>1.0891446142712365E-2</v>
      </c>
      <c r="AH32" s="17">
        <f t="shared" si="119"/>
        <v>4.2330175367869382E-3</v>
      </c>
      <c r="AI32" s="17">
        <f t="shared" si="119"/>
        <v>1.005586365700201E-2</v>
      </c>
      <c r="AJ32" s="17">
        <f t="shared" si="119"/>
        <v>4.0721598567772799E-3</v>
      </c>
      <c r="AK32" s="39">
        <f t="shared" si="119"/>
        <v>8.3236239062535015E-3</v>
      </c>
      <c r="AL32" s="17">
        <f t="shared" si="119"/>
        <v>1.0730991269639802E-2</v>
      </c>
      <c r="AM32" s="17">
        <f t="shared" si="119"/>
        <v>4.1742256265537864E-3</v>
      </c>
      <c r="AN32" s="17">
        <f t="shared" si="119"/>
        <v>9.9230962573782187E-3</v>
      </c>
      <c r="AO32" s="17">
        <f t="shared" si="119"/>
        <v>4.0851207030576549E-3</v>
      </c>
      <c r="AP32" s="39">
        <f t="shared" si="119"/>
        <v>8.3407271059851434E-3</v>
      </c>
      <c r="AQ32" s="17">
        <f t="shared" si="119"/>
        <v>1.0811218706176084E-2</v>
      </c>
      <c r="AR32" s="17">
        <f t="shared" si="119"/>
        <v>4.2036215816703623E-3</v>
      </c>
      <c r="AS32" s="17">
        <f t="shared" si="119"/>
        <v>9.9894799571901144E-3</v>
      </c>
      <c r="AT32" s="17">
        <f t="shared" si="119"/>
        <v>4.0786402799174674E-3</v>
      </c>
      <c r="AU32" s="39">
        <f t="shared" si="119"/>
        <v>8.3321755061193225E-3</v>
      </c>
    </row>
    <row r="33" spans="2:47" s="16" customFormat="1" x14ac:dyDescent="0.25">
      <c r="B33" s="31" t="s">
        <v>16</v>
      </c>
      <c r="C33" s="66">
        <f t="shared" ref="C33:D33" si="120">C28+C29-C31</f>
        <v>951</v>
      </c>
      <c r="D33" s="67">
        <f t="shared" si="120"/>
        <v>871</v>
      </c>
      <c r="E33" s="67">
        <f>E28+E29-E31</f>
        <v>1376</v>
      </c>
      <c r="F33" s="72">
        <f t="shared" ref="F33:Q33" si="121">F28+F29-F31</f>
        <v>709</v>
      </c>
      <c r="G33" s="72">
        <f>G28+G29-G31</f>
        <v>3907</v>
      </c>
      <c r="H33" s="67">
        <f t="shared" si="121"/>
        <v>939</v>
      </c>
      <c r="I33" s="67">
        <f t="shared" si="121"/>
        <v>-766</v>
      </c>
      <c r="J33" s="67">
        <f t="shared" si="121"/>
        <v>1314</v>
      </c>
      <c r="K33" s="67">
        <f t="shared" si="121"/>
        <v>-18</v>
      </c>
      <c r="L33" s="65">
        <f t="shared" si="121"/>
        <v>1469</v>
      </c>
      <c r="M33" s="67">
        <f t="shared" si="121"/>
        <v>1004</v>
      </c>
      <c r="N33" s="67">
        <f t="shared" si="121"/>
        <v>801</v>
      </c>
      <c r="O33" s="67">
        <f t="shared" si="121"/>
        <v>1418</v>
      </c>
      <c r="P33" s="67">
        <f t="shared" si="121"/>
        <v>775</v>
      </c>
      <c r="Q33" s="65">
        <f t="shared" si="121"/>
        <v>4000</v>
      </c>
      <c r="R33" s="67">
        <f t="shared" ref="R33:AU33" si="122">R28+R29-R31</f>
        <v>871</v>
      </c>
      <c r="S33" s="67">
        <f t="shared" si="122"/>
        <v>947</v>
      </c>
      <c r="T33" s="67">
        <f t="shared" si="122"/>
        <v>1417</v>
      </c>
      <c r="U33" s="67">
        <f>U28+U29-U31</f>
        <v>1096.4435678670516</v>
      </c>
      <c r="V33" s="65">
        <f t="shared" si="122"/>
        <v>2525.478267867054</v>
      </c>
      <c r="W33" s="67">
        <f t="shared" si="122"/>
        <v>804.77637976260121</v>
      </c>
      <c r="X33" s="67">
        <f t="shared" si="122"/>
        <v>777.24679423024031</v>
      </c>
      <c r="Y33" s="67">
        <f t="shared" si="122"/>
        <v>1353.429198178128</v>
      </c>
      <c r="Z33" s="67">
        <f t="shared" si="122"/>
        <v>998.23388251169467</v>
      </c>
      <c r="AA33" s="65">
        <f t="shared" si="122"/>
        <v>3933.6862546826637</v>
      </c>
      <c r="AB33" s="67">
        <f t="shared" si="122"/>
        <v>898.35182330566704</v>
      </c>
      <c r="AC33" s="67">
        <f t="shared" si="122"/>
        <v>973.0386948480475</v>
      </c>
      <c r="AD33" s="67">
        <f t="shared" si="122"/>
        <v>1533.4500961713238</v>
      </c>
      <c r="AE33" s="67">
        <f t="shared" si="122"/>
        <v>1367.5859294359047</v>
      </c>
      <c r="AF33" s="65">
        <f>AF28+AF29-AF31</f>
        <v>4772.4265437609429</v>
      </c>
      <c r="AG33" s="67">
        <f t="shared" si="122"/>
        <v>1240.6661880053487</v>
      </c>
      <c r="AH33" s="67">
        <f t="shared" si="122"/>
        <v>1241.2067808050244</v>
      </c>
      <c r="AI33" s="67">
        <f t="shared" si="122"/>
        <v>1887.2073531511419</v>
      </c>
      <c r="AJ33" s="67">
        <f t="shared" si="122"/>
        <v>1521.8669565399334</v>
      </c>
      <c r="AK33" s="65">
        <f t="shared" si="122"/>
        <v>5890.9472785014468</v>
      </c>
      <c r="AL33" s="67">
        <f t="shared" si="122"/>
        <v>1505.1377227498051</v>
      </c>
      <c r="AM33" s="67">
        <f t="shared" si="122"/>
        <v>1481.8363725839454</v>
      </c>
      <c r="AN33" s="67">
        <f t="shared" si="122"/>
        <v>2163.9360764261414</v>
      </c>
      <c r="AO33" s="67">
        <f t="shared" si="122"/>
        <v>1806.8534186592485</v>
      </c>
      <c r="AP33" s="65">
        <f t="shared" si="122"/>
        <v>6957.7635904191347</v>
      </c>
      <c r="AQ33" s="67">
        <f t="shared" si="122"/>
        <v>1780.9653090175361</v>
      </c>
      <c r="AR33" s="67">
        <f t="shared" si="122"/>
        <v>1745.691398518165</v>
      </c>
      <c r="AS33" s="67">
        <f t="shared" si="122"/>
        <v>2490.8172586818337</v>
      </c>
      <c r="AT33" s="67">
        <f t="shared" si="122"/>
        <v>2034.5229413689019</v>
      </c>
      <c r="AU33" s="65">
        <f t="shared" si="122"/>
        <v>8051.9969075864401</v>
      </c>
    </row>
    <row r="34" spans="2:47" s="16" customFormat="1" x14ac:dyDescent="0.25">
      <c r="B34" s="19" t="s">
        <v>43</v>
      </c>
      <c r="C34" s="19"/>
      <c r="D34" s="79"/>
      <c r="E34" s="79"/>
      <c r="F34" s="88"/>
      <c r="G34" s="83"/>
      <c r="H34" s="26"/>
      <c r="I34" s="26"/>
      <c r="J34" s="26"/>
      <c r="K34" s="26"/>
      <c r="L34" s="38"/>
      <c r="M34" s="26"/>
      <c r="N34" s="26"/>
      <c r="O34" s="26"/>
      <c r="P34" s="26"/>
      <c r="Q34" s="38"/>
      <c r="R34" s="26"/>
      <c r="S34" s="26"/>
      <c r="T34" s="26"/>
      <c r="V34" s="186"/>
      <c r="AA34" s="186"/>
      <c r="AF34" s="186"/>
      <c r="AK34" s="186"/>
      <c r="AP34" s="186"/>
      <c r="AU34" s="186"/>
    </row>
    <row r="35" spans="2:47" x14ac:dyDescent="0.25">
      <c r="B35" s="21" t="s">
        <v>41</v>
      </c>
      <c r="C35" s="21"/>
      <c r="D35" s="87"/>
      <c r="E35" s="87"/>
      <c r="F35" s="90"/>
      <c r="G35" s="84">
        <v>5.07</v>
      </c>
      <c r="H35" s="27"/>
      <c r="I35" s="27"/>
      <c r="J35" s="27"/>
      <c r="K35" s="27"/>
      <c r="L35" s="40">
        <v>1.71</v>
      </c>
      <c r="M35" s="27"/>
      <c r="N35" s="27"/>
      <c r="O35" s="27"/>
      <c r="P35" s="27"/>
      <c r="Q35" s="40">
        <v>4.93</v>
      </c>
      <c r="R35" s="27"/>
      <c r="S35" s="27"/>
      <c r="T35" s="27"/>
      <c r="V35" s="185"/>
      <c r="AA35" s="185"/>
      <c r="AF35" s="185"/>
      <c r="AK35" s="185"/>
      <c r="AP35" s="185"/>
      <c r="AU35" s="185"/>
    </row>
    <row r="36" spans="2:47" x14ac:dyDescent="0.25">
      <c r="B36" s="21" t="s">
        <v>42</v>
      </c>
      <c r="C36" s="21"/>
      <c r="D36" s="87"/>
      <c r="E36" s="87"/>
      <c r="F36" s="90"/>
      <c r="G36" s="84">
        <v>5.07</v>
      </c>
      <c r="H36" s="27"/>
      <c r="I36" s="27"/>
      <c r="J36" s="27"/>
      <c r="K36" s="27"/>
      <c r="L36" s="40">
        <v>1.71</v>
      </c>
      <c r="M36" s="27"/>
      <c r="N36" s="27"/>
      <c r="O36" s="27"/>
      <c r="P36" s="27"/>
      <c r="Q36" s="40">
        <v>4.93</v>
      </c>
      <c r="R36" s="27"/>
      <c r="S36" s="27"/>
      <c r="T36" s="27"/>
      <c r="V36" s="185"/>
      <c r="AA36" s="185"/>
      <c r="AF36" s="185"/>
      <c r="AK36" s="185"/>
      <c r="AP36" s="185"/>
      <c r="AU36" s="185"/>
    </row>
    <row r="37" spans="2:47" x14ac:dyDescent="0.25">
      <c r="B37" s="19" t="s">
        <v>17</v>
      </c>
      <c r="C37" s="19"/>
      <c r="D37" s="79"/>
      <c r="E37" s="79"/>
      <c r="F37" s="88"/>
      <c r="G37" s="73"/>
      <c r="H37" s="20"/>
      <c r="I37" s="20"/>
      <c r="J37" s="20"/>
      <c r="K37" s="20"/>
      <c r="L37" s="34"/>
      <c r="M37" s="20"/>
      <c r="N37" s="20"/>
      <c r="O37" s="20"/>
      <c r="P37" s="20"/>
      <c r="Q37" s="34"/>
      <c r="R37" s="20"/>
      <c r="S37" s="20"/>
      <c r="T37" s="20"/>
      <c r="V37" s="185"/>
      <c r="AA37" s="185"/>
      <c r="AF37" s="185"/>
      <c r="AK37" s="185"/>
      <c r="AP37" s="185"/>
      <c r="AU37" s="185"/>
    </row>
    <row r="38" spans="2:47" x14ac:dyDescent="0.25">
      <c r="B38" s="21" t="s">
        <v>18</v>
      </c>
      <c r="C38" s="21"/>
      <c r="D38" s="87"/>
      <c r="E38" s="87"/>
      <c r="F38" s="90"/>
      <c r="G38" s="85">
        <v>729</v>
      </c>
      <c r="H38" s="24"/>
      <c r="I38" s="24"/>
      <c r="J38" s="24"/>
      <c r="K38" s="24"/>
      <c r="L38" s="36">
        <v>737</v>
      </c>
      <c r="M38" s="24"/>
      <c r="N38" s="24"/>
      <c r="O38" s="24"/>
      <c r="P38" s="24"/>
      <c r="Q38" s="36">
        <v>769</v>
      </c>
      <c r="R38" s="24"/>
      <c r="S38" s="24"/>
      <c r="T38" s="24"/>
      <c r="V38" s="185">
        <v>770</v>
      </c>
      <c r="AA38" s="185">
        <v>770</v>
      </c>
      <c r="AF38" s="185">
        <v>770</v>
      </c>
      <c r="AK38" s="185">
        <v>770</v>
      </c>
      <c r="AP38" s="185">
        <v>770</v>
      </c>
      <c r="AU38" s="185">
        <v>770</v>
      </c>
    </row>
    <row r="39" spans="2:47" x14ac:dyDescent="0.25">
      <c r="B39" s="28" t="s">
        <v>19</v>
      </c>
      <c r="C39" s="28"/>
      <c r="D39" s="91"/>
      <c r="E39" s="91"/>
      <c r="F39" s="92"/>
      <c r="G39" s="86">
        <v>729</v>
      </c>
      <c r="H39" s="29"/>
      <c r="I39" s="29"/>
      <c r="J39" s="29"/>
      <c r="K39" s="29"/>
      <c r="L39" s="41">
        <v>738</v>
      </c>
      <c r="M39" s="29"/>
      <c r="N39" s="29"/>
      <c r="O39" s="29"/>
      <c r="P39" s="29"/>
      <c r="Q39" s="41">
        <v>769</v>
      </c>
      <c r="R39" s="29"/>
      <c r="S39" s="29"/>
      <c r="T39" s="29"/>
      <c r="U39" s="12"/>
      <c r="V39" s="187">
        <v>770</v>
      </c>
      <c r="W39" s="12"/>
      <c r="X39" s="12"/>
      <c r="Y39" s="12"/>
      <c r="Z39" s="12"/>
      <c r="AA39" s="187">
        <v>770</v>
      </c>
      <c r="AB39" s="12"/>
      <c r="AC39" s="12"/>
      <c r="AD39" s="12"/>
      <c r="AE39" s="12"/>
      <c r="AF39" s="187">
        <v>770</v>
      </c>
      <c r="AG39" s="12"/>
      <c r="AH39" s="12"/>
      <c r="AI39" s="12"/>
      <c r="AJ39" s="12"/>
      <c r="AK39" s="187">
        <v>770</v>
      </c>
      <c r="AL39" s="12"/>
      <c r="AM39" s="12"/>
      <c r="AN39" s="12"/>
      <c r="AO39" s="12"/>
      <c r="AP39" s="187">
        <v>770</v>
      </c>
      <c r="AQ39" s="12"/>
      <c r="AR39" s="12"/>
      <c r="AS39" s="12"/>
      <c r="AT39" s="12"/>
      <c r="AU39" s="187">
        <v>770</v>
      </c>
    </row>
    <row r="40" spans="2:47" x14ac:dyDescent="0.25">
      <c r="AP40" s="179"/>
    </row>
  </sheetData>
  <phoneticPr fontId="8" type="noConversion"/>
  <pageMargins left="0.7" right="0.7" top="0.75" bottom="0.75" header="0.3" footer="0.3"/>
  <pageSetup paperSize="11" orientation="portrait" horizontalDpi="0" verticalDpi="0"/>
  <ignoredErrors>
    <ignoredError sqref="V6 AA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U30"/>
  <sheetViews>
    <sheetView showGridLines="0" zoomScaleNormal="100" workbookViewId="0">
      <pane xSplit="2" topLeftCell="C1" activePane="topRight" state="frozen"/>
      <selection pane="topRight"/>
    </sheetView>
  </sheetViews>
  <sheetFormatPr defaultColWidth="10.875" defaultRowHeight="15.75" outlineLevelCol="1" x14ac:dyDescent="0.25"/>
  <cols>
    <col min="1" max="1" width="2.625" style="1" customWidth="1"/>
    <col min="2" max="2" width="39.875" style="1" customWidth="1"/>
    <col min="3" max="6" width="12.375" style="1" customWidth="1" outlineLevel="1"/>
    <col min="7" max="7" width="12.5" style="14" customWidth="1"/>
    <col min="8" max="11" width="12.5" style="14" customWidth="1" outlineLevel="1"/>
    <col min="12" max="12" width="12.125" style="14" customWidth="1"/>
    <col min="13" max="16" width="12.5" style="14" customWidth="1" outlineLevel="1"/>
    <col min="17" max="17" width="12.5" style="14" customWidth="1"/>
    <col min="18" max="19" width="12.5" style="14" customWidth="1" outlineLevel="1"/>
    <col min="20" max="21" width="10.875" style="1" customWidth="1" outlineLevel="1"/>
    <col min="22" max="22" width="11.375" style="1" bestFit="1" customWidth="1"/>
    <col min="23" max="26" width="10.875" style="1" customWidth="1" outlineLevel="1"/>
    <col min="27" max="27" width="10.875" style="1"/>
    <col min="28" max="31" width="10.875" style="1" customWidth="1" outlineLevel="1"/>
    <col min="32" max="32" width="10.875" style="1"/>
    <col min="33" max="36" width="10.875" style="1" customWidth="1" outlineLevel="1"/>
    <col min="37" max="37" width="10.875" style="1"/>
    <col min="38" max="41" width="10.875" style="1" customWidth="1" outlineLevel="1"/>
    <col min="42" max="42" width="10.875" style="1"/>
    <col min="43" max="46" width="10.875" style="1" customWidth="1" outlineLevel="1"/>
    <col min="47" max="47" width="10.875" style="1" customWidth="1"/>
    <col min="48" max="16384" width="10.875" style="1"/>
  </cols>
  <sheetData>
    <row r="2" spans="2:47" x14ac:dyDescent="0.25">
      <c r="B2" s="229" t="s">
        <v>21</v>
      </c>
      <c r="C2" s="235"/>
      <c r="D2" s="235"/>
      <c r="E2" s="235"/>
      <c r="F2" s="235"/>
      <c r="G2" s="236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</row>
    <row r="3" spans="2:47" x14ac:dyDescent="0.25">
      <c r="B3" s="157" t="s">
        <v>153</v>
      </c>
      <c r="C3" s="158" t="s">
        <v>47</v>
      </c>
      <c r="D3" s="158" t="s">
        <v>48</v>
      </c>
      <c r="E3" s="158" t="s">
        <v>49</v>
      </c>
      <c r="F3" s="158" t="s">
        <v>50</v>
      </c>
      <c r="G3" s="172" t="s">
        <v>23</v>
      </c>
      <c r="H3" s="158" t="s">
        <v>29</v>
      </c>
      <c r="I3" s="158" t="s">
        <v>30</v>
      </c>
      <c r="J3" s="158" t="s">
        <v>31</v>
      </c>
      <c r="K3" s="159" t="s">
        <v>32</v>
      </c>
      <c r="L3" s="176" t="s">
        <v>24</v>
      </c>
      <c r="M3" s="160" t="s">
        <v>33</v>
      </c>
      <c r="N3" s="160" t="s">
        <v>34</v>
      </c>
      <c r="O3" s="160" t="s">
        <v>35</v>
      </c>
      <c r="P3" s="159" t="s">
        <v>146</v>
      </c>
      <c r="Q3" s="176" t="s">
        <v>25</v>
      </c>
      <c r="R3" s="161" t="s">
        <v>44</v>
      </c>
      <c r="S3" s="161" t="s">
        <v>45</v>
      </c>
      <c r="T3" s="160" t="s">
        <v>46</v>
      </c>
      <c r="U3" s="159" t="s">
        <v>161</v>
      </c>
      <c r="V3" s="176" t="s">
        <v>187</v>
      </c>
      <c r="W3" s="161" t="s">
        <v>162</v>
      </c>
      <c r="X3" s="161" t="s">
        <v>163</v>
      </c>
      <c r="Y3" s="160" t="s">
        <v>164</v>
      </c>
      <c r="Z3" s="159" t="s">
        <v>165</v>
      </c>
      <c r="AA3" s="176" t="s">
        <v>186</v>
      </c>
      <c r="AB3" s="161" t="s">
        <v>166</v>
      </c>
      <c r="AC3" s="161" t="s">
        <v>167</v>
      </c>
      <c r="AD3" s="160" t="s">
        <v>168</v>
      </c>
      <c r="AE3" s="159" t="s">
        <v>169</v>
      </c>
      <c r="AF3" s="176" t="s">
        <v>185</v>
      </c>
      <c r="AG3" s="161" t="s">
        <v>170</v>
      </c>
      <c r="AH3" s="161" t="s">
        <v>171</v>
      </c>
      <c r="AI3" s="160" t="s">
        <v>172</v>
      </c>
      <c r="AJ3" s="159" t="s">
        <v>173</v>
      </c>
      <c r="AK3" s="176" t="s">
        <v>182</v>
      </c>
      <c r="AL3" s="161" t="s">
        <v>174</v>
      </c>
      <c r="AM3" s="161" t="s">
        <v>175</v>
      </c>
      <c r="AN3" s="160" t="s">
        <v>176</v>
      </c>
      <c r="AO3" s="159" t="s">
        <v>177</v>
      </c>
      <c r="AP3" s="176" t="s">
        <v>183</v>
      </c>
      <c r="AQ3" s="161" t="s">
        <v>178</v>
      </c>
      <c r="AR3" s="161" t="s">
        <v>179</v>
      </c>
      <c r="AS3" s="160" t="s">
        <v>180</v>
      </c>
      <c r="AT3" s="159" t="s">
        <v>181</v>
      </c>
      <c r="AU3" s="176" t="s">
        <v>184</v>
      </c>
    </row>
    <row r="4" spans="2:47" s="14" customFormat="1" x14ac:dyDescent="0.25">
      <c r="B4" s="164" t="s">
        <v>156</v>
      </c>
      <c r="C4" s="14">
        <v>5329</v>
      </c>
      <c r="D4" s="14">
        <v>5475</v>
      </c>
      <c r="E4" s="14">
        <v>6577</v>
      </c>
      <c r="F4" s="14">
        <f>G4-SUM(C4:E4)</f>
        <v>5450</v>
      </c>
      <c r="G4" s="173">
        <v>22831</v>
      </c>
      <c r="H4" s="14">
        <v>5173</v>
      </c>
      <c r="I4" s="14">
        <v>5034</v>
      </c>
      <c r="J4" s="14">
        <v>6379</v>
      </c>
      <c r="K4" s="169">
        <f>L4-SUM(H4:J4)</f>
        <v>5134</v>
      </c>
      <c r="L4" s="173">
        <v>21720</v>
      </c>
      <c r="M4" s="14">
        <v>5281</v>
      </c>
      <c r="N4" s="14">
        <v>5335</v>
      </c>
      <c r="O4" s="14">
        <v>6569</v>
      </c>
      <c r="P4" s="14">
        <f>Q4-SUM(M4:O4)</f>
        <v>5418</v>
      </c>
      <c r="Q4" s="173">
        <v>22603</v>
      </c>
      <c r="R4" s="14">
        <v>6002</v>
      </c>
      <c r="S4" s="14">
        <v>6135</v>
      </c>
      <c r="T4" s="14">
        <v>7439</v>
      </c>
      <c r="U4" s="14">
        <f>P4*(1+U6)</f>
        <v>5486.8085999999994</v>
      </c>
      <c r="V4" s="173">
        <f>Q4+1000</f>
        <v>23603</v>
      </c>
      <c r="W4" s="14">
        <f>R4*(1+W6)</f>
        <v>6078.2253999999994</v>
      </c>
      <c r="X4" s="14">
        <f t="shared" ref="X4:Z4" si="0">S4*(1+X6)</f>
        <v>6212.9144999999999</v>
      </c>
      <c r="Y4" s="14">
        <f t="shared" si="0"/>
        <v>7533.4752999999992</v>
      </c>
      <c r="Z4" s="14">
        <f t="shared" si="0"/>
        <v>5556.4910692199992</v>
      </c>
      <c r="AA4" s="173">
        <f>SUM(W4:Z4)</f>
        <v>25381.106269219996</v>
      </c>
      <c r="AB4" s="14">
        <f>W4*(1+AB6)</f>
        <v>6155.4188625799989</v>
      </c>
      <c r="AC4" s="14">
        <f t="shared" ref="AC4" si="1">X4*(1+AC6)</f>
        <v>6291.8185141499998</v>
      </c>
      <c r="AD4" s="14">
        <f t="shared" ref="AD4" si="2">Y4*(1+AD6)</f>
        <v>7629.1504363099984</v>
      </c>
      <c r="AE4" s="14">
        <f t="shared" ref="AE4" si="3">Z4*(1+AE6)</f>
        <v>5627.0585057990929</v>
      </c>
      <c r="AF4" s="173">
        <f>SUM(AB4:AE4)</f>
        <v>25703.446318839091</v>
      </c>
      <c r="AG4" s="14">
        <f>AB4*(1+AG6)</f>
        <v>6233.5926821347648</v>
      </c>
      <c r="AH4" s="14">
        <f t="shared" ref="AH4:AJ4" si="4">AC4*(1+AH6)</f>
        <v>6371.7246092797041</v>
      </c>
      <c r="AI4" s="14">
        <f t="shared" si="4"/>
        <v>7726.0406468511346</v>
      </c>
      <c r="AJ4" s="14">
        <f t="shared" si="4"/>
        <v>5698.5221488227407</v>
      </c>
      <c r="AK4" s="173">
        <f>SUM(AG4:AJ4)</f>
        <v>26029.880087088342</v>
      </c>
      <c r="AL4" s="14">
        <f>AG4*(1+AL6)</f>
        <v>6312.7593091978761</v>
      </c>
      <c r="AM4" s="14">
        <f t="shared" ref="AM4:AO4" si="5">AH4*(1+AM6)</f>
        <v>6452.6455118175563</v>
      </c>
      <c r="AN4" s="14">
        <f t="shared" si="5"/>
        <v>7824.1613630661432</v>
      </c>
      <c r="AO4" s="14">
        <f t="shared" si="5"/>
        <v>5770.8933801127896</v>
      </c>
      <c r="AP4" s="173">
        <f>SUM(AL4:AO4)</f>
        <v>26360.459564194363</v>
      </c>
      <c r="AQ4" s="14">
        <f>AL4*(1+AQ6)</f>
        <v>6392.9313524246891</v>
      </c>
      <c r="AR4" s="14">
        <f t="shared" ref="AR4:AT4" si="6">AM4*(1+AR6)</f>
        <v>6534.594109817639</v>
      </c>
      <c r="AS4" s="14">
        <f t="shared" si="6"/>
        <v>7923.528212377083</v>
      </c>
      <c r="AT4" s="14">
        <f t="shared" si="6"/>
        <v>5844.1837260402217</v>
      </c>
      <c r="AU4" s="173">
        <f>SUM(AQ4:AT4)</f>
        <v>26695.237400659633</v>
      </c>
    </row>
    <row r="5" spans="2:47" s="166" customFormat="1" x14ac:dyDescent="0.25">
      <c r="B5" s="167" t="s">
        <v>154</v>
      </c>
      <c r="D5" s="166">
        <f>D4/C4-1</f>
        <v>2.7397260273972712E-2</v>
      </c>
      <c r="E5" s="166">
        <f>E4/D4-1</f>
        <v>0.20127853881278535</v>
      </c>
      <c r="F5" s="166">
        <f>F4/E4-1</f>
        <v>-0.17135472099741522</v>
      </c>
      <c r="G5" s="174"/>
      <c r="H5" s="166">
        <f>H4/F4-1</f>
        <v>-5.0825688073394493E-2</v>
      </c>
      <c r="I5" s="166">
        <f>I4/H4-1</f>
        <v>-2.6870288034022805E-2</v>
      </c>
      <c r="J5" s="166">
        <f>J4/I4-1</f>
        <v>0.26718315454906638</v>
      </c>
      <c r="K5" s="166">
        <f>K4/J4-1</f>
        <v>-0.19517165699952965</v>
      </c>
      <c r="L5" s="174">
        <f>L4/G4-1</f>
        <v>-4.8661907056195552E-2</v>
      </c>
      <c r="M5" s="166">
        <f>M4/K4-1</f>
        <v>2.8632645111024591E-2</v>
      </c>
      <c r="N5" s="166">
        <f>N4/M4-1</f>
        <v>1.022533611058507E-2</v>
      </c>
      <c r="O5" s="166">
        <f t="shared" ref="O5" si="7">O4/N4-1</f>
        <v>0.23130271790065615</v>
      </c>
      <c r="P5" s="166">
        <f>P4/O4-1</f>
        <v>-0.17521692799512867</v>
      </c>
      <c r="Q5" s="174">
        <f>Q4/L4-1</f>
        <v>4.0653775322283536E-2</v>
      </c>
      <c r="R5" s="166">
        <f>R4/P4-1</f>
        <v>0.1077888519748984</v>
      </c>
      <c r="S5" s="166">
        <f>S4/R4-1</f>
        <v>2.2159280239919976E-2</v>
      </c>
      <c r="T5" s="166">
        <f>T4/S4-1</f>
        <v>0.21255093724531382</v>
      </c>
      <c r="U5" s="166">
        <f>U4/S4-1</f>
        <v>-0.10565466992665051</v>
      </c>
      <c r="V5" s="174">
        <f>V4/Q4-1</f>
        <v>4.4241914790072112E-2</v>
      </c>
      <c r="W5" s="166">
        <f>W4/U4-1</f>
        <v>0.1077888519748984</v>
      </c>
      <c r="X5" s="166">
        <f>X4/W4-1</f>
        <v>2.2159280239920198E-2</v>
      </c>
      <c r="Y5" s="166">
        <f>Y4/X4-1</f>
        <v>0.2125509372453136</v>
      </c>
      <c r="Z5" s="166">
        <f>Z4/Y4-1</f>
        <v>-0.26242658959537579</v>
      </c>
      <c r="AA5" s="174">
        <f>AA4/V4-1</f>
        <v>7.5333909639452523E-2</v>
      </c>
      <c r="AB5" s="166">
        <f>AB4/Z4-1</f>
        <v>0.1077888519748984</v>
      </c>
      <c r="AC5" s="166">
        <f>AC4/AB4-1</f>
        <v>2.2159280239920198E-2</v>
      </c>
      <c r="AD5" s="166">
        <f>AD4/AC4-1</f>
        <v>0.2125509372453136</v>
      </c>
      <c r="AE5" s="166">
        <f>AE4/AD4-1</f>
        <v>-0.26242658959537568</v>
      </c>
      <c r="AF5" s="174">
        <f>AF4/AA4-1</f>
        <v>1.2700000000000156E-2</v>
      </c>
      <c r="AG5" s="166">
        <f>AG4/AE4-1</f>
        <v>0.1077888519748984</v>
      </c>
      <c r="AH5" s="166">
        <f>AH4/AG4-1</f>
        <v>2.2159280239919976E-2</v>
      </c>
      <c r="AI5" s="166">
        <f>AI4/AH4-1</f>
        <v>0.2125509372453136</v>
      </c>
      <c r="AJ5" s="166">
        <f>AJ4/AI4-1</f>
        <v>-0.26242658959537568</v>
      </c>
      <c r="AK5" s="174">
        <f>AK4/AF4-1</f>
        <v>1.2699999999999712E-2</v>
      </c>
      <c r="AL5" s="166">
        <f>AL4/AJ4-1</f>
        <v>0.10778885197489863</v>
      </c>
      <c r="AM5" s="166">
        <f>AM4/AL4-1</f>
        <v>2.2159280239920198E-2</v>
      </c>
      <c r="AN5" s="166">
        <f>AN4/AM4-1</f>
        <v>0.21255093724531338</v>
      </c>
      <c r="AO5" s="166">
        <f>AO4/AN4-1</f>
        <v>-0.26242658959537568</v>
      </c>
      <c r="AP5" s="177">
        <f>AP4/AK4-1</f>
        <v>1.2699999999999934E-2</v>
      </c>
      <c r="AQ5" s="166">
        <f>AQ4/AO4-1</f>
        <v>0.10778885197489863</v>
      </c>
      <c r="AR5" s="166">
        <f>AR4/AQ4-1</f>
        <v>2.2159280239919976E-2</v>
      </c>
      <c r="AS5" s="166">
        <f>AS4/AR4-1</f>
        <v>0.21255093724531338</v>
      </c>
      <c r="AT5" s="166">
        <f>AT4/AS4-1</f>
        <v>-0.26242658959537568</v>
      </c>
      <c r="AU5" s="177">
        <f>AU4/AP4-1</f>
        <v>1.2699999999999934E-2</v>
      </c>
    </row>
    <row r="6" spans="2:47" s="166" customFormat="1" x14ac:dyDescent="0.25">
      <c r="B6" s="167" t="s">
        <v>188</v>
      </c>
      <c r="G6" s="174"/>
      <c r="L6" s="174"/>
      <c r="Q6" s="174"/>
      <c r="U6" s="166">
        <v>1.2699999999999999E-2</v>
      </c>
      <c r="V6" s="174"/>
      <c r="W6" s="166">
        <v>1.2699999999999999E-2</v>
      </c>
      <c r="X6" s="166">
        <v>1.2699999999999999E-2</v>
      </c>
      <c r="Y6" s="166">
        <v>1.2699999999999999E-2</v>
      </c>
      <c r="Z6" s="166">
        <v>1.2699999999999999E-2</v>
      </c>
      <c r="AA6" s="174">
        <v>1.3599999999999999E-2</v>
      </c>
      <c r="AB6" s="166">
        <v>1.2699999999999999E-2</v>
      </c>
      <c r="AC6" s="166">
        <v>1.2699999999999999E-2</v>
      </c>
      <c r="AD6" s="166">
        <v>1.2699999999999999E-2</v>
      </c>
      <c r="AE6" s="166">
        <v>1.2699999999999999E-2</v>
      </c>
      <c r="AF6" s="174">
        <v>1.3599999999999999E-2</v>
      </c>
      <c r="AG6" s="166">
        <v>1.2699999999999999E-2</v>
      </c>
      <c r="AH6" s="166">
        <v>1.2699999999999999E-2</v>
      </c>
      <c r="AI6" s="166">
        <v>1.2699999999999999E-2</v>
      </c>
      <c r="AJ6" s="166">
        <v>1.2699999999999999E-2</v>
      </c>
      <c r="AK6" s="174">
        <v>1.3599999999999999E-2</v>
      </c>
      <c r="AL6" s="166">
        <v>1.2699999999999999E-2</v>
      </c>
      <c r="AM6" s="166">
        <v>1.2699999999999999E-2</v>
      </c>
      <c r="AN6" s="166">
        <v>1.2699999999999999E-2</v>
      </c>
      <c r="AO6" s="166">
        <v>1.2699999999999999E-2</v>
      </c>
      <c r="AP6" s="174">
        <v>1.3599999999999999E-2</v>
      </c>
      <c r="AQ6" s="166">
        <v>1.2699999999999999E-2</v>
      </c>
      <c r="AR6" s="166">
        <v>1.2699999999999999E-2</v>
      </c>
      <c r="AS6" s="166">
        <v>1.2699999999999999E-2</v>
      </c>
      <c r="AT6" s="166">
        <v>1.2699999999999999E-2</v>
      </c>
      <c r="AU6" s="174">
        <v>1.3599999999999999E-2</v>
      </c>
    </row>
    <row r="7" spans="2:47" s="166" customFormat="1" x14ac:dyDescent="0.25">
      <c r="B7" s="162" t="s">
        <v>155</v>
      </c>
      <c r="C7" s="166">
        <f>C4/C20</f>
        <v>0.8578557630392788</v>
      </c>
      <c r="D7" s="166">
        <f>D4/D20</f>
        <v>0.92420661715057395</v>
      </c>
      <c r="E7" s="166">
        <f t="shared" ref="E7:AU7" si="8">E4/E20</f>
        <v>0.94105022177707831</v>
      </c>
      <c r="F7" s="166">
        <f t="shared" si="8"/>
        <v>0.88560285992850174</v>
      </c>
      <c r="G7" s="174">
        <f t="shared" si="8"/>
        <v>0.9031607262945528</v>
      </c>
      <c r="H7" s="166">
        <f t="shared" si="8"/>
        <v>0.8637502087159793</v>
      </c>
      <c r="I7" s="166">
        <f t="shared" si="8"/>
        <v>0.91995614035087714</v>
      </c>
      <c r="J7" s="166">
        <f t="shared" si="8"/>
        <v>0.94224519940915807</v>
      </c>
      <c r="K7" s="166">
        <f t="shared" si="8"/>
        <v>0.87971213159698425</v>
      </c>
      <c r="L7" s="174">
        <f t="shared" si="8"/>
        <v>0.9024805750612872</v>
      </c>
      <c r="M7" s="166">
        <f t="shared" si="8"/>
        <v>0.85163683276890823</v>
      </c>
      <c r="N7" s="166">
        <f t="shared" si="8"/>
        <v>0.91856060606060608</v>
      </c>
      <c r="O7" s="166">
        <f t="shared" si="8"/>
        <v>0.93802656004569474</v>
      </c>
      <c r="P7" s="166">
        <f>P4/P20</f>
        <v>0.86136724960254374</v>
      </c>
      <c r="Q7" s="174">
        <f t="shared" si="8"/>
        <v>0.89332859062524705</v>
      </c>
      <c r="R7" s="166">
        <f t="shared" si="8"/>
        <v>0.83535142658315931</v>
      </c>
      <c r="S7" s="166">
        <f t="shared" si="8"/>
        <v>0.91037245882178364</v>
      </c>
      <c r="T7" s="166">
        <f t="shared" si="8"/>
        <v>0.9269781931464175</v>
      </c>
      <c r="U7" s="166">
        <f t="shared" si="8"/>
        <v>0.86136724960254363</v>
      </c>
      <c r="V7" s="174">
        <f t="shared" si="8"/>
        <v>0.88970836529829478</v>
      </c>
      <c r="W7" s="166">
        <f t="shared" si="8"/>
        <v>0.83535142658315942</v>
      </c>
      <c r="X7" s="166">
        <f t="shared" si="8"/>
        <v>0.91037245882178364</v>
      </c>
      <c r="Y7" s="166">
        <f t="shared" si="8"/>
        <v>0.9269781931464175</v>
      </c>
      <c r="Z7" s="166">
        <f t="shared" si="8"/>
        <v>0.86136724960254374</v>
      </c>
      <c r="AA7" s="174">
        <f t="shared" si="8"/>
        <v>0.88502108646022515</v>
      </c>
      <c r="AB7" s="166">
        <f t="shared" si="8"/>
        <v>0.83535142658315931</v>
      </c>
      <c r="AC7" s="166">
        <f t="shared" si="8"/>
        <v>0.91037245882178375</v>
      </c>
      <c r="AD7" s="166">
        <f t="shared" si="8"/>
        <v>0.9269781931464175</v>
      </c>
      <c r="AE7" s="166">
        <f t="shared" si="8"/>
        <v>0.86136724960254374</v>
      </c>
      <c r="AF7" s="174">
        <f t="shared" si="8"/>
        <v>0.88502108646022515</v>
      </c>
      <c r="AG7" s="166">
        <f t="shared" si="8"/>
        <v>0.83535142658315931</v>
      </c>
      <c r="AH7" s="166">
        <f t="shared" si="8"/>
        <v>0.91037245882178375</v>
      </c>
      <c r="AI7" s="166">
        <f t="shared" si="8"/>
        <v>0.92697819314641727</v>
      </c>
      <c r="AJ7" s="166">
        <f t="shared" si="8"/>
        <v>0.86136724960254374</v>
      </c>
      <c r="AK7" s="174">
        <f t="shared" si="8"/>
        <v>0.88502108646022504</v>
      </c>
      <c r="AL7" s="166">
        <f t="shared" si="8"/>
        <v>0.83535142658315931</v>
      </c>
      <c r="AM7" s="166">
        <f t="shared" si="8"/>
        <v>0.91037245882178375</v>
      </c>
      <c r="AN7" s="166">
        <f t="shared" si="8"/>
        <v>0.92697819314641738</v>
      </c>
      <c r="AO7" s="166">
        <f t="shared" si="8"/>
        <v>0.86136724960254385</v>
      </c>
      <c r="AP7" s="174">
        <f t="shared" si="8"/>
        <v>0.88502108646022515</v>
      </c>
      <c r="AQ7" s="166">
        <f t="shared" si="8"/>
        <v>0.83535142658315942</v>
      </c>
      <c r="AR7" s="166">
        <f t="shared" si="8"/>
        <v>0.91037245882178375</v>
      </c>
      <c r="AS7" s="166">
        <f t="shared" si="8"/>
        <v>0.9269781931464175</v>
      </c>
      <c r="AT7" s="166">
        <f t="shared" si="8"/>
        <v>0.86136724960254374</v>
      </c>
      <c r="AU7" s="174">
        <f t="shared" si="8"/>
        <v>0.88502108646022515</v>
      </c>
    </row>
    <row r="8" spans="2:47" s="14" customFormat="1" x14ac:dyDescent="0.25">
      <c r="B8" s="164" t="s">
        <v>157</v>
      </c>
      <c r="C8" s="14">
        <v>756</v>
      </c>
      <c r="D8" s="14">
        <v>306</v>
      </c>
      <c r="E8" s="14">
        <v>249</v>
      </c>
      <c r="F8" s="14">
        <f>G8-SUM(C8:E8)</f>
        <v>555</v>
      </c>
      <c r="G8" s="173">
        <v>1866</v>
      </c>
      <c r="H8" s="14">
        <v>664</v>
      </c>
      <c r="I8" s="14">
        <v>289</v>
      </c>
      <c r="J8" s="14">
        <v>241</v>
      </c>
      <c r="K8" s="169">
        <f>L8-SUM(H8:J8)</f>
        <v>554</v>
      </c>
      <c r="L8" s="173">
        <v>1748</v>
      </c>
      <c r="M8" s="14">
        <v>775</v>
      </c>
      <c r="N8" s="14">
        <v>327</v>
      </c>
      <c r="O8" s="14">
        <v>289</v>
      </c>
      <c r="P8" s="14">
        <f>Q8-SUM(M8:O8)</f>
        <v>721</v>
      </c>
      <c r="Q8" s="173">
        <v>2112</v>
      </c>
      <c r="R8" s="14">
        <v>1032</v>
      </c>
      <c r="S8" s="14">
        <v>453</v>
      </c>
      <c r="T8" s="14">
        <v>427</v>
      </c>
      <c r="U8" s="14">
        <f>P8*(1+U10)</f>
        <v>730.1567</v>
      </c>
      <c r="V8" s="173">
        <f>Q8+200</f>
        <v>2312</v>
      </c>
      <c r="W8" s="14">
        <f>R8*(1+W10)</f>
        <v>1045.1063999999999</v>
      </c>
      <c r="X8" s="14">
        <f t="shared" ref="X8" si="9">S8*(1+X10)</f>
        <v>458.75309999999996</v>
      </c>
      <c r="Y8" s="14">
        <f t="shared" ref="Y8" si="10">T8*(1+Y10)</f>
        <v>432.42289999999997</v>
      </c>
      <c r="Z8" s="14">
        <f t="shared" ref="Z8" si="11">U8*(1+Z10)</f>
        <v>739.42969009000001</v>
      </c>
      <c r="AA8" s="173">
        <f>SUM(W8:Z8)</f>
        <v>2675.7120900899999</v>
      </c>
      <c r="AB8" s="14">
        <f>W8*(1+AB10)</f>
        <v>1058.3792512799998</v>
      </c>
      <c r="AC8" s="14">
        <f t="shared" ref="AC8:AE8" si="12">X8*(1+AC10)</f>
        <v>464.57926436999992</v>
      </c>
      <c r="AD8" s="14">
        <f t="shared" si="12"/>
        <v>437.91467082999992</v>
      </c>
      <c r="AE8" s="14">
        <f t="shared" si="12"/>
        <v>748.82044715414293</v>
      </c>
      <c r="AF8" s="173">
        <f>SUM(AB8:AE8)</f>
        <v>2709.6936336341428</v>
      </c>
      <c r="AG8" s="14">
        <f>AB8*(1+AG10)</f>
        <v>1071.8206677712558</v>
      </c>
      <c r="AH8" s="14">
        <f t="shared" ref="AH8:AJ8" si="13">AC8*(1+AH10)</f>
        <v>470.47942102749886</v>
      </c>
      <c r="AI8" s="14">
        <f t="shared" si="13"/>
        <v>443.47618714954086</v>
      </c>
      <c r="AJ8" s="14">
        <f t="shared" si="13"/>
        <v>758.33046683300051</v>
      </c>
      <c r="AK8" s="173">
        <f>SUM(AG8:AJ8)</f>
        <v>2744.1067427812959</v>
      </c>
      <c r="AL8" s="14">
        <f>AG8*(1+AL10)</f>
        <v>1085.4327902519506</v>
      </c>
      <c r="AM8" s="14">
        <f t="shared" ref="AM8:AO8" si="14">AH8*(1+AM10)</f>
        <v>476.45450967454804</v>
      </c>
      <c r="AN8" s="14">
        <f t="shared" si="14"/>
        <v>449.10833472633999</v>
      </c>
      <c r="AO8" s="14">
        <f t="shared" si="14"/>
        <v>767.96126376177961</v>
      </c>
      <c r="AP8" s="173">
        <f>SUM(AL8:AO8)</f>
        <v>2778.9568984146181</v>
      </c>
      <c r="AQ8" s="14">
        <f>AL8*(1+AQ10)</f>
        <v>1099.2177866881502</v>
      </c>
      <c r="AR8" s="14">
        <f t="shared" ref="AR8:AT8" si="15">AM8*(1+AR10)</f>
        <v>482.50548194741475</v>
      </c>
      <c r="AS8" s="14">
        <f t="shared" si="15"/>
        <v>454.8120105773645</v>
      </c>
      <c r="AT8" s="14">
        <f t="shared" si="15"/>
        <v>777.7143718115542</v>
      </c>
      <c r="AU8" s="173">
        <f>SUM(AQ8:AT8)</f>
        <v>2814.2496510244837</v>
      </c>
    </row>
    <row r="9" spans="2:47" s="166" customFormat="1" x14ac:dyDescent="0.25">
      <c r="B9" s="167" t="s">
        <v>154</v>
      </c>
      <c r="D9" s="166">
        <f>D8/C8-1</f>
        <v>-0.59523809523809523</v>
      </c>
      <c r="E9" s="166">
        <f>E8/D8-1</f>
        <v>-0.18627450980392157</v>
      </c>
      <c r="F9" s="166">
        <f>F8/E8-1</f>
        <v>1.2289156626506026</v>
      </c>
      <c r="G9" s="174"/>
      <c r="H9" s="166">
        <f>H8/F8-1</f>
        <v>0.19639639639639639</v>
      </c>
      <c r="I9" s="166">
        <f>I8/H8-1</f>
        <v>-0.56475903614457823</v>
      </c>
      <c r="J9" s="166">
        <f t="shared" ref="J9:K9" si="16">J8/I8-1</f>
        <v>-0.16608996539792387</v>
      </c>
      <c r="K9" s="166">
        <f t="shared" si="16"/>
        <v>1.2987551867219915</v>
      </c>
      <c r="L9" s="174">
        <f>L8/G8-1</f>
        <v>-6.3236870310825255E-2</v>
      </c>
      <c r="M9" s="166">
        <f>M8/K8-1</f>
        <v>0.39891696750902517</v>
      </c>
      <c r="N9" s="166">
        <f>N8/M8-1</f>
        <v>-0.57806451612903231</v>
      </c>
      <c r="O9" s="166">
        <f t="shared" ref="O9:P9" si="17">O8/N8-1</f>
        <v>-0.11620795107033643</v>
      </c>
      <c r="P9" s="166">
        <f t="shared" si="17"/>
        <v>1.4948096885813147</v>
      </c>
      <c r="Q9" s="174">
        <f>Q8/L8-1</f>
        <v>0.20823798627002299</v>
      </c>
      <c r="R9" s="166">
        <f>R8/P8-1</f>
        <v>0.43134535367545079</v>
      </c>
      <c r="S9" s="166">
        <f>S8/R8-1</f>
        <v>-0.56104651162790697</v>
      </c>
      <c r="T9" s="166">
        <f>T8/S8-1</f>
        <v>-5.739514348785868E-2</v>
      </c>
      <c r="U9" s="166">
        <f>U8/S8-1</f>
        <v>0.61182494481236205</v>
      </c>
      <c r="V9" s="174">
        <f>V8/Q8-1</f>
        <v>9.4696969696969724E-2</v>
      </c>
      <c r="W9" s="166">
        <f>W8/U8-1</f>
        <v>0.43134535367545057</v>
      </c>
      <c r="X9" s="166">
        <f>X8/W8-1</f>
        <v>-0.56104651162790697</v>
      </c>
      <c r="Y9" s="166">
        <f>Y8/X8-1</f>
        <v>-5.739514348785868E-2</v>
      </c>
      <c r="Z9" s="166">
        <f>Z8/Y8-1</f>
        <v>0.70996885245901664</v>
      </c>
      <c r="AA9" s="174">
        <f>AA8/V8-1</f>
        <v>0.15731491785899654</v>
      </c>
      <c r="AB9" s="166">
        <f>AB8/Z8-1</f>
        <v>0.43134535367545057</v>
      </c>
      <c r="AC9" s="166">
        <f>AC8/AB8-1</f>
        <v>-0.56104651162790697</v>
      </c>
      <c r="AD9" s="166">
        <f>AD8/AC8-1</f>
        <v>-5.739514348785868E-2</v>
      </c>
      <c r="AE9" s="166">
        <f>AE8/AD8-1</f>
        <v>0.70996885245901664</v>
      </c>
      <c r="AF9" s="174">
        <f>AF8/AA8-1</f>
        <v>1.2699999999999934E-2</v>
      </c>
      <c r="AG9" s="166">
        <f>AG8/AE8-1</f>
        <v>0.43134535367545057</v>
      </c>
      <c r="AH9" s="166">
        <f>AH8/AG8-1</f>
        <v>-0.56104651162790709</v>
      </c>
      <c r="AI9" s="166">
        <f>AI8/AH8-1</f>
        <v>-5.739514348785868E-2</v>
      </c>
      <c r="AJ9" s="166">
        <f>AJ8/AI8-1</f>
        <v>0.70996885245901664</v>
      </c>
      <c r="AK9" s="174">
        <f>AK8/AF8-1</f>
        <v>1.2699999999999934E-2</v>
      </c>
      <c r="AL9" s="166">
        <f>AL8/AJ8-1</f>
        <v>0.43134535367545035</v>
      </c>
      <c r="AM9" s="166">
        <f>AM8/AL8-1</f>
        <v>-0.56104651162790709</v>
      </c>
      <c r="AN9" s="166">
        <f>AN8/AM8-1</f>
        <v>-5.739514348785868E-2</v>
      </c>
      <c r="AO9" s="166">
        <f>AO8/AN8-1</f>
        <v>0.70996885245901686</v>
      </c>
      <c r="AP9" s="177">
        <f>AP8/AK8-1</f>
        <v>1.2699999999999934E-2</v>
      </c>
      <c r="AQ9" s="166">
        <f>AQ8/AO8-1</f>
        <v>0.43134535367545035</v>
      </c>
      <c r="AR9" s="166">
        <f>AR8/AQ8-1</f>
        <v>-0.56104651162790709</v>
      </c>
      <c r="AS9" s="166">
        <f>AS8/AR8-1</f>
        <v>-5.7395143487858569E-2</v>
      </c>
      <c r="AT9" s="166">
        <f>AT8/AS8-1</f>
        <v>0.70996885245901686</v>
      </c>
      <c r="AU9" s="177">
        <f>AU8/AP8-1</f>
        <v>1.2699999999999934E-2</v>
      </c>
    </row>
    <row r="10" spans="2:47" s="166" customFormat="1" x14ac:dyDescent="0.25">
      <c r="B10" s="167" t="s">
        <v>188</v>
      </c>
      <c r="G10" s="174"/>
      <c r="L10" s="174"/>
      <c r="Q10" s="174"/>
      <c r="U10" s="166">
        <v>1.2699999999999999E-2</v>
      </c>
      <c r="V10" s="174"/>
      <c r="W10" s="166">
        <v>1.2699999999999999E-2</v>
      </c>
      <c r="X10" s="166">
        <v>1.2699999999999999E-2</v>
      </c>
      <c r="Y10" s="166">
        <v>1.2699999999999999E-2</v>
      </c>
      <c r="Z10" s="166">
        <v>1.2699999999999999E-2</v>
      </c>
      <c r="AA10" s="174">
        <v>1.3599999999999999E-2</v>
      </c>
      <c r="AB10" s="166">
        <v>1.2699999999999999E-2</v>
      </c>
      <c r="AC10" s="166">
        <v>1.2699999999999999E-2</v>
      </c>
      <c r="AD10" s="166">
        <v>1.2699999999999999E-2</v>
      </c>
      <c r="AE10" s="166">
        <v>1.2699999999999999E-2</v>
      </c>
      <c r="AF10" s="174">
        <v>1.3599999999999999E-2</v>
      </c>
      <c r="AG10" s="166">
        <v>1.2699999999999999E-2</v>
      </c>
      <c r="AH10" s="166">
        <v>1.2699999999999999E-2</v>
      </c>
      <c r="AI10" s="166">
        <v>1.2699999999999999E-2</v>
      </c>
      <c r="AJ10" s="166">
        <v>1.2699999999999999E-2</v>
      </c>
      <c r="AK10" s="174">
        <v>1.3599999999999999E-2</v>
      </c>
      <c r="AL10" s="166">
        <v>1.2699999999999999E-2</v>
      </c>
      <c r="AM10" s="166">
        <v>1.2699999999999999E-2</v>
      </c>
      <c r="AN10" s="166">
        <v>1.2699999999999999E-2</v>
      </c>
      <c r="AO10" s="166">
        <v>1.2699999999999999E-2</v>
      </c>
      <c r="AP10" s="174">
        <v>1.3599999999999999E-2</v>
      </c>
      <c r="AQ10" s="166">
        <v>1.2699999999999999E-2</v>
      </c>
      <c r="AR10" s="166">
        <v>1.2699999999999999E-2</v>
      </c>
      <c r="AS10" s="166">
        <v>1.2699999999999999E-2</v>
      </c>
      <c r="AT10" s="166">
        <v>1.2699999999999999E-2</v>
      </c>
      <c r="AU10" s="174">
        <v>1.3599999999999999E-2</v>
      </c>
    </row>
    <row r="11" spans="2:47" s="166" customFormat="1" x14ac:dyDescent="0.25">
      <c r="B11" s="162" t="s">
        <v>155</v>
      </c>
      <c r="C11" s="166">
        <f>C8/C20</f>
        <v>0.12169993560849968</v>
      </c>
      <c r="D11" s="166">
        <f t="shared" ref="D11:S11" si="18">D8/D20</f>
        <v>5.1654287643484134E-2</v>
      </c>
      <c r="E11" s="166">
        <f t="shared" si="18"/>
        <v>3.562741450851338E-2</v>
      </c>
      <c r="F11" s="166">
        <f t="shared" si="18"/>
        <v>9.0185245368865782E-2</v>
      </c>
      <c r="G11" s="174">
        <f t="shared" si="18"/>
        <v>7.3816211084299227E-2</v>
      </c>
      <c r="H11" s="166">
        <f t="shared" si="18"/>
        <v>0.11086992820170312</v>
      </c>
      <c r="I11" s="166">
        <f t="shared" si="18"/>
        <v>5.2814327485380119E-2</v>
      </c>
      <c r="J11" s="166">
        <f t="shared" si="18"/>
        <v>3.5598227474150666E-2</v>
      </c>
      <c r="K11" s="166">
        <f t="shared" si="18"/>
        <v>9.4928032899246062E-2</v>
      </c>
      <c r="L11" s="174">
        <f t="shared" si="18"/>
        <v>7.2630572983753694E-2</v>
      </c>
      <c r="M11" s="166">
        <f t="shared" si="18"/>
        <v>0.12497984196097403</v>
      </c>
      <c r="N11" s="166">
        <f t="shared" si="18"/>
        <v>5.6301652892561983E-2</v>
      </c>
      <c r="O11" s="166">
        <f t="shared" si="18"/>
        <v>4.1268027988005142E-2</v>
      </c>
      <c r="P11" s="166">
        <f t="shared" si="18"/>
        <v>0.11462639109697934</v>
      </c>
      <c r="Q11" s="174">
        <f t="shared" si="18"/>
        <v>8.3471662319184251E-2</v>
      </c>
      <c r="R11" s="166">
        <f t="shared" si="18"/>
        <v>0.14363256784968684</v>
      </c>
      <c r="S11" s="166">
        <f t="shared" si="18"/>
        <v>6.7220655883662259E-2</v>
      </c>
      <c r="T11" s="166">
        <f>T8/T20</f>
        <v>5.3208722741433019E-2</v>
      </c>
      <c r="U11" s="166">
        <f t="shared" ref="U11:AU11" si="19">U8/U20</f>
        <v>0.11462639109697934</v>
      </c>
      <c r="V11" s="174">
        <f t="shared" si="19"/>
        <v>8.7150181780691338E-2</v>
      </c>
      <c r="W11" s="166">
        <f t="shared" si="19"/>
        <v>0.14363256784968687</v>
      </c>
      <c r="X11" s="166">
        <f t="shared" si="19"/>
        <v>6.7220655883662259E-2</v>
      </c>
      <c r="Y11" s="166">
        <f t="shared" si="19"/>
        <v>5.3208722741433026E-2</v>
      </c>
      <c r="Z11" s="166">
        <f t="shared" si="19"/>
        <v>0.11462639109697935</v>
      </c>
      <c r="AA11" s="174">
        <f t="shared" si="19"/>
        <v>9.3300173597948774E-2</v>
      </c>
      <c r="AB11" s="166">
        <f t="shared" si="19"/>
        <v>0.14363256784968684</v>
      </c>
      <c r="AC11" s="166">
        <f t="shared" si="19"/>
        <v>6.7220655883662259E-2</v>
      </c>
      <c r="AD11" s="166">
        <f t="shared" si="19"/>
        <v>5.3208722741433026E-2</v>
      </c>
      <c r="AE11" s="166">
        <f t="shared" si="19"/>
        <v>0.11462639109697934</v>
      </c>
      <c r="AF11" s="174">
        <f t="shared" si="19"/>
        <v>9.330017359794876E-2</v>
      </c>
      <c r="AG11" s="166">
        <f t="shared" si="19"/>
        <v>0.14363256784968684</v>
      </c>
      <c r="AH11" s="166">
        <f t="shared" si="19"/>
        <v>6.7220655883662259E-2</v>
      </c>
      <c r="AI11" s="166">
        <f t="shared" si="19"/>
        <v>5.3208722741433012E-2</v>
      </c>
      <c r="AJ11" s="166">
        <f t="shared" si="19"/>
        <v>0.11462639109697936</v>
      </c>
      <c r="AK11" s="174">
        <f t="shared" si="19"/>
        <v>9.330017359794876E-2</v>
      </c>
      <c r="AL11" s="166">
        <f t="shared" si="19"/>
        <v>0.14363256784968684</v>
      </c>
      <c r="AM11" s="166">
        <f t="shared" si="19"/>
        <v>6.7220655883662245E-2</v>
      </c>
      <c r="AN11" s="166">
        <f t="shared" si="19"/>
        <v>5.3208722741433019E-2</v>
      </c>
      <c r="AO11" s="166">
        <f t="shared" si="19"/>
        <v>0.11462639109697936</v>
      </c>
      <c r="AP11" s="174">
        <f t="shared" si="19"/>
        <v>9.330017359794876E-2</v>
      </c>
      <c r="AQ11" s="166">
        <f t="shared" si="19"/>
        <v>0.14363256784968684</v>
      </c>
      <c r="AR11" s="166">
        <f t="shared" si="19"/>
        <v>6.7220655883662245E-2</v>
      </c>
      <c r="AS11" s="166">
        <f t="shared" si="19"/>
        <v>5.3208722741433026E-2</v>
      </c>
      <c r="AT11" s="166">
        <f t="shared" si="19"/>
        <v>0.11462639109697936</v>
      </c>
      <c r="AU11" s="174">
        <f t="shared" si="19"/>
        <v>9.330017359794876E-2</v>
      </c>
    </row>
    <row r="12" spans="2:47" s="14" customFormat="1" x14ac:dyDescent="0.25">
      <c r="B12" s="164" t="s">
        <v>158</v>
      </c>
      <c r="C12" s="14">
        <v>106</v>
      </c>
      <c r="D12" s="14">
        <v>118</v>
      </c>
      <c r="E12" s="14">
        <v>138</v>
      </c>
      <c r="F12" s="14">
        <f>G12-SUM(C12:E12)</f>
        <v>125</v>
      </c>
      <c r="G12" s="173">
        <v>487</v>
      </c>
      <c r="H12" s="14">
        <v>129</v>
      </c>
      <c r="I12" s="14">
        <v>123</v>
      </c>
      <c r="J12" s="14">
        <v>126</v>
      </c>
      <c r="K12" s="169">
        <f>L12-SUM(H12:J12)</f>
        <v>124</v>
      </c>
      <c r="L12" s="173">
        <v>502</v>
      </c>
      <c r="M12" s="14">
        <v>119</v>
      </c>
      <c r="N12" s="14">
        <v>119</v>
      </c>
      <c r="O12" s="14">
        <v>117</v>
      </c>
      <c r="P12" s="14">
        <f>Q12-SUM(M12:O12)</f>
        <v>121</v>
      </c>
      <c r="Q12" s="173">
        <v>476</v>
      </c>
      <c r="R12" s="14">
        <v>121</v>
      </c>
      <c r="S12" s="14">
        <v>121</v>
      </c>
      <c r="T12" s="14">
        <v>130</v>
      </c>
      <c r="U12" s="14">
        <f>P12*(1+U14)</f>
        <v>122.5367</v>
      </c>
      <c r="V12" s="173">
        <f>SUM(R12:U12)</f>
        <v>494.5367</v>
      </c>
      <c r="W12" s="14">
        <f>R12*(1+W14)</f>
        <v>122.5367</v>
      </c>
      <c r="X12" s="14">
        <f t="shared" ref="X12" si="20">S12*(1+X14)</f>
        <v>122.5367</v>
      </c>
      <c r="Y12" s="14">
        <f t="shared" ref="Y12" si="21">T12*(1+Y14)</f>
        <v>131.65099999999998</v>
      </c>
      <c r="Z12" s="14">
        <f t="shared" ref="Z12" si="22">U12*(1+Z14)</f>
        <v>124.09291608999999</v>
      </c>
      <c r="AA12" s="173">
        <f>SUM(W12:Z12)</f>
        <v>500.81731608999996</v>
      </c>
      <c r="AB12" s="14">
        <f>W12*(1+AB14)</f>
        <v>124.09291608999999</v>
      </c>
      <c r="AC12" s="14">
        <f t="shared" ref="AC12" si="23">X12*(1+AC14)</f>
        <v>124.09291608999999</v>
      </c>
      <c r="AD12" s="14">
        <f t="shared" ref="AD12" si="24">Y12*(1+AD14)</f>
        <v>133.32296769999996</v>
      </c>
      <c r="AE12" s="14">
        <f t="shared" ref="AE12" si="25">Z12*(1+AE14)</f>
        <v>125.66889612434298</v>
      </c>
      <c r="AF12" s="173">
        <f>SUM(AB12:AE12)</f>
        <v>507.17769600434292</v>
      </c>
      <c r="AG12" s="14">
        <f>AB12*(1+AG14)</f>
        <v>125.66889612434298</v>
      </c>
      <c r="AH12" s="14">
        <f t="shared" ref="AH12" si="26">AC12*(1+AH14)</f>
        <v>125.66889612434298</v>
      </c>
      <c r="AI12" s="14">
        <f t="shared" ref="AI12" si="27">AD12*(1+AI14)</f>
        <v>135.01616938978995</v>
      </c>
      <c r="AJ12" s="14">
        <f t="shared" ref="AJ12" si="28">AE12*(1+AJ14)</f>
        <v>127.26489110512213</v>
      </c>
      <c r="AK12" s="173">
        <f>SUM(AG12:AJ12)</f>
        <v>513.61885274359804</v>
      </c>
      <c r="AL12" s="14">
        <f>AG12*(1+AL14)</f>
        <v>127.26489110512213</v>
      </c>
      <c r="AM12" s="14">
        <f t="shared" ref="AM12" si="29">AH12*(1+AM14)</f>
        <v>127.26489110512213</v>
      </c>
      <c r="AN12" s="14">
        <f t="shared" ref="AN12" si="30">AI12*(1+AN14)</f>
        <v>136.73087474104028</v>
      </c>
      <c r="AO12" s="14">
        <f t="shared" ref="AO12" si="31">AJ12*(1+AO14)</f>
        <v>128.88115522215716</v>
      </c>
      <c r="AP12" s="173">
        <f>SUM(AL12:AO12)</f>
        <v>520.14181217344174</v>
      </c>
      <c r="AQ12" s="14">
        <f>AL12*(1+AQ14)</f>
        <v>128.88115522215716</v>
      </c>
      <c r="AR12" s="14">
        <f t="shared" ref="AR12" si="32">AM12*(1+AR14)</f>
        <v>128.88115522215716</v>
      </c>
      <c r="AS12" s="14">
        <f t="shared" ref="AS12" si="33">AN12*(1+AS14)</f>
        <v>138.46735685025149</v>
      </c>
      <c r="AT12" s="14">
        <f t="shared" ref="AT12" si="34">AO12*(1+AT14)</f>
        <v>130.51794589347855</v>
      </c>
      <c r="AU12" s="173">
        <f>SUM(AQ12:AT12)</f>
        <v>526.7476131880444</v>
      </c>
    </row>
    <row r="13" spans="2:47" s="166" customFormat="1" x14ac:dyDescent="0.25">
      <c r="B13" s="167" t="s">
        <v>154</v>
      </c>
      <c r="D13" s="166">
        <f>D12/C12-1</f>
        <v>0.1132075471698113</v>
      </c>
      <c r="E13" s="166">
        <f>E12/D12-1</f>
        <v>0.16949152542372881</v>
      </c>
      <c r="F13" s="166">
        <f>F12/E12-1</f>
        <v>-9.4202898550724612E-2</v>
      </c>
      <c r="G13" s="174"/>
      <c r="H13" s="166">
        <f>H12/F12-1</f>
        <v>3.2000000000000028E-2</v>
      </c>
      <c r="I13" s="166">
        <f>I12/H12-1</f>
        <v>-4.6511627906976716E-2</v>
      </c>
      <c r="J13" s="166">
        <f t="shared" ref="J13:K13" si="35">J12/I12-1</f>
        <v>2.4390243902439046E-2</v>
      </c>
      <c r="K13" s="166">
        <f t="shared" si="35"/>
        <v>-1.5873015873015928E-2</v>
      </c>
      <c r="L13" s="174">
        <f>L12/G12-1</f>
        <v>3.0800821355236208E-2</v>
      </c>
      <c r="M13" s="166">
        <f>M12/K12-1</f>
        <v>-4.0322580645161255E-2</v>
      </c>
      <c r="N13" s="166">
        <f>N12/M12-1</f>
        <v>0</v>
      </c>
      <c r="O13" s="166">
        <f t="shared" ref="O13:P13" si="36">O12/N12-1</f>
        <v>-1.6806722689075682E-2</v>
      </c>
      <c r="P13" s="166">
        <f t="shared" si="36"/>
        <v>3.4188034188034289E-2</v>
      </c>
      <c r="Q13" s="174">
        <f>Q12/L12-1</f>
        <v>-5.1792828685258918E-2</v>
      </c>
      <c r="R13" s="166">
        <f>R12/P12-1</f>
        <v>0</v>
      </c>
      <c r="S13" s="166">
        <f>S12/R12-1</f>
        <v>0</v>
      </c>
      <c r="T13" s="166">
        <f>T12/S12-1</f>
        <v>7.4380165289256173E-2</v>
      </c>
      <c r="U13" s="166">
        <f>U12/S12-1</f>
        <v>1.2699999999999934E-2</v>
      </c>
      <c r="V13" s="174">
        <f>V12/Q12-1</f>
        <v>3.8942647058823443E-2</v>
      </c>
      <c r="W13" s="166">
        <f>W12/U12-1</f>
        <v>0</v>
      </c>
      <c r="X13" s="166">
        <f>X12/W12-1</f>
        <v>0</v>
      </c>
      <c r="Y13" s="166">
        <f t="shared" ref="Y13:Z13" si="37">Y12/X12-1</f>
        <v>7.4380165289256173E-2</v>
      </c>
      <c r="Z13" s="166">
        <f t="shared" si="37"/>
        <v>-5.7409999999999961E-2</v>
      </c>
      <c r="AA13" s="174">
        <f>AA12/V12-1</f>
        <v>1.2699999999999934E-2</v>
      </c>
      <c r="AB13" s="166">
        <f>AB12/Z12-1</f>
        <v>0</v>
      </c>
      <c r="AC13" s="166">
        <f>AC12/AB12-1</f>
        <v>0</v>
      </c>
      <c r="AD13" s="166">
        <f t="shared" ref="AD13" si="38">AD12/AC12-1</f>
        <v>7.4380165289255951E-2</v>
      </c>
      <c r="AE13" s="166">
        <f t="shared" ref="AE13" si="39">AE12/AD12-1</f>
        <v>-5.740999999999985E-2</v>
      </c>
      <c r="AF13" s="174">
        <f>AF12/AA12-1</f>
        <v>1.2699999999999934E-2</v>
      </c>
      <c r="AG13" s="166">
        <f>AG12/AE12-1</f>
        <v>0</v>
      </c>
      <c r="AH13" s="166">
        <f>AH12/AG12-1</f>
        <v>0</v>
      </c>
      <c r="AI13" s="166">
        <f t="shared" ref="AI13" si="40">AI12/AH12-1</f>
        <v>7.4380165289255951E-2</v>
      </c>
      <c r="AJ13" s="166">
        <f t="shared" ref="AJ13" si="41">AJ12/AI12-1</f>
        <v>-5.740999999999985E-2</v>
      </c>
      <c r="AK13" s="174">
        <f>AK12/AF12-1</f>
        <v>1.2699999999999934E-2</v>
      </c>
      <c r="AL13" s="166">
        <f>AL12/AJ12-1</f>
        <v>0</v>
      </c>
      <c r="AM13" s="166">
        <f>AM12/AL12-1</f>
        <v>0</v>
      </c>
      <c r="AN13" s="166">
        <f t="shared" ref="AN13" si="42">AN12/AM12-1</f>
        <v>7.4380165289255951E-2</v>
      </c>
      <c r="AO13" s="166">
        <f t="shared" ref="AO13" si="43">AO12/AN12-1</f>
        <v>-5.7409999999999961E-2</v>
      </c>
      <c r="AP13" s="174">
        <f>AP12/AK12-1</f>
        <v>1.2699999999999934E-2</v>
      </c>
      <c r="AQ13" s="166">
        <f>AQ12/AO12-1</f>
        <v>0</v>
      </c>
      <c r="AR13" s="166">
        <f>AR12/AQ12-1</f>
        <v>0</v>
      </c>
      <c r="AS13" s="166">
        <f t="shared" ref="AS13" si="44">AS12/AR12-1</f>
        <v>7.4380165289256173E-2</v>
      </c>
      <c r="AT13" s="166">
        <f t="shared" ref="AT13" si="45">AT12/AS12-1</f>
        <v>-5.7409999999999961E-2</v>
      </c>
      <c r="AU13" s="174">
        <f>AU12/AP12-1</f>
        <v>1.2699999999999934E-2</v>
      </c>
    </row>
    <row r="14" spans="2:47" s="166" customFormat="1" x14ac:dyDescent="0.25">
      <c r="B14" s="167" t="s">
        <v>188</v>
      </c>
      <c r="G14" s="174"/>
      <c r="L14" s="174"/>
      <c r="Q14" s="174"/>
      <c r="U14" s="166">
        <v>1.2699999999999999E-2</v>
      </c>
      <c r="V14" s="174"/>
      <c r="W14" s="166">
        <v>1.2699999999999999E-2</v>
      </c>
      <c r="X14" s="166">
        <v>1.2699999999999999E-2</v>
      </c>
      <c r="Y14" s="166">
        <v>1.2699999999999999E-2</v>
      </c>
      <c r="Z14" s="166">
        <v>1.2699999999999999E-2</v>
      </c>
      <c r="AA14" s="174">
        <v>1.3599999999999999E-2</v>
      </c>
      <c r="AB14" s="166">
        <v>1.2699999999999999E-2</v>
      </c>
      <c r="AC14" s="166">
        <v>1.2699999999999999E-2</v>
      </c>
      <c r="AD14" s="166">
        <v>1.2699999999999999E-2</v>
      </c>
      <c r="AE14" s="166">
        <v>1.2699999999999999E-2</v>
      </c>
      <c r="AF14" s="174">
        <v>1.3599999999999999E-2</v>
      </c>
      <c r="AG14" s="166">
        <v>1.2699999999999999E-2</v>
      </c>
      <c r="AH14" s="166">
        <v>1.2699999999999999E-2</v>
      </c>
      <c r="AI14" s="166">
        <v>1.2699999999999999E-2</v>
      </c>
      <c r="AJ14" s="166">
        <v>1.2699999999999999E-2</v>
      </c>
      <c r="AK14" s="174">
        <v>1.3599999999999999E-2</v>
      </c>
      <c r="AL14" s="166">
        <v>1.2699999999999999E-2</v>
      </c>
      <c r="AM14" s="166">
        <v>1.2699999999999999E-2</v>
      </c>
      <c r="AN14" s="166">
        <v>1.2699999999999999E-2</v>
      </c>
      <c r="AO14" s="166">
        <v>1.2699999999999999E-2</v>
      </c>
      <c r="AP14" s="174">
        <v>1.3599999999999999E-2</v>
      </c>
      <c r="AQ14" s="166">
        <v>1.2699999999999999E-2</v>
      </c>
      <c r="AR14" s="166">
        <v>1.2699999999999999E-2</v>
      </c>
      <c r="AS14" s="166">
        <v>1.2699999999999999E-2</v>
      </c>
      <c r="AT14" s="166">
        <v>1.2699999999999999E-2</v>
      </c>
      <c r="AU14" s="174">
        <v>1.3599999999999999E-2</v>
      </c>
    </row>
    <row r="15" spans="2:47" s="166" customFormat="1" x14ac:dyDescent="0.25">
      <c r="B15" s="162" t="s">
        <v>155</v>
      </c>
      <c r="C15" s="166">
        <f>C12/C20</f>
        <v>1.7063747585318739E-2</v>
      </c>
      <c r="D15" s="166">
        <f t="shared" ref="D15:S15" si="46">D12/D20</f>
        <v>1.9918973666441592E-2</v>
      </c>
      <c r="E15" s="166">
        <f t="shared" si="46"/>
        <v>1.9745314064959222E-2</v>
      </c>
      <c r="F15" s="166">
        <f t="shared" si="46"/>
        <v>2.0311992200194993E-2</v>
      </c>
      <c r="G15" s="174">
        <f t="shared" si="46"/>
        <v>1.9265002571304243E-2</v>
      </c>
      <c r="H15" s="166">
        <f t="shared" si="46"/>
        <v>2.1539489063282687E-2</v>
      </c>
      <c r="I15" s="166">
        <f t="shared" si="46"/>
        <v>2.2478070175438597E-2</v>
      </c>
      <c r="J15" s="166">
        <f t="shared" si="46"/>
        <v>1.8611521418020679E-2</v>
      </c>
      <c r="K15" s="166">
        <f t="shared" si="46"/>
        <v>2.1247429746401644E-2</v>
      </c>
      <c r="L15" s="174">
        <f t="shared" si="46"/>
        <v>2.085843686375535E-2</v>
      </c>
      <c r="M15" s="166">
        <f t="shared" si="46"/>
        <v>1.9190453152717304E-2</v>
      </c>
      <c r="N15" s="166">
        <f t="shared" si="46"/>
        <v>2.0488980716253442E-2</v>
      </c>
      <c r="O15" s="166">
        <f t="shared" si="46"/>
        <v>1.6707125517635299E-2</v>
      </c>
      <c r="P15" s="166">
        <f t="shared" si="46"/>
        <v>1.9236883942766295E-2</v>
      </c>
      <c r="Q15" s="174">
        <f t="shared" si="46"/>
        <v>1.8812742075725239E-2</v>
      </c>
      <c r="R15" s="166">
        <f t="shared" si="46"/>
        <v>1.6840640222686151E-2</v>
      </c>
      <c r="S15" s="166">
        <f t="shared" si="46"/>
        <v>1.7955186229410891E-2</v>
      </c>
      <c r="T15" s="166">
        <f>T12/T20</f>
        <v>1.61993769470405E-2</v>
      </c>
      <c r="U15" s="166">
        <f t="shared" ref="U15:AU15" si="47">U12/U20</f>
        <v>1.9236883942766295E-2</v>
      </c>
      <c r="V15" s="174">
        <f t="shared" si="47"/>
        <v>1.8641420113418346E-2</v>
      </c>
      <c r="W15" s="166">
        <f t="shared" si="47"/>
        <v>1.6840640222686155E-2</v>
      </c>
      <c r="X15" s="166">
        <f t="shared" si="47"/>
        <v>1.7955186229410891E-2</v>
      </c>
      <c r="Y15" s="166">
        <f t="shared" si="47"/>
        <v>1.61993769470405E-2</v>
      </c>
      <c r="Z15" s="166">
        <f t="shared" si="47"/>
        <v>1.9236883942766295E-2</v>
      </c>
      <c r="AA15" s="174">
        <f t="shared" si="47"/>
        <v>1.7463142878905217E-2</v>
      </c>
      <c r="AB15" s="166">
        <f t="shared" si="47"/>
        <v>1.6840640222686151E-2</v>
      </c>
      <c r="AC15" s="166">
        <f t="shared" si="47"/>
        <v>1.7955186229410891E-2</v>
      </c>
      <c r="AD15" s="166">
        <f t="shared" si="47"/>
        <v>1.6199376947040496E-2</v>
      </c>
      <c r="AE15" s="166">
        <f t="shared" si="47"/>
        <v>1.9236883942766295E-2</v>
      </c>
      <c r="AF15" s="174">
        <f t="shared" si="47"/>
        <v>1.7463142878905217E-2</v>
      </c>
      <c r="AG15" s="166">
        <f t="shared" si="47"/>
        <v>1.6840640222686151E-2</v>
      </c>
      <c r="AH15" s="166">
        <f t="shared" si="47"/>
        <v>1.7955186229410891E-2</v>
      </c>
      <c r="AI15" s="166">
        <f t="shared" si="47"/>
        <v>1.6199376947040493E-2</v>
      </c>
      <c r="AJ15" s="166">
        <f t="shared" si="47"/>
        <v>1.9236883942766299E-2</v>
      </c>
      <c r="AK15" s="174">
        <f t="shared" si="47"/>
        <v>1.7463142878905217E-2</v>
      </c>
      <c r="AL15" s="166">
        <f t="shared" si="47"/>
        <v>1.6840640222686151E-2</v>
      </c>
      <c r="AM15" s="166">
        <f t="shared" si="47"/>
        <v>1.7955186229410891E-2</v>
      </c>
      <c r="AN15" s="166">
        <f t="shared" si="47"/>
        <v>1.61993769470405E-2</v>
      </c>
      <c r="AO15" s="166">
        <f t="shared" si="47"/>
        <v>1.9236883942766295E-2</v>
      </c>
      <c r="AP15" s="174">
        <f t="shared" si="47"/>
        <v>1.746314287890522E-2</v>
      </c>
      <c r="AQ15" s="166">
        <f t="shared" si="47"/>
        <v>1.6840640222686151E-2</v>
      </c>
      <c r="AR15" s="166">
        <f t="shared" si="47"/>
        <v>1.7955186229410891E-2</v>
      </c>
      <c r="AS15" s="166">
        <f t="shared" si="47"/>
        <v>1.61993769470405E-2</v>
      </c>
      <c r="AT15" s="166">
        <f t="shared" si="47"/>
        <v>1.9236883942766295E-2</v>
      </c>
      <c r="AU15" s="174">
        <f t="shared" si="47"/>
        <v>1.7463142878905217E-2</v>
      </c>
    </row>
    <row r="16" spans="2:47" s="14" customFormat="1" x14ac:dyDescent="0.25">
      <c r="B16" s="164" t="s">
        <v>159</v>
      </c>
      <c r="C16" s="14">
        <v>21</v>
      </c>
      <c r="D16" s="14">
        <v>25</v>
      </c>
      <c r="E16" s="14">
        <v>25</v>
      </c>
      <c r="F16" s="14">
        <f>G16-SUM(C16:E16)</f>
        <v>24</v>
      </c>
      <c r="G16" s="173">
        <v>95</v>
      </c>
      <c r="H16" s="14">
        <v>23</v>
      </c>
      <c r="I16" s="14">
        <v>26</v>
      </c>
      <c r="J16" s="14">
        <v>24</v>
      </c>
      <c r="K16" s="169">
        <f>L16-SUM(H16:J16)</f>
        <v>24</v>
      </c>
      <c r="L16" s="173">
        <v>97</v>
      </c>
      <c r="M16" s="14">
        <v>26</v>
      </c>
      <c r="N16" s="14">
        <v>27</v>
      </c>
      <c r="O16" s="14">
        <v>28</v>
      </c>
      <c r="P16" s="14">
        <f>Q16-SUM(M16:O16)</f>
        <v>30</v>
      </c>
      <c r="Q16" s="173">
        <v>111</v>
      </c>
      <c r="R16" s="14">
        <v>30</v>
      </c>
      <c r="S16" s="14">
        <v>30</v>
      </c>
      <c r="T16" s="14">
        <v>29</v>
      </c>
      <c r="U16" s="14">
        <f>P16*(1+U18)</f>
        <v>30.380999999999997</v>
      </c>
      <c r="V16" s="173">
        <f>SUM(R16:U16)</f>
        <v>119.381</v>
      </c>
      <c r="W16" s="14">
        <f>R16*(1+W18)</f>
        <v>30.380999999999997</v>
      </c>
      <c r="X16" s="14">
        <f t="shared" ref="X16" si="48">S16*(1+X18)</f>
        <v>30.380999999999997</v>
      </c>
      <c r="Y16" s="14">
        <f t="shared" ref="Y16" si="49">T16*(1+Y18)</f>
        <v>29.368299999999998</v>
      </c>
      <c r="Z16" s="14">
        <f t="shared" ref="Z16" si="50">U16*(1+Z18)</f>
        <v>30.766838699999994</v>
      </c>
      <c r="AA16" s="173">
        <f>SUM(W16:Z16)</f>
        <v>120.89713869999999</v>
      </c>
      <c r="AB16" s="14">
        <f>W16*(1+AB18)</f>
        <v>30.766838699999994</v>
      </c>
      <c r="AC16" s="14">
        <f t="shared" ref="AC16" si="51">X16*(1+AC18)</f>
        <v>30.766838699999994</v>
      </c>
      <c r="AD16" s="14">
        <f t="shared" ref="AD16" si="52">Y16*(1+AD18)</f>
        <v>29.741277409999995</v>
      </c>
      <c r="AE16" s="14">
        <f t="shared" ref="AE16" si="53">Z16*(1+AE18)</f>
        <v>31.157577551489993</v>
      </c>
      <c r="AF16" s="173">
        <f>SUM(AB16:AE16)</f>
        <v>122.43253236148998</v>
      </c>
      <c r="AG16" s="14">
        <f>AB16*(1+AG18)</f>
        <v>31.157577551489993</v>
      </c>
      <c r="AH16" s="14">
        <f t="shared" ref="AH16" si="54">AC16*(1+AH18)</f>
        <v>31.157577551489993</v>
      </c>
      <c r="AI16" s="14">
        <f t="shared" ref="AI16" si="55">AD16*(1+AI18)</f>
        <v>30.118991633106994</v>
      </c>
      <c r="AJ16" s="14">
        <f t="shared" ref="AJ16" si="56">AE16*(1+AJ18)</f>
        <v>31.553278786393914</v>
      </c>
      <c r="AK16" s="173">
        <f>SUM(AG16:AJ16)</f>
        <v>123.98742552248089</v>
      </c>
      <c r="AL16" s="14">
        <f>AG16*(1+AL18)</f>
        <v>31.553278786393914</v>
      </c>
      <c r="AM16" s="14">
        <f t="shared" ref="AM16" si="57">AH16*(1+AM18)</f>
        <v>31.553278786393914</v>
      </c>
      <c r="AN16" s="14">
        <f t="shared" ref="AN16" si="58">AI16*(1+AN18)</f>
        <v>30.50150282684745</v>
      </c>
      <c r="AO16" s="14">
        <f t="shared" ref="AO16" si="59">AJ16*(1+AO18)</f>
        <v>31.954005426981116</v>
      </c>
      <c r="AP16" s="173">
        <f>SUM(AL16:AO16)</f>
        <v>125.56206582661639</v>
      </c>
      <c r="AQ16" s="14">
        <f>AL16*(1+AQ18)</f>
        <v>31.954005426981116</v>
      </c>
      <c r="AR16" s="14">
        <f t="shared" ref="AR16" si="60">AM16*(1+AR18)</f>
        <v>31.954005426981116</v>
      </c>
      <c r="AS16" s="14">
        <f t="shared" ref="AS16" si="61">AN16*(1+AS18)</f>
        <v>30.88887191274841</v>
      </c>
      <c r="AT16" s="14">
        <f t="shared" ref="AT16" si="62">AO16*(1+AT18)</f>
        <v>32.359821295903771</v>
      </c>
      <c r="AU16" s="173">
        <f>SUM(AQ16:AT16)</f>
        <v>127.15670406261441</v>
      </c>
    </row>
    <row r="17" spans="2:47" s="166" customFormat="1" x14ac:dyDescent="0.25">
      <c r="B17" s="167" t="s">
        <v>154</v>
      </c>
      <c r="G17" s="174"/>
      <c r="H17" s="166">
        <f>H16/F16-1</f>
        <v>-4.166666666666663E-2</v>
      </c>
      <c r="I17" s="166">
        <f>I16/H16-1</f>
        <v>0.13043478260869557</v>
      </c>
      <c r="J17" s="166">
        <f t="shared" ref="J17:K17" si="63">J16/I16-1</f>
        <v>-7.6923076923076872E-2</v>
      </c>
      <c r="K17" s="166">
        <f t="shared" si="63"/>
        <v>0</v>
      </c>
      <c r="L17" s="174">
        <f>L16/G16-1</f>
        <v>2.1052631578947434E-2</v>
      </c>
      <c r="M17" s="166">
        <f>M16/K16-1</f>
        <v>8.3333333333333259E-2</v>
      </c>
      <c r="N17" s="166">
        <f>N16/M16-1</f>
        <v>3.8461538461538547E-2</v>
      </c>
      <c r="O17" s="166">
        <f t="shared" ref="O17:P17" si="64">O16/N16-1</f>
        <v>3.7037037037036979E-2</v>
      </c>
      <c r="P17" s="166">
        <f t="shared" si="64"/>
        <v>7.1428571428571397E-2</v>
      </c>
      <c r="Q17" s="174">
        <f>Q16/L16-1</f>
        <v>0.14432989690721643</v>
      </c>
      <c r="R17" s="166">
        <f>R16/P16-1</f>
        <v>0</v>
      </c>
      <c r="S17" s="166">
        <f>S16/R16-1</f>
        <v>0</v>
      </c>
      <c r="T17" s="166">
        <f>T16/S16-1</f>
        <v>-3.3333333333333326E-2</v>
      </c>
      <c r="U17" s="166">
        <f>U16/S16-1</f>
        <v>1.2699999999999934E-2</v>
      </c>
      <c r="V17" s="174">
        <f>V16/Q16-1</f>
        <v>7.5504504504504411E-2</v>
      </c>
      <c r="W17" s="166">
        <f>W16/U16-1</f>
        <v>0</v>
      </c>
      <c r="X17" s="166">
        <f>X16/W16-1</f>
        <v>0</v>
      </c>
      <c r="Y17" s="166">
        <f t="shared" ref="Y17" si="65">Y16/X16-1</f>
        <v>-3.3333333333333326E-2</v>
      </c>
      <c r="Z17" s="166">
        <f t="shared" ref="Z17" si="66">Z16/Y16-1</f>
        <v>4.7620689655172299E-2</v>
      </c>
      <c r="AA17" s="174">
        <f>AA16/V16-1</f>
        <v>1.2699999999999934E-2</v>
      </c>
      <c r="AB17" s="166">
        <f>AB16/Z16-1</f>
        <v>0</v>
      </c>
      <c r="AC17" s="166">
        <f>AC16/AB16-1</f>
        <v>0</v>
      </c>
      <c r="AD17" s="166">
        <f t="shared" ref="AD17" si="67">AD16/AC16-1</f>
        <v>-3.3333333333333326E-2</v>
      </c>
      <c r="AE17" s="166">
        <f t="shared" ref="AE17" si="68">AE16/AD16-1</f>
        <v>4.7620689655172299E-2</v>
      </c>
      <c r="AF17" s="174">
        <f>AF16/AA16-1</f>
        <v>1.2699999999999934E-2</v>
      </c>
      <c r="AG17" s="166">
        <f>AG16/AE16-1</f>
        <v>0</v>
      </c>
      <c r="AH17" s="166">
        <f>AH16/AG16-1</f>
        <v>0</v>
      </c>
      <c r="AI17" s="166">
        <f t="shared" ref="AI17" si="69">AI16/AH16-1</f>
        <v>-3.3333333333333326E-2</v>
      </c>
      <c r="AJ17" s="166">
        <f t="shared" ref="AJ17" si="70">AJ16/AI16-1</f>
        <v>4.7620689655172299E-2</v>
      </c>
      <c r="AK17" s="174">
        <f>AK16/AF16-1</f>
        <v>1.2699999999999934E-2</v>
      </c>
      <c r="AL17" s="166">
        <f>AL16/AJ16-1</f>
        <v>0</v>
      </c>
      <c r="AM17" s="166">
        <f>AM16/AL16-1</f>
        <v>0</v>
      </c>
      <c r="AN17" s="166">
        <f t="shared" ref="AN17" si="71">AN16/AM16-1</f>
        <v>-3.3333333333333326E-2</v>
      </c>
      <c r="AO17" s="166">
        <f t="shared" ref="AO17" si="72">AO16/AN16-1</f>
        <v>4.7620689655172299E-2</v>
      </c>
      <c r="AP17" s="174">
        <f>AP16/AK16-1</f>
        <v>1.2699999999999934E-2</v>
      </c>
      <c r="AQ17" s="166">
        <f>AQ16/AO16-1</f>
        <v>0</v>
      </c>
      <c r="AR17" s="166">
        <f>AR16/AQ16-1</f>
        <v>0</v>
      </c>
      <c r="AS17" s="166">
        <f t="shared" ref="AS17" si="73">AS16/AR16-1</f>
        <v>-3.3333333333333437E-2</v>
      </c>
      <c r="AT17" s="166">
        <f t="shared" ref="AT17" si="74">AT16/AS16-1</f>
        <v>4.7620689655172299E-2</v>
      </c>
      <c r="AU17" s="174">
        <f>AU16/AP16-1</f>
        <v>1.2699999999999934E-2</v>
      </c>
    </row>
    <row r="18" spans="2:47" s="166" customFormat="1" x14ac:dyDescent="0.25">
      <c r="B18" s="167" t="s">
        <v>188</v>
      </c>
      <c r="G18" s="174"/>
      <c r="L18" s="174"/>
      <c r="Q18" s="174"/>
      <c r="U18" s="166">
        <v>1.2699999999999999E-2</v>
      </c>
      <c r="V18" s="174"/>
      <c r="W18" s="166">
        <v>1.2699999999999999E-2</v>
      </c>
      <c r="X18" s="166">
        <v>1.2699999999999999E-2</v>
      </c>
      <c r="Y18" s="166">
        <v>1.2699999999999999E-2</v>
      </c>
      <c r="Z18" s="166">
        <v>1.2699999999999999E-2</v>
      </c>
      <c r="AA18" s="174">
        <v>1.3599999999999999E-2</v>
      </c>
      <c r="AB18" s="166">
        <v>1.2699999999999999E-2</v>
      </c>
      <c r="AC18" s="166">
        <v>1.2699999999999999E-2</v>
      </c>
      <c r="AD18" s="166">
        <v>1.2699999999999999E-2</v>
      </c>
      <c r="AE18" s="166">
        <v>1.2699999999999999E-2</v>
      </c>
      <c r="AF18" s="174">
        <v>1.3599999999999999E-2</v>
      </c>
      <c r="AG18" s="166">
        <v>1.2699999999999999E-2</v>
      </c>
      <c r="AH18" s="166">
        <v>1.2699999999999999E-2</v>
      </c>
      <c r="AI18" s="166">
        <v>1.2699999999999999E-2</v>
      </c>
      <c r="AJ18" s="166">
        <v>1.2699999999999999E-2</v>
      </c>
      <c r="AK18" s="174">
        <v>1.3599999999999999E-2</v>
      </c>
      <c r="AL18" s="166">
        <v>1.2699999999999999E-2</v>
      </c>
      <c r="AM18" s="166">
        <v>1.2699999999999999E-2</v>
      </c>
      <c r="AN18" s="166">
        <v>1.2699999999999999E-2</v>
      </c>
      <c r="AO18" s="166">
        <v>1.2699999999999999E-2</v>
      </c>
      <c r="AP18" s="174">
        <v>1.3599999999999999E-2</v>
      </c>
      <c r="AQ18" s="166">
        <v>1.2699999999999999E-2</v>
      </c>
      <c r="AR18" s="166">
        <v>1.2699999999999999E-2</v>
      </c>
      <c r="AS18" s="166">
        <v>1.2699999999999999E-2</v>
      </c>
      <c r="AT18" s="166">
        <v>1.2699999999999999E-2</v>
      </c>
      <c r="AU18" s="174">
        <v>1.3599999999999999E-2</v>
      </c>
    </row>
    <row r="19" spans="2:47" s="166" customFormat="1" x14ac:dyDescent="0.25">
      <c r="B19" s="162" t="s">
        <v>155</v>
      </c>
      <c r="C19" s="166">
        <f t="shared" ref="C19:W19" si="75">C16/C20</f>
        <v>3.3805537669027688E-3</v>
      </c>
      <c r="D19" s="166">
        <f t="shared" si="75"/>
        <v>4.2201215395003379E-3</v>
      </c>
      <c r="E19" s="166">
        <f t="shared" si="75"/>
        <v>3.5770496494491343E-3</v>
      </c>
      <c r="F19" s="166">
        <f t="shared" si="75"/>
        <v>3.8999025024374391E-3</v>
      </c>
      <c r="G19" s="174">
        <f t="shared" si="75"/>
        <v>3.7580600498437438E-3</v>
      </c>
      <c r="H19" s="166">
        <f t="shared" si="75"/>
        <v>3.8403740190348975E-3</v>
      </c>
      <c r="I19" s="166">
        <f t="shared" si="75"/>
        <v>4.7514619883040933E-3</v>
      </c>
      <c r="J19" s="166">
        <f t="shared" si="75"/>
        <v>3.5450516986706058E-3</v>
      </c>
      <c r="K19" s="166">
        <f t="shared" si="75"/>
        <v>4.1124057573680602E-3</v>
      </c>
      <c r="L19" s="174">
        <f t="shared" si="75"/>
        <v>4.0304150912037233E-3</v>
      </c>
      <c r="M19" s="166">
        <f t="shared" si="75"/>
        <v>4.1928721174004195E-3</v>
      </c>
      <c r="N19" s="166">
        <f t="shared" si="75"/>
        <v>4.6487603305785125E-3</v>
      </c>
      <c r="O19" s="166">
        <f t="shared" si="75"/>
        <v>3.9982864486648581E-3</v>
      </c>
      <c r="P19" s="166">
        <f t="shared" si="75"/>
        <v>4.7694753577106515E-3</v>
      </c>
      <c r="Q19" s="174">
        <f t="shared" si="75"/>
        <v>4.387004979843491E-3</v>
      </c>
      <c r="R19" s="166">
        <f t="shared" si="75"/>
        <v>4.1753653444676405E-3</v>
      </c>
      <c r="S19" s="166">
        <f t="shared" si="75"/>
        <v>4.4516990651431963E-3</v>
      </c>
      <c r="T19" s="166">
        <f t="shared" si="75"/>
        <v>3.6137071651090344E-3</v>
      </c>
      <c r="U19" s="166">
        <f t="shared" si="75"/>
        <v>4.7694753577106515E-3</v>
      </c>
      <c r="V19" s="174">
        <f t="shared" si="75"/>
        <v>4.5000328075954638E-3</v>
      </c>
      <c r="W19" s="166">
        <f t="shared" si="75"/>
        <v>4.1753653444676414E-3</v>
      </c>
      <c r="X19" s="166">
        <f t="shared" ref="X19:Z19" si="76">X16/X20</f>
        <v>4.4516990651431963E-3</v>
      </c>
      <c r="Y19" s="166">
        <f t="shared" si="76"/>
        <v>3.6137071651090348E-3</v>
      </c>
      <c r="Z19" s="166">
        <f t="shared" si="76"/>
        <v>4.7694753577106515E-3</v>
      </c>
      <c r="AA19" s="174">
        <f>AA16/AA20</f>
        <v>4.2155970629208792E-3</v>
      </c>
      <c r="AB19" s="166">
        <f>AB16/AB20</f>
        <v>4.1753653444676405E-3</v>
      </c>
      <c r="AC19" s="166">
        <f t="shared" ref="AC19" si="77">AC16/AC20</f>
        <v>4.4516990651431955E-3</v>
      </c>
      <c r="AD19" s="166">
        <f t="shared" ref="AD19" si="78">AD16/AD20</f>
        <v>3.6137071651090344E-3</v>
      </c>
      <c r="AE19" s="166">
        <f t="shared" ref="AE19" si="79">AE16/AE20</f>
        <v>4.7694753577106515E-3</v>
      </c>
      <c r="AF19" s="174">
        <f>AF16/AF20</f>
        <v>4.2155970629208783E-3</v>
      </c>
      <c r="AG19" s="166">
        <f>AG16/AG20</f>
        <v>4.1753653444676405E-3</v>
      </c>
      <c r="AH19" s="166">
        <f t="shared" ref="AH19" si="80">AH16/AH20</f>
        <v>4.4516990651431963E-3</v>
      </c>
      <c r="AI19" s="166">
        <f t="shared" ref="AI19" si="81">AI16/AI20</f>
        <v>3.6137071651090339E-3</v>
      </c>
      <c r="AJ19" s="166">
        <f t="shared" ref="AJ19" si="82">AJ16/AJ20</f>
        <v>4.7694753577106523E-3</v>
      </c>
      <c r="AK19" s="174">
        <f>AK16/AK20</f>
        <v>4.2155970629208783E-3</v>
      </c>
      <c r="AL19" s="166">
        <f>AL16/AL20</f>
        <v>4.1753653444676405E-3</v>
      </c>
      <c r="AM19" s="166">
        <f t="shared" ref="AM19" si="83">AM16/AM20</f>
        <v>4.4516990651431963E-3</v>
      </c>
      <c r="AN19" s="166">
        <f t="shared" ref="AN19" si="84">AN16/AN20</f>
        <v>3.6137071651090344E-3</v>
      </c>
      <c r="AO19" s="166">
        <f t="shared" ref="AO19" si="85">AO16/AO20</f>
        <v>4.7694753577106523E-3</v>
      </c>
      <c r="AP19" s="174">
        <f>AP16/AP20</f>
        <v>4.2155970629208792E-3</v>
      </c>
      <c r="AQ19" s="166">
        <f>AQ16/AQ20</f>
        <v>4.1753653444676414E-3</v>
      </c>
      <c r="AR19" s="166">
        <f t="shared" ref="AR19" si="86">AR16/AR20</f>
        <v>4.4516990651431963E-3</v>
      </c>
      <c r="AS19" s="166">
        <f t="shared" ref="AS19" si="87">AS16/AS20</f>
        <v>3.6137071651090344E-3</v>
      </c>
      <c r="AT19" s="166">
        <f t="shared" ref="AT19" si="88">AT16/AT20</f>
        <v>4.7694753577106515E-3</v>
      </c>
      <c r="AU19" s="174">
        <f>AU16/AU20</f>
        <v>4.2155970629208783E-3</v>
      </c>
    </row>
    <row r="20" spans="2:47" s="190" customFormat="1" x14ac:dyDescent="0.25">
      <c r="B20" s="165" t="s">
        <v>160</v>
      </c>
      <c r="C20" s="188">
        <f>SUM(C4,C8,C12,C16)</f>
        <v>6212</v>
      </c>
      <c r="D20" s="188">
        <f t="shared" ref="D20:AU20" si="89">SUM(D4,D8,D12,D16)</f>
        <v>5924</v>
      </c>
      <c r="E20" s="188">
        <f t="shared" si="89"/>
        <v>6989</v>
      </c>
      <c r="F20" s="188">
        <f t="shared" si="89"/>
        <v>6154</v>
      </c>
      <c r="G20" s="189">
        <f t="shared" si="89"/>
        <v>25279</v>
      </c>
      <c r="H20" s="188">
        <f t="shared" si="89"/>
        <v>5989</v>
      </c>
      <c r="I20" s="188">
        <f t="shared" si="89"/>
        <v>5472</v>
      </c>
      <c r="J20" s="188">
        <f t="shared" si="89"/>
        <v>6770</v>
      </c>
      <c r="K20" s="188">
        <f t="shared" si="89"/>
        <v>5836</v>
      </c>
      <c r="L20" s="189">
        <f t="shared" si="89"/>
        <v>24067</v>
      </c>
      <c r="M20" s="188">
        <f t="shared" si="89"/>
        <v>6201</v>
      </c>
      <c r="N20" s="188">
        <f t="shared" si="89"/>
        <v>5808</v>
      </c>
      <c r="O20" s="188">
        <f t="shared" si="89"/>
        <v>7003</v>
      </c>
      <c r="P20" s="188">
        <f t="shared" si="89"/>
        <v>6290</v>
      </c>
      <c r="Q20" s="189">
        <f t="shared" si="89"/>
        <v>25302</v>
      </c>
      <c r="R20" s="188">
        <f t="shared" si="89"/>
        <v>7185</v>
      </c>
      <c r="S20" s="188">
        <f t="shared" si="89"/>
        <v>6739</v>
      </c>
      <c r="T20" s="188">
        <f t="shared" si="89"/>
        <v>8025</v>
      </c>
      <c r="U20" s="188">
        <f t="shared" si="89"/>
        <v>6369.8829999999998</v>
      </c>
      <c r="V20" s="189">
        <f>SUM(V4,V8,V12,V16)</f>
        <v>26528.917700000002</v>
      </c>
      <c r="W20" s="188">
        <f t="shared" si="89"/>
        <v>7276.249499999999</v>
      </c>
      <c r="X20" s="188">
        <f t="shared" si="89"/>
        <v>6824.5852999999997</v>
      </c>
      <c r="Y20" s="188">
        <f t="shared" si="89"/>
        <v>8126.9174999999987</v>
      </c>
      <c r="Z20" s="188">
        <f t="shared" si="89"/>
        <v>6450.780514099999</v>
      </c>
      <c r="AA20" s="189">
        <f t="shared" si="89"/>
        <v>28678.532814099995</v>
      </c>
      <c r="AB20" s="188">
        <f t="shared" si="89"/>
        <v>7368.6578686499988</v>
      </c>
      <c r="AC20" s="188">
        <f t="shared" si="89"/>
        <v>6911.2575333099994</v>
      </c>
      <c r="AD20" s="188">
        <f t="shared" si="89"/>
        <v>8230.1293522499982</v>
      </c>
      <c r="AE20" s="188">
        <f t="shared" si="89"/>
        <v>6532.7054266290688</v>
      </c>
      <c r="AF20" s="189">
        <f t="shared" si="89"/>
        <v>29042.750180839066</v>
      </c>
      <c r="AG20" s="188">
        <f t="shared" si="89"/>
        <v>7462.2398235818537</v>
      </c>
      <c r="AH20" s="188">
        <f t="shared" si="89"/>
        <v>6999.0305039830355</v>
      </c>
      <c r="AI20" s="188">
        <f t="shared" si="89"/>
        <v>8334.6519950235743</v>
      </c>
      <c r="AJ20" s="188">
        <f t="shared" si="89"/>
        <v>6615.6707855472569</v>
      </c>
      <c r="AK20" s="189">
        <f t="shared" si="89"/>
        <v>29411.593108135719</v>
      </c>
      <c r="AL20" s="188">
        <f t="shared" si="89"/>
        <v>7557.0102693413428</v>
      </c>
      <c r="AM20" s="188">
        <f t="shared" si="89"/>
        <v>7087.9181913836201</v>
      </c>
      <c r="AN20" s="188">
        <f t="shared" si="89"/>
        <v>8440.5020753603712</v>
      </c>
      <c r="AO20" s="188">
        <f t="shared" si="89"/>
        <v>6699.6898045237067</v>
      </c>
      <c r="AP20" s="189">
        <f t="shared" si="89"/>
        <v>29785.120340609039</v>
      </c>
      <c r="AQ20" s="188">
        <f t="shared" si="89"/>
        <v>7652.9842997619771</v>
      </c>
      <c r="AR20" s="188">
        <f t="shared" si="89"/>
        <v>7177.9347524141913</v>
      </c>
      <c r="AS20" s="188">
        <f t="shared" si="89"/>
        <v>8547.6964517174474</v>
      </c>
      <c r="AT20" s="188">
        <f t="shared" si="89"/>
        <v>6784.7758650411579</v>
      </c>
      <c r="AU20" s="189">
        <f t="shared" si="89"/>
        <v>30163.391368934776</v>
      </c>
    </row>
    <row r="21" spans="2:47" s="166" customFormat="1" x14ac:dyDescent="0.25">
      <c r="B21" s="167" t="s">
        <v>154</v>
      </c>
      <c r="G21" s="174"/>
      <c r="H21" s="166">
        <f>H20/F20-1</f>
        <v>-2.6811829704257439E-2</v>
      </c>
      <c r="I21" s="166">
        <f>I20/H20-1</f>
        <v>-8.6324929036567077E-2</v>
      </c>
      <c r="J21" s="166">
        <f>J20/I20-1</f>
        <v>0.23720760233918137</v>
      </c>
      <c r="K21" s="166">
        <f t="shared" ref="K21" si="90">K20/J20-1</f>
        <v>-0.13796159527326435</v>
      </c>
      <c r="L21" s="174">
        <f>L20/G20-1</f>
        <v>-4.7944934530638084E-2</v>
      </c>
      <c r="M21" s="166">
        <f>M20/K20-1</f>
        <v>6.2542837559972586E-2</v>
      </c>
      <c r="N21" s="166">
        <f>N20/M20-1</f>
        <v>-6.3376874697629426E-2</v>
      </c>
      <c r="O21" s="166">
        <f t="shared" ref="O21:P21" si="91">O20/N20-1</f>
        <v>0.20575068870523405</v>
      </c>
      <c r="P21" s="166">
        <f t="shared" si="91"/>
        <v>-0.10181350849635873</v>
      </c>
      <c r="Q21" s="174">
        <f>Q20/L20-1</f>
        <v>5.1315078738521702E-2</v>
      </c>
      <c r="R21" s="166">
        <f>R20/P20-1</f>
        <v>0.14228934817170114</v>
      </c>
      <c r="S21" s="166">
        <f>S20/R20-1</f>
        <v>-6.2073764787752284E-2</v>
      </c>
      <c r="T21" s="166">
        <f>T20/S20-1</f>
        <v>0.19082949992580511</v>
      </c>
      <c r="U21" s="166">
        <f>U20/T20-1</f>
        <v>-0.20624510903426796</v>
      </c>
      <c r="V21" s="174">
        <f>V20/Q20-1</f>
        <v>4.8490937475298423E-2</v>
      </c>
      <c r="W21" s="166">
        <f>W20/U20-1</f>
        <v>0.14228934817170091</v>
      </c>
      <c r="X21" s="166">
        <f>X20/W20-1</f>
        <v>-6.2073764787752173E-2</v>
      </c>
      <c r="Y21" s="166">
        <f t="shared" ref="Y21:Z21" si="92">Y20/X20-1</f>
        <v>0.19082949992580489</v>
      </c>
      <c r="Z21" s="166">
        <f t="shared" si="92"/>
        <v>-0.20624510903426796</v>
      </c>
      <c r="AA21" s="174">
        <f>AA20/V20-1</f>
        <v>8.102912973716947E-2</v>
      </c>
      <c r="AB21" s="166">
        <f>AB20/Z20-1</f>
        <v>0.14228934817170114</v>
      </c>
      <c r="AC21" s="166">
        <f>AC20/AB20-1</f>
        <v>-6.2073764787752173E-2</v>
      </c>
      <c r="AD21" s="166">
        <f t="shared" ref="AD21:AE21" si="93">AD20/AC20-1</f>
        <v>0.19082949992580489</v>
      </c>
      <c r="AE21" s="166">
        <f t="shared" si="93"/>
        <v>-0.20624510903426785</v>
      </c>
      <c r="AF21" s="174">
        <f>AF20/AA20-1</f>
        <v>1.2699999999999934E-2</v>
      </c>
      <c r="AG21" s="166">
        <f>AG20/AE20-1</f>
        <v>0.14228934817170114</v>
      </c>
      <c r="AH21" s="166">
        <f>AH20/AG20-1</f>
        <v>-6.2073764787752284E-2</v>
      </c>
      <c r="AI21" s="166">
        <f t="shared" ref="AI21:AJ21" si="94">AI20/AH20-1</f>
        <v>0.19082949992580511</v>
      </c>
      <c r="AJ21" s="166">
        <f t="shared" si="94"/>
        <v>-0.20624510903426807</v>
      </c>
      <c r="AK21" s="174">
        <f>AK20/AF20-1</f>
        <v>1.2699999999999934E-2</v>
      </c>
      <c r="AL21" s="166">
        <f>AL20/AJ20-1</f>
        <v>0.14228934817170136</v>
      </c>
      <c r="AM21" s="166">
        <f>AM20/AL20-1</f>
        <v>-6.2073764787752284E-2</v>
      </c>
      <c r="AN21" s="166">
        <f t="shared" ref="AN21:AO21" si="95">AN20/AM20-1</f>
        <v>0.19082949992580489</v>
      </c>
      <c r="AO21" s="166">
        <f t="shared" si="95"/>
        <v>-0.20624510903426796</v>
      </c>
      <c r="AP21" s="174">
        <f>AP20/AK20-1</f>
        <v>1.2699999999999934E-2</v>
      </c>
      <c r="AQ21" s="166">
        <f>AQ20/AO20-1</f>
        <v>0.14228934817170114</v>
      </c>
      <c r="AR21" s="166">
        <f>AR20/AQ20-1</f>
        <v>-6.2073764787752284E-2</v>
      </c>
      <c r="AS21" s="166">
        <f t="shared" ref="AS21:AT21" si="96">AS20/AR20-1</f>
        <v>0.19082949992580489</v>
      </c>
      <c r="AT21" s="166">
        <f t="shared" si="96"/>
        <v>-0.20624510903426785</v>
      </c>
      <c r="AU21" s="174">
        <f>AU20/AP20-1</f>
        <v>1.2700000000000156E-2</v>
      </c>
    </row>
    <row r="22" spans="2:47" s="166" customFormat="1" x14ac:dyDescent="0.25">
      <c r="B22" s="163" t="s">
        <v>155</v>
      </c>
      <c r="C22" s="168">
        <f>C20/C20</f>
        <v>1</v>
      </c>
      <c r="D22" s="168">
        <f t="shared" ref="D22:AU22" si="97">D20/D20</f>
        <v>1</v>
      </c>
      <c r="E22" s="168">
        <f t="shared" si="97"/>
        <v>1</v>
      </c>
      <c r="F22" s="168">
        <f t="shared" si="97"/>
        <v>1</v>
      </c>
      <c r="G22" s="175">
        <f t="shared" si="97"/>
        <v>1</v>
      </c>
      <c r="H22" s="168">
        <f t="shared" si="97"/>
        <v>1</v>
      </c>
      <c r="I22" s="168">
        <f t="shared" si="97"/>
        <v>1</v>
      </c>
      <c r="J22" s="168">
        <f t="shared" si="97"/>
        <v>1</v>
      </c>
      <c r="K22" s="168">
        <f t="shared" si="97"/>
        <v>1</v>
      </c>
      <c r="L22" s="175">
        <f t="shared" si="97"/>
        <v>1</v>
      </c>
      <c r="M22" s="168">
        <f t="shared" si="97"/>
        <v>1</v>
      </c>
      <c r="N22" s="168">
        <f t="shared" si="97"/>
        <v>1</v>
      </c>
      <c r="O22" s="168">
        <f t="shared" si="97"/>
        <v>1</v>
      </c>
      <c r="P22" s="168">
        <f t="shared" si="97"/>
        <v>1</v>
      </c>
      <c r="Q22" s="175">
        <f t="shared" si="97"/>
        <v>1</v>
      </c>
      <c r="R22" s="168">
        <f t="shared" si="97"/>
        <v>1</v>
      </c>
      <c r="S22" s="168">
        <f t="shared" si="97"/>
        <v>1</v>
      </c>
      <c r="T22" s="168">
        <f t="shared" si="97"/>
        <v>1</v>
      </c>
      <c r="U22" s="168">
        <f t="shared" si="97"/>
        <v>1</v>
      </c>
      <c r="V22" s="175">
        <f t="shared" si="97"/>
        <v>1</v>
      </c>
      <c r="W22" s="168">
        <f t="shared" si="97"/>
        <v>1</v>
      </c>
      <c r="X22" s="168">
        <f t="shared" si="97"/>
        <v>1</v>
      </c>
      <c r="Y22" s="168">
        <f t="shared" si="97"/>
        <v>1</v>
      </c>
      <c r="Z22" s="168">
        <f t="shared" si="97"/>
        <v>1</v>
      </c>
      <c r="AA22" s="175">
        <f t="shared" si="97"/>
        <v>1</v>
      </c>
      <c r="AB22" s="168">
        <f t="shared" si="97"/>
        <v>1</v>
      </c>
      <c r="AC22" s="168">
        <f t="shared" si="97"/>
        <v>1</v>
      </c>
      <c r="AD22" s="168">
        <f t="shared" si="97"/>
        <v>1</v>
      </c>
      <c r="AE22" s="168">
        <f t="shared" si="97"/>
        <v>1</v>
      </c>
      <c r="AF22" s="175">
        <f t="shared" si="97"/>
        <v>1</v>
      </c>
      <c r="AG22" s="168">
        <f t="shared" si="97"/>
        <v>1</v>
      </c>
      <c r="AH22" s="168">
        <f t="shared" si="97"/>
        <v>1</v>
      </c>
      <c r="AI22" s="168">
        <f t="shared" si="97"/>
        <v>1</v>
      </c>
      <c r="AJ22" s="168">
        <f t="shared" si="97"/>
        <v>1</v>
      </c>
      <c r="AK22" s="175">
        <f t="shared" si="97"/>
        <v>1</v>
      </c>
      <c r="AL22" s="168">
        <f t="shared" si="97"/>
        <v>1</v>
      </c>
      <c r="AM22" s="168">
        <f t="shared" si="97"/>
        <v>1</v>
      </c>
      <c r="AN22" s="168">
        <f t="shared" si="97"/>
        <v>1</v>
      </c>
      <c r="AO22" s="168">
        <f t="shared" si="97"/>
        <v>1</v>
      </c>
      <c r="AP22" s="175">
        <f t="shared" si="97"/>
        <v>1</v>
      </c>
      <c r="AQ22" s="168">
        <f t="shared" si="97"/>
        <v>1</v>
      </c>
      <c r="AR22" s="168">
        <f t="shared" si="97"/>
        <v>1</v>
      </c>
      <c r="AS22" s="168">
        <f t="shared" si="97"/>
        <v>1</v>
      </c>
      <c r="AT22" s="168">
        <f t="shared" si="97"/>
        <v>1</v>
      </c>
      <c r="AU22" s="175">
        <f t="shared" si="97"/>
        <v>1</v>
      </c>
    </row>
    <row r="24" spans="2:47" x14ac:dyDescent="0.25">
      <c r="V24" s="170"/>
      <c r="W24" s="14"/>
    </row>
    <row r="25" spans="2:47" x14ac:dyDescent="0.25">
      <c r="L25" s="1"/>
      <c r="M25" s="1"/>
      <c r="N25" s="1"/>
      <c r="P25" s="1"/>
      <c r="Q25" s="1"/>
      <c r="R25" s="1"/>
      <c r="S25" s="1"/>
      <c r="V25" s="170"/>
      <c r="AF25" s="170"/>
      <c r="AP25" s="170"/>
      <c r="AU25" s="170"/>
    </row>
    <row r="26" spans="2:47" x14ac:dyDescent="0.25">
      <c r="L26" s="1"/>
      <c r="M26" s="1"/>
      <c r="N26" s="1"/>
      <c r="P26" s="1"/>
      <c r="Q26" s="1"/>
      <c r="R26" s="1"/>
      <c r="S26" s="1"/>
      <c r="AF26" s="170"/>
      <c r="AM26" s="14"/>
      <c r="AS26" s="14"/>
    </row>
    <row r="27" spans="2:47" x14ac:dyDescent="0.25">
      <c r="L27" s="170"/>
      <c r="M27" s="1"/>
      <c r="N27" s="1"/>
      <c r="O27" s="1"/>
      <c r="P27" s="1"/>
      <c r="Q27" s="1"/>
      <c r="R27" s="1"/>
      <c r="S27" s="1"/>
      <c r="AF27" s="170"/>
    </row>
    <row r="29" spans="2:47" x14ac:dyDescent="0.25">
      <c r="Q29" s="1"/>
    </row>
    <row r="30" spans="2:47" x14ac:dyDescent="0.25">
      <c r="B30" s="166"/>
      <c r="AA30" s="170"/>
    </row>
  </sheetData>
  <pageMargins left="0.7" right="0.7" top="0.75" bottom="0.75" header="0.3" footer="0.3"/>
  <pageSetup paperSize="11" orientation="portrait" horizontalDpi="0" verticalDpi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V56"/>
  <sheetViews>
    <sheetView showGridLines="0" zoomScaleNormal="100" workbookViewId="0">
      <pane xSplit="2" topLeftCell="C1" activePane="topRight" state="frozen"/>
      <selection pane="topRight"/>
    </sheetView>
  </sheetViews>
  <sheetFormatPr defaultColWidth="10.875" defaultRowHeight="15.75" outlineLevelCol="1" x14ac:dyDescent="0.25"/>
  <cols>
    <col min="1" max="1" width="2.625" style="1" customWidth="1"/>
    <col min="2" max="2" width="78.125" style="1" customWidth="1"/>
    <col min="3" max="5" width="12.375" style="1" customWidth="1"/>
    <col min="6" max="17" width="12.5" style="14" customWidth="1"/>
    <col min="18" max="20" width="12.5" style="14" customWidth="1" outlineLevel="1"/>
    <col min="21" max="16384" width="10.875" style="1"/>
  </cols>
  <sheetData>
    <row r="2" spans="2:20" x14ac:dyDescent="0.25">
      <c r="B2" s="234" t="s">
        <v>21</v>
      </c>
      <c r="C2" s="235"/>
      <c r="D2" s="235"/>
      <c r="E2" s="235"/>
      <c r="F2" s="236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93"/>
      <c r="S2" s="93"/>
      <c r="T2" s="94"/>
    </row>
    <row r="3" spans="2:20" x14ac:dyDescent="0.25">
      <c r="B3" s="52" t="s">
        <v>51</v>
      </c>
      <c r="C3" s="15" t="s">
        <v>47</v>
      </c>
      <c r="D3" s="15" t="s">
        <v>48</v>
      </c>
      <c r="E3" s="15" t="s">
        <v>49</v>
      </c>
      <c r="F3" s="148" t="s">
        <v>50</v>
      </c>
      <c r="G3" s="313" t="s">
        <v>23</v>
      </c>
      <c r="H3" s="15" t="s">
        <v>29</v>
      </c>
      <c r="I3" s="15" t="s">
        <v>30</v>
      </c>
      <c r="J3" s="15" t="s">
        <v>31</v>
      </c>
      <c r="K3" s="301" t="s">
        <v>32</v>
      </c>
      <c r="L3" s="314" t="s">
        <v>24</v>
      </c>
      <c r="M3" s="18" t="s">
        <v>33</v>
      </c>
      <c r="N3" s="18" t="s">
        <v>34</v>
      </c>
      <c r="O3" s="18" t="s">
        <v>35</v>
      </c>
      <c r="P3" s="301" t="s">
        <v>146</v>
      </c>
      <c r="Q3" s="314" t="s">
        <v>25</v>
      </c>
      <c r="R3" s="18" t="s">
        <v>44</v>
      </c>
      <c r="S3" s="18" t="s">
        <v>45</v>
      </c>
      <c r="T3" s="302" t="s">
        <v>46</v>
      </c>
    </row>
    <row r="4" spans="2:20" x14ac:dyDescent="0.25">
      <c r="B4" s="106" t="s">
        <v>52</v>
      </c>
      <c r="C4" s="109"/>
      <c r="D4" s="109"/>
      <c r="E4" s="109"/>
      <c r="F4" s="105"/>
      <c r="G4" s="101"/>
      <c r="H4" s="107"/>
      <c r="I4" s="107"/>
      <c r="J4" s="107"/>
      <c r="K4" s="105"/>
      <c r="L4" s="101"/>
      <c r="M4" s="107"/>
      <c r="N4" s="107"/>
      <c r="O4" s="107"/>
      <c r="P4" s="105"/>
      <c r="Q4" s="101"/>
      <c r="R4" s="107"/>
      <c r="S4" s="107"/>
      <c r="T4" s="108"/>
    </row>
    <row r="5" spans="2:20" x14ac:dyDescent="0.25">
      <c r="B5" s="95" t="s">
        <v>53</v>
      </c>
      <c r="C5" s="110">
        <v>377</v>
      </c>
      <c r="D5" s="110">
        <v>336</v>
      </c>
      <c r="E5" s="110">
        <v>379</v>
      </c>
      <c r="F5" s="20">
        <v>311</v>
      </c>
      <c r="G5" s="122">
        <v>311</v>
      </c>
      <c r="H5" s="20">
        <v>1450</v>
      </c>
      <c r="I5" s="20">
        <v>341</v>
      </c>
      <c r="J5" s="20">
        <v>308</v>
      </c>
      <c r="K5" s="20">
        <v>259</v>
      </c>
      <c r="L5" s="122">
        <v>259</v>
      </c>
      <c r="M5" s="20">
        <v>379</v>
      </c>
      <c r="N5" s="20">
        <v>367</v>
      </c>
      <c r="O5" s="20">
        <v>548</v>
      </c>
      <c r="P5" s="20">
        <v>343</v>
      </c>
      <c r="Q5" s="122">
        <v>343</v>
      </c>
      <c r="R5" s="20">
        <v>853</v>
      </c>
      <c r="S5" s="20">
        <v>428</v>
      </c>
      <c r="T5" s="97">
        <v>453</v>
      </c>
    </row>
    <row r="6" spans="2:20" x14ac:dyDescent="0.25">
      <c r="B6" s="95" t="s">
        <v>54</v>
      </c>
      <c r="C6" s="110">
        <f>775+1981</f>
        <v>2756</v>
      </c>
      <c r="D6" s="110">
        <f>646+2153</f>
        <v>2799</v>
      </c>
      <c r="E6" s="110">
        <f>755+2322</f>
        <v>3077</v>
      </c>
      <c r="F6" s="24">
        <v>3060</v>
      </c>
      <c r="G6" s="123">
        <v>3060</v>
      </c>
      <c r="H6" s="24">
        <f>809+1828</f>
        <v>2637</v>
      </c>
      <c r="I6" s="24">
        <f>753+2049</f>
        <v>2802</v>
      </c>
      <c r="J6" s="24">
        <f>719+2320</f>
        <v>3039</v>
      </c>
      <c r="K6" s="24">
        <v>3153</v>
      </c>
      <c r="L6" s="123">
        <v>3153</v>
      </c>
      <c r="M6" s="24">
        <f>950+1834</f>
        <v>2784</v>
      </c>
      <c r="N6" s="24">
        <f>868+2220</f>
        <v>3088</v>
      </c>
      <c r="O6" s="24">
        <f>998+2431</f>
        <v>3429</v>
      </c>
      <c r="P6" s="24">
        <v>3610</v>
      </c>
      <c r="Q6" s="123">
        <v>3610</v>
      </c>
      <c r="R6" s="24">
        <f>1148+2590</f>
        <v>3738</v>
      </c>
      <c r="S6" s="24">
        <v>3928</v>
      </c>
      <c r="T6" s="99">
        <v>4212</v>
      </c>
    </row>
    <row r="7" spans="2:20" x14ac:dyDescent="0.25">
      <c r="B7" s="95" t="s">
        <v>55</v>
      </c>
      <c r="C7" s="110">
        <v>3102</v>
      </c>
      <c r="D7" s="110">
        <v>3189</v>
      </c>
      <c r="E7" s="110">
        <v>3107</v>
      </c>
      <c r="F7" s="24">
        <v>3232</v>
      </c>
      <c r="G7" s="123">
        <v>3232</v>
      </c>
      <c r="H7" s="24">
        <v>3324</v>
      </c>
      <c r="I7" s="24">
        <v>3289</v>
      </c>
      <c r="J7" s="24">
        <v>3190</v>
      </c>
      <c r="K7" s="24">
        <v>3167</v>
      </c>
      <c r="L7" s="123">
        <v>3167</v>
      </c>
      <c r="M7" s="24">
        <v>3076</v>
      </c>
      <c r="N7" s="24">
        <v>3015</v>
      </c>
      <c r="O7" s="24">
        <v>2900</v>
      </c>
      <c r="P7" s="24">
        <v>3199</v>
      </c>
      <c r="Q7" s="123">
        <v>3199</v>
      </c>
      <c r="R7" s="24">
        <v>3171</v>
      </c>
      <c r="S7" s="24">
        <v>3208</v>
      </c>
      <c r="T7" s="99">
        <v>3487</v>
      </c>
    </row>
    <row r="8" spans="2:20" x14ac:dyDescent="0.25">
      <c r="B8" s="95" t="s">
        <v>56</v>
      </c>
      <c r="C8" s="110">
        <v>1957</v>
      </c>
      <c r="D8" s="110">
        <v>1918</v>
      </c>
      <c r="E8" s="110">
        <v>1723</v>
      </c>
      <c r="F8" s="24">
        <v>1796</v>
      </c>
      <c r="G8" s="123">
        <v>1796</v>
      </c>
      <c r="H8" s="24">
        <v>1770</v>
      </c>
      <c r="I8" s="24">
        <v>1774</v>
      </c>
      <c r="J8" s="24">
        <v>1637</v>
      </c>
      <c r="K8" s="24">
        <v>1641</v>
      </c>
      <c r="L8" s="123">
        <v>1641</v>
      </c>
      <c r="M8" s="24">
        <v>1650</v>
      </c>
      <c r="N8" s="24">
        <v>1793</v>
      </c>
      <c r="O8" s="24">
        <v>1791</v>
      </c>
      <c r="P8" s="24">
        <v>2150</v>
      </c>
      <c r="Q8" s="123">
        <v>2150</v>
      </c>
      <c r="R8" s="24">
        <v>2334</v>
      </c>
      <c r="S8" s="24">
        <v>2834</v>
      </c>
      <c r="T8" s="99">
        <v>3576</v>
      </c>
    </row>
    <row r="9" spans="2:20" x14ac:dyDescent="0.25">
      <c r="B9" s="95" t="s">
        <v>65</v>
      </c>
      <c r="C9" s="104">
        <v>976</v>
      </c>
      <c r="D9" s="104">
        <v>1267</v>
      </c>
      <c r="E9" s="104">
        <v>1333</v>
      </c>
      <c r="F9" s="24">
        <v>764</v>
      </c>
      <c r="G9" s="123">
        <v>764</v>
      </c>
      <c r="H9" s="24">
        <v>1000</v>
      </c>
      <c r="I9" s="24">
        <v>1031</v>
      </c>
      <c r="J9" s="24">
        <v>505</v>
      </c>
      <c r="K9" s="24">
        <v>462</v>
      </c>
      <c r="L9" s="123">
        <v>462</v>
      </c>
      <c r="M9" s="24">
        <v>619</v>
      </c>
      <c r="N9" s="24">
        <v>722</v>
      </c>
      <c r="O9" s="24">
        <v>768</v>
      </c>
      <c r="P9" s="24">
        <v>638</v>
      </c>
      <c r="Q9" s="123">
        <v>638</v>
      </c>
      <c r="R9" s="24">
        <v>946</v>
      </c>
      <c r="S9" s="24">
        <v>1163</v>
      </c>
      <c r="T9" s="99">
        <v>1244</v>
      </c>
    </row>
    <row r="10" spans="2:20" s="16" customFormat="1" x14ac:dyDescent="0.25">
      <c r="B10" s="96" t="s">
        <v>66</v>
      </c>
      <c r="C10" s="116">
        <f>SUM(C5:C9)</f>
        <v>9168</v>
      </c>
      <c r="D10" s="116">
        <f t="shared" ref="D10:J10" si="0">SUM(D5:D9)</f>
        <v>9509</v>
      </c>
      <c r="E10" s="116">
        <f t="shared" si="0"/>
        <v>9619</v>
      </c>
      <c r="F10" s="116">
        <f t="shared" si="0"/>
        <v>9163</v>
      </c>
      <c r="G10" s="306">
        <f t="shared" ref="G10" si="1">SUM(G5:G9)</f>
        <v>9163</v>
      </c>
      <c r="H10" s="116">
        <f t="shared" si="0"/>
        <v>10181</v>
      </c>
      <c r="I10" s="116">
        <f t="shared" si="0"/>
        <v>9237</v>
      </c>
      <c r="J10" s="116">
        <f t="shared" si="0"/>
        <v>8679</v>
      </c>
      <c r="K10" s="116">
        <f>SUM(K5:K9)</f>
        <v>8682</v>
      </c>
      <c r="L10" s="306">
        <f>SUM(L5:L9)</f>
        <v>8682</v>
      </c>
      <c r="M10" s="116">
        <f t="shared" ref="M10:N10" si="2">SUM(M5:M9)</f>
        <v>8508</v>
      </c>
      <c r="N10" s="116">
        <f t="shared" si="2"/>
        <v>8985</v>
      </c>
      <c r="O10" s="116">
        <f t="shared" ref="O10" si="3">SUM(O5:O9)</f>
        <v>9436</v>
      </c>
      <c r="P10" s="116">
        <f t="shared" ref="P10" si="4">SUM(P5:P9)</f>
        <v>9940</v>
      </c>
      <c r="Q10" s="306">
        <f>SUM(Q5:Q9)</f>
        <v>9940</v>
      </c>
      <c r="R10" s="116">
        <f t="shared" ref="R10:S10" si="5">SUM(R5:R9)</f>
        <v>11042</v>
      </c>
      <c r="S10" s="116">
        <f t="shared" si="5"/>
        <v>11561</v>
      </c>
      <c r="T10" s="134">
        <f t="shared" ref="T10" si="6">SUM(T5:T9)</f>
        <v>12972</v>
      </c>
    </row>
    <row r="11" spans="2:20" x14ac:dyDescent="0.25">
      <c r="B11" s="100" t="s">
        <v>73</v>
      </c>
      <c r="C11" s="111"/>
      <c r="D11" s="111"/>
      <c r="E11" s="111"/>
      <c r="F11" s="112"/>
      <c r="G11" s="307"/>
      <c r="H11" s="112"/>
      <c r="I11" s="112"/>
      <c r="J11" s="112"/>
      <c r="K11" s="112"/>
      <c r="L11" s="307"/>
      <c r="M11" s="112"/>
      <c r="N11" s="112"/>
      <c r="O11" s="112"/>
      <c r="P11" s="145"/>
      <c r="Q11" s="315"/>
      <c r="R11" s="112"/>
      <c r="S11" s="112"/>
      <c r="T11" s="113"/>
    </row>
    <row r="12" spans="2:20" x14ac:dyDescent="0.25">
      <c r="B12" s="95" t="s">
        <v>67</v>
      </c>
      <c r="C12" s="104">
        <v>139377</v>
      </c>
      <c r="D12" s="104">
        <v>141363</v>
      </c>
      <c r="E12" s="104">
        <v>143794</v>
      </c>
      <c r="F12" s="24">
        <v>147654</v>
      </c>
      <c r="G12" s="123">
        <v>147654</v>
      </c>
      <c r="H12" s="24">
        <v>149676</v>
      </c>
      <c r="I12" s="24">
        <v>151592</v>
      </c>
      <c r="J12" s="24">
        <v>153916</v>
      </c>
      <c r="K12" s="24">
        <v>155580</v>
      </c>
      <c r="L12" s="123">
        <v>155580</v>
      </c>
      <c r="M12" s="24">
        <v>157372</v>
      </c>
      <c r="N12" s="24">
        <v>158272</v>
      </c>
      <c r="O12" s="24">
        <v>160652</v>
      </c>
      <c r="P12" s="24">
        <v>161819</v>
      </c>
      <c r="Q12" s="123">
        <v>161819</v>
      </c>
      <c r="R12" s="104">
        <v>163700</v>
      </c>
      <c r="S12" s="24">
        <v>166004</v>
      </c>
      <c r="T12" s="99">
        <v>169053</v>
      </c>
    </row>
    <row r="13" spans="2:20" x14ac:dyDescent="0.25">
      <c r="B13" s="95" t="s">
        <v>68</v>
      </c>
      <c r="C13" s="110">
        <v>-43992</v>
      </c>
      <c r="D13" s="110">
        <v>-44482</v>
      </c>
      <c r="E13" s="110">
        <v>-45149</v>
      </c>
      <c r="F13" s="20">
        <v>-45773</v>
      </c>
      <c r="G13" s="122">
        <v>-45773</v>
      </c>
      <c r="H13" s="20">
        <v>-46599</v>
      </c>
      <c r="I13" s="20">
        <v>-47295</v>
      </c>
      <c r="J13" s="20">
        <v>-48185</v>
      </c>
      <c r="K13" s="20">
        <v>-48827</v>
      </c>
      <c r="L13" s="122">
        <v>-48827</v>
      </c>
      <c r="M13" s="20">
        <v>-49772</v>
      </c>
      <c r="N13" s="20">
        <v>-49752</v>
      </c>
      <c r="O13" s="20">
        <v>-50543</v>
      </c>
      <c r="P13" s="20">
        <v>-50555</v>
      </c>
      <c r="Q13" s="122">
        <v>-50555</v>
      </c>
      <c r="R13" s="103">
        <v>-51517</v>
      </c>
      <c r="S13" s="20">
        <v>-52252</v>
      </c>
      <c r="T13" s="97">
        <v>-53241</v>
      </c>
    </row>
    <row r="14" spans="2:20" x14ac:dyDescent="0.25">
      <c r="B14" s="95" t="s">
        <v>69</v>
      </c>
      <c r="C14" s="110">
        <v>336</v>
      </c>
      <c r="D14" s="110">
        <v>317</v>
      </c>
      <c r="E14" s="110">
        <v>267</v>
      </c>
      <c r="F14" s="24">
        <v>246</v>
      </c>
      <c r="G14" s="123">
        <v>246</v>
      </c>
      <c r="H14" s="24">
        <v>31</v>
      </c>
      <c r="I14" s="24">
        <v>28</v>
      </c>
      <c r="J14" s="24">
        <v>29</v>
      </c>
      <c r="K14" s="24">
        <v>29</v>
      </c>
      <c r="L14" s="123">
        <v>29</v>
      </c>
      <c r="M14" s="24">
        <v>29</v>
      </c>
      <c r="N14" s="24">
        <v>121</v>
      </c>
      <c r="O14" s="24">
        <v>127</v>
      </c>
      <c r="P14" s="24">
        <v>144</v>
      </c>
      <c r="Q14" s="123">
        <v>144</v>
      </c>
      <c r="R14" s="104">
        <v>133</v>
      </c>
      <c r="S14" s="24">
        <v>99</v>
      </c>
      <c r="T14" s="99">
        <v>95</v>
      </c>
    </row>
    <row r="15" spans="2:20" x14ac:dyDescent="0.25">
      <c r="B15" s="95" t="s">
        <v>75</v>
      </c>
      <c r="C15" s="110">
        <v>1698</v>
      </c>
      <c r="D15" s="110">
        <v>1735</v>
      </c>
      <c r="E15" s="110">
        <v>1703</v>
      </c>
      <c r="F15" s="24">
        <v>1658</v>
      </c>
      <c r="G15" s="123">
        <v>1658</v>
      </c>
      <c r="H15" s="24">
        <v>1633</v>
      </c>
      <c r="I15" s="24">
        <v>1580</v>
      </c>
      <c r="J15" s="24">
        <v>1577</v>
      </c>
      <c r="K15" s="24">
        <v>1524</v>
      </c>
      <c r="L15" s="123">
        <v>1524</v>
      </c>
      <c r="M15" s="24">
        <v>1540</v>
      </c>
      <c r="N15" s="24">
        <v>1495</v>
      </c>
      <c r="O15" s="24">
        <v>1287</v>
      </c>
      <c r="P15" s="24">
        <v>1266</v>
      </c>
      <c r="Q15" s="123">
        <v>1266</v>
      </c>
      <c r="R15" s="104">
        <v>1255</v>
      </c>
      <c r="S15" s="24">
        <v>1222</v>
      </c>
      <c r="T15" s="99">
        <v>1199</v>
      </c>
    </row>
    <row r="16" spans="2:20" x14ac:dyDescent="0.25">
      <c r="B16" s="95" t="s">
        <v>70</v>
      </c>
      <c r="C16" s="110">
        <f>SUM(C12:C15)</f>
        <v>97419</v>
      </c>
      <c r="D16" s="110">
        <f t="shared" ref="D16:N16" si="7">SUM(D12:D15)</f>
        <v>98933</v>
      </c>
      <c r="E16" s="110">
        <f t="shared" si="7"/>
        <v>100615</v>
      </c>
      <c r="F16" s="110">
        <f t="shared" si="7"/>
        <v>103785</v>
      </c>
      <c r="G16" s="308">
        <f t="shared" ref="G16" si="8">SUM(G12:G15)</f>
        <v>103785</v>
      </c>
      <c r="H16" s="110">
        <f t="shared" si="7"/>
        <v>104741</v>
      </c>
      <c r="I16" s="110">
        <f t="shared" si="7"/>
        <v>105905</v>
      </c>
      <c r="J16" s="110">
        <f t="shared" si="7"/>
        <v>107337</v>
      </c>
      <c r="K16" s="110">
        <f t="shared" si="7"/>
        <v>108306</v>
      </c>
      <c r="L16" s="308">
        <f t="shared" ref="L16" si="9">SUM(L12:L15)</f>
        <v>108306</v>
      </c>
      <c r="M16" s="110">
        <f t="shared" si="7"/>
        <v>109169</v>
      </c>
      <c r="N16" s="110">
        <f t="shared" si="7"/>
        <v>110136</v>
      </c>
      <c r="O16" s="110">
        <f t="shared" ref="O16" si="10">SUM(O12:O15)</f>
        <v>111523</v>
      </c>
      <c r="P16" s="110">
        <f t="shared" ref="P16" si="11">SUM(P12:P15)</f>
        <v>112674</v>
      </c>
      <c r="Q16" s="308">
        <f>SUM(Q12:Q15)</f>
        <v>112674</v>
      </c>
      <c r="R16" s="110">
        <f t="shared" ref="R16" si="12">SUM(R12:R15)</f>
        <v>113571</v>
      </c>
      <c r="S16" s="110">
        <f>SUM(S12:S15)</f>
        <v>115073</v>
      </c>
      <c r="T16" s="144">
        <f t="shared" ref="T16" si="13">SUM(T12:T15)</f>
        <v>117106</v>
      </c>
    </row>
    <row r="17" spans="2:20" x14ac:dyDescent="0.25">
      <c r="B17" s="95" t="s">
        <v>71</v>
      </c>
      <c r="C17" s="104">
        <v>19303</v>
      </c>
      <c r="D17" s="104">
        <v>19303</v>
      </c>
      <c r="E17" s="104">
        <v>19303</v>
      </c>
      <c r="F17" s="24">
        <v>19303</v>
      </c>
      <c r="G17" s="123">
        <v>19303</v>
      </c>
      <c r="H17" s="24">
        <v>19303</v>
      </c>
      <c r="I17" s="24">
        <v>19303</v>
      </c>
      <c r="J17" s="24">
        <v>19303</v>
      </c>
      <c r="K17" s="24">
        <v>19303</v>
      </c>
      <c r="L17" s="123">
        <v>19303</v>
      </c>
      <c r="M17" s="24">
        <v>19303</v>
      </c>
      <c r="N17" s="24">
        <v>19303</v>
      </c>
      <c r="O17" s="24">
        <v>19303</v>
      </c>
      <c r="P17" s="146">
        <v>19303</v>
      </c>
      <c r="Q17" s="126">
        <v>19303</v>
      </c>
      <c r="R17" s="104">
        <v>19303</v>
      </c>
      <c r="S17" s="24">
        <v>19303</v>
      </c>
      <c r="T17" s="99">
        <v>19303</v>
      </c>
    </row>
    <row r="18" spans="2:20" x14ac:dyDescent="0.25">
      <c r="B18" s="95" t="s">
        <v>56</v>
      </c>
      <c r="C18" s="104">
        <v>13301</v>
      </c>
      <c r="D18" s="104">
        <v>13393</v>
      </c>
      <c r="E18" s="104">
        <v>13916</v>
      </c>
      <c r="F18" s="24">
        <v>13222</v>
      </c>
      <c r="G18" s="123">
        <v>13222</v>
      </c>
      <c r="H18" s="24">
        <v>13413</v>
      </c>
      <c r="I18" s="24">
        <v>13285</v>
      </c>
      <c r="J18" s="24">
        <v>13264</v>
      </c>
      <c r="K18" s="24">
        <v>12421</v>
      </c>
      <c r="L18" s="123">
        <v>12421</v>
      </c>
      <c r="M18" s="24">
        <v>12441</v>
      </c>
      <c r="N18" s="24">
        <v>12485</v>
      </c>
      <c r="O18" s="24">
        <v>12247</v>
      </c>
      <c r="P18" s="24">
        <v>12487</v>
      </c>
      <c r="Q18" s="123">
        <v>12487</v>
      </c>
      <c r="R18" s="104">
        <v>12506</v>
      </c>
      <c r="S18" s="24">
        <v>12863</v>
      </c>
      <c r="T18" s="99">
        <v>13835</v>
      </c>
    </row>
    <row r="19" spans="2:20" x14ac:dyDescent="0.25">
      <c r="B19" s="95" t="s">
        <v>72</v>
      </c>
      <c r="C19" s="110">
        <f>7374+1602</f>
        <v>8976</v>
      </c>
      <c r="D19" s="110">
        <f>7621+1715</f>
        <v>9336</v>
      </c>
      <c r="E19" s="110">
        <f>7695+1864</f>
        <v>9559</v>
      </c>
      <c r="F19" s="24">
        <f>8140+1936</f>
        <v>10076</v>
      </c>
      <c r="G19" s="123">
        <f>8140+1936</f>
        <v>10076</v>
      </c>
      <c r="H19" s="24">
        <f>7052+2067</f>
        <v>9119</v>
      </c>
      <c r="I19" s="24">
        <f>8000+861</f>
        <v>8861</v>
      </c>
      <c r="J19" s="24">
        <f>8363+924</f>
        <v>9287</v>
      </c>
      <c r="K19" s="24">
        <v>10075</v>
      </c>
      <c r="L19" s="123">
        <v>10075</v>
      </c>
      <c r="M19" s="24">
        <f>9410+919</f>
        <v>10329</v>
      </c>
      <c r="N19" s="24">
        <f>9886+938</f>
        <v>10824</v>
      </c>
      <c r="O19" s="24">
        <f>9861+951</f>
        <v>10812</v>
      </c>
      <c r="P19" s="24">
        <v>11371</v>
      </c>
      <c r="Q19" s="123">
        <v>11371</v>
      </c>
      <c r="R19" s="104">
        <f>9827+976</f>
        <v>10803</v>
      </c>
      <c r="S19" s="24">
        <f>8574+983</f>
        <v>9557</v>
      </c>
      <c r="T19" s="99">
        <v>9074</v>
      </c>
    </row>
    <row r="20" spans="2:20" x14ac:dyDescent="0.25">
      <c r="B20" s="95" t="s">
        <v>65</v>
      </c>
      <c r="C20" s="110">
        <v>2969</v>
      </c>
      <c r="D20" s="110">
        <v>2975</v>
      </c>
      <c r="E20" s="110">
        <v>2905</v>
      </c>
      <c r="F20" s="24">
        <v>3289</v>
      </c>
      <c r="G20" s="123">
        <v>3289</v>
      </c>
      <c r="H20" s="24">
        <v>3315</v>
      </c>
      <c r="I20" s="24">
        <v>3458</v>
      </c>
      <c r="J20" s="24">
        <v>3539</v>
      </c>
      <c r="K20" s="24">
        <v>3601</v>
      </c>
      <c r="L20" s="123">
        <v>3601</v>
      </c>
      <c r="M20" s="24">
        <v>3715</v>
      </c>
      <c r="N20" s="24">
        <v>3652</v>
      </c>
      <c r="O20" s="24">
        <v>3686</v>
      </c>
      <c r="P20" s="24">
        <v>3812</v>
      </c>
      <c r="Q20" s="123">
        <v>3812</v>
      </c>
      <c r="R20" s="104">
        <v>3995</v>
      </c>
      <c r="S20" s="24">
        <v>4026</v>
      </c>
      <c r="T20" s="99">
        <v>4050</v>
      </c>
    </row>
    <row r="21" spans="2:20" s="16" customFormat="1" x14ac:dyDescent="0.25">
      <c r="B21" s="96" t="s">
        <v>74</v>
      </c>
      <c r="C21" s="102">
        <f>SUM(C16:C20)</f>
        <v>141968</v>
      </c>
      <c r="D21" s="102">
        <f t="shared" ref="D21:T21" si="14">SUM(D16:D20)</f>
        <v>143940</v>
      </c>
      <c r="E21" s="102">
        <f t="shared" si="14"/>
        <v>146298</v>
      </c>
      <c r="F21" s="102">
        <f t="shared" si="14"/>
        <v>149675</v>
      </c>
      <c r="G21" s="309">
        <f t="shared" ref="G21" si="15">SUM(G16:G20)</f>
        <v>149675</v>
      </c>
      <c r="H21" s="102">
        <f t="shared" si="14"/>
        <v>149891</v>
      </c>
      <c r="I21" s="102">
        <f t="shared" si="14"/>
        <v>150812</v>
      </c>
      <c r="J21" s="102">
        <f t="shared" si="14"/>
        <v>152730</v>
      </c>
      <c r="K21" s="102">
        <f t="shared" si="14"/>
        <v>153706</v>
      </c>
      <c r="L21" s="309">
        <f t="shared" ref="L21" si="16">SUM(L16:L20)</f>
        <v>153706</v>
      </c>
      <c r="M21" s="102">
        <f>SUM(M16:M20)</f>
        <v>154957</v>
      </c>
      <c r="N21" s="102">
        <f t="shared" si="14"/>
        <v>156400</v>
      </c>
      <c r="O21" s="102">
        <f t="shared" si="14"/>
        <v>157571</v>
      </c>
      <c r="P21" s="102">
        <f t="shared" si="14"/>
        <v>159647</v>
      </c>
      <c r="Q21" s="309">
        <f>SUM(Q16:Q20)</f>
        <v>159647</v>
      </c>
      <c r="R21" s="102">
        <f t="shared" si="14"/>
        <v>160178</v>
      </c>
      <c r="S21" s="102">
        <f t="shared" ref="S21" si="17">SUM(S16:S20)</f>
        <v>160822</v>
      </c>
      <c r="T21" s="98">
        <f t="shared" si="14"/>
        <v>163368</v>
      </c>
    </row>
    <row r="22" spans="2:20" s="16" customFormat="1" x14ac:dyDescent="0.25">
      <c r="B22" s="96"/>
      <c r="C22" s="102"/>
      <c r="D22" s="102"/>
      <c r="E22" s="102"/>
      <c r="F22" s="26"/>
      <c r="G22" s="310"/>
      <c r="H22" s="26"/>
      <c r="I22" s="26"/>
      <c r="J22" s="26"/>
      <c r="K22" s="26"/>
      <c r="L22" s="310"/>
      <c r="M22" s="26"/>
      <c r="N22" s="26"/>
      <c r="O22" s="26"/>
      <c r="P22" s="26"/>
      <c r="Q22" s="310"/>
      <c r="R22" s="102"/>
      <c r="S22" s="26"/>
      <c r="T22" s="98"/>
    </row>
    <row r="23" spans="2:20" s="16" customFormat="1" x14ac:dyDescent="0.25">
      <c r="B23" s="31" t="s">
        <v>76</v>
      </c>
      <c r="C23" s="130">
        <f>C10+C21</f>
        <v>151136</v>
      </c>
      <c r="D23" s="130">
        <f t="shared" ref="D23:E23" si="18">D10+D21</f>
        <v>153449</v>
      </c>
      <c r="E23" s="130">
        <f t="shared" si="18"/>
        <v>155917</v>
      </c>
      <c r="F23" s="33">
        <f>F10+F21</f>
        <v>158838</v>
      </c>
      <c r="G23" s="32">
        <f>G10+G21</f>
        <v>158838</v>
      </c>
      <c r="H23" s="33">
        <f>H10+H21</f>
        <v>160072</v>
      </c>
      <c r="I23" s="33">
        <f t="shared" ref="I23:J23" si="19">I10+I21</f>
        <v>160049</v>
      </c>
      <c r="J23" s="33">
        <f t="shared" si="19"/>
        <v>161409</v>
      </c>
      <c r="K23" s="33">
        <f>K10+K21</f>
        <v>162388</v>
      </c>
      <c r="L23" s="32">
        <f>L10+L21</f>
        <v>162388</v>
      </c>
      <c r="M23" s="33">
        <f>M10+M21</f>
        <v>163465</v>
      </c>
      <c r="N23" s="33">
        <f>N10+N21</f>
        <v>165385</v>
      </c>
      <c r="O23" s="33">
        <f t="shared" ref="O23:T23" si="20">O10+O21</f>
        <v>167007</v>
      </c>
      <c r="P23" s="33">
        <f t="shared" si="20"/>
        <v>169587</v>
      </c>
      <c r="Q23" s="32">
        <f>Q10+Q21</f>
        <v>169587</v>
      </c>
      <c r="R23" s="33">
        <f t="shared" si="20"/>
        <v>171220</v>
      </c>
      <c r="S23" s="33">
        <f t="shared" ref="S23" si="21">S10+S21</f>
        <v>172383</v>
      </c>
      <c r="T23" s="45">
        <f t="shared" si="20"/>
        <v>176340</v>
      </c>
    </row>
    <row r="24" spans="2:20" x14ac:dyDescent="0.25">
      <c r="B24" s="95"/>
      <c r="C24" s="110"/>
      <c r="D24" s="110"/>
      <c r="E24" s="110"/>
      <c r="F24" s="120"/>
      <c r="G24" s="124"/>
      <c r="H24" s="120"/>
      <c r="I24" s="120"/>
      <c r="J24" s="120"/>
      <c r="K24" s="120"/>
      <c r="L24" s="124"/>
      <c r="M24" s="120"/>
      <c r="N24" s="120"/>
      <c r="O24" s="120"/>
      <c r="P24" s="120"/>
      <c r="Q24" s="124"/>
      <c r="R24" s="114"/>
      <c r="S24" s="120"/>
      <c r="T24" s="115"/>
    </row>
    <row r="25" spans="2:20" x14ac:dyDescent="0.25">
      <c r="B25" s="100" t="s">
        <v>77</v>
      </c>
      <c r="C25" s="111"/>
      <c r="D25" s="111"/>
      <c r="E25" s="111"/>
      <c r="F25" s="118"/>
      <c r="G25" s="125"/>
      <c r="H25" s="118"/>
      <c r="I25" s="118"/>
      <c r="J25" s="118"/>
      <c r="K25" s="118"/>
      <c r="L25" s="125"/>
      <c r="M25" s="118"/>
      <c r="N25" s="118"/>
      <c r="O25" s="118"/>
      <c r="P25" s="118"/>
      <c r="Q25" s="125"/>
      <c r="R25" s="118"/>
      <c r="S25" s="118"/>
      <c r="T25" s="119"/>
    </row>
    <row r="26" spans="2:20" x14ac:dyDescent="0.25">
      <c r="B26" s="95" t="s">
        <v>78</v>
      </c>
      <c r="C26" s="110">
        <v>2538</v>
      </c>
      <c r="D26" s="110">
        <v>2512</v>
      </c>
      <c r="E26" s="110">
        <v>2946</v>
      </c>
      <c r="F26" s="120">
        <v>3487</v>
      </c>
      <c r="G26" s="124">
        <v>3487</v>
      </c>
      <c r="H26" s="120">
        <v>2364</v>
      </c>
      <c r="I26" s="120">
        <v>2398</v>
      </c>
      <c r="J26" s="120">
        <v>2486</v>
      </c>
      <c r="K26" s="120">
        <v>3144</v>
      </c>
      <c r="L26" s="124">
        <v>3144</v>
      </c>
      <c r="M26" s="120">
        <v>2497</v>
      </c>
      <c r="N26" s="120">
        <v>2716</v>
      </c>
      <c r="O26" s="120">
        <v>2888</v>
      </c>
      <c r="P26" s="120">
        <v>3629</v>
      </c>
      <c r="Q26" s="124">
        <v>3629</v>
      </c>
      <c r="R26" s="114">
        <v>3175</v>
      </c>
      <c r="S26" s="120">
        <v>3971</v>
      </c>
      <c r="T26" s="115">
        <v>4175</v>
      </c>
    </row>
    <row r="27" spans="2:20" x14ac:dyDescent="0.25">
      <c r="B27" s="95" t="s">
        <v>79</v>
      </c>
      <c r="C27" s="110">
        <v>2039</v>
      </c>
      <c r="D27" s="110">
        <v>3793</v>
      </c>
      <c r="E27" s="110">
        <v>2469</v>
      </c>
      <c r="F27" s="120">
        <v>3135</v>
      </c>
      <c r="G27" s="124">
        <v>3135</v>
      </c>
      <c r="H27" s="120">
        <v>3033</v>
      </c>
      <c r="I27" s="120">
        <v>4785</v>
      </c>
      <c r="J27" s="120">
        <v>3425</v>
      </c>
      <c r="K27" s="120">
        <v>2873</v>
      </c>
      <c r="L27" s="124">
        <v>2873</v>
      </c>
      <c r="M27" s="120">
        <v>4064</v>
      </c>
      <c r="N27" s="120">
        <v>3296</v>
      </c>
      <c r="O27" s="120">
        <v>2098</v>
      </c>
      <c r="P27" s="120">
        <v>3304</v>
      </c>
      <c r="Q27" s="124">
        <v>3304</v>
      </c>
      <c r="R27" s="114">
        <v>3262</v>
      </c>
      <c r="S27" s="120">
        <v>3875</v>
      </c>
      <c r="T27" s="115">
        <v>3606</v>
      </c>
    </row>
    <row r="28" spans="2:20" x14ac:dyDescent="0.25">
      <c r="B28" s="95" t="s">
        <v>80</v>
      </c>
      <c r="C28" s="110">
        <v>470</v>
      </c>
      <c r="D28" s="110">
        <v>521</v>
      </c>
      <c r="E28" s="110">
        <v>712</v>
      </c>
      <c r="F28" s="120">
        <v>392</v>
      </c>
      <c r="G28" s="124">
        <v>392</v>
      </c>
      <c r="H28" s="120">
        <v>493</v>
      </c>
      <c r="I28" s="120">
        <v>657</v>
      </c>
      <c r="J28" s="120">
        <v>768</v>
      </c>
      <c r="K28" s="120">
        <v>482</v>
      </c>
      <c r="L28" s="124">
        <v>482</v>
      </c>
      <c r="M28" s="120">
        <v>574</v>
      </c>
      <c r="N28" s="120">
        <v>692</v>
      </c>
      <c r="O28" s="120">
        <v>908</v>
      </c>
      <c r="P28" s="120">
        <v>749</v>
      </c>
      <c r="Q28" s="124">
        <v>749</v>
      </c>
      <c r="R28" s="114">
        <v>642</v>
      </c>
      <c r="S28" s="120">
        <v>682</v>
      </c>
      <c r="T28" s="115">
        <v>946</v>
      </c>
    </row>
    <row r="29" spans="2:20" x14ac:dyDescent="0.25">
      <c r="B29" s="95" t="s">
        <v>81</v>
      </c>
      <c r="C29" s="110">
        <v>544</v>
      </c>
      <c r="D29" s="110">
        <v>564</v>
      </c>
      <c r="E29" s="110">
        <v>559</v>
      </c>
      <c r="F29" s="120">
        <v>565</v>
      </c>
      <c r="G29" s="124">
        <v>565</v>
      </c>
      <c r="H29" s="120">
        <v>571</v>
      </c>
      <c r="I29" s="120">
        <v>569</v>
      </c>
      <c r="J29" s="120">
        <v>556</v>
      </c>
      <c r="K29" s="120">
        <v>537</v>
      </c>
      <c r="L29" s="124">
        <v>537</v>
      </c>
      <c r="M29" s="120">
        <v>536</v>
      </c>
      <c r="N29" s="120">
        <v>537</v>
      </c>
      <c r="O29" s="120">
        <v>558</v>
      </c>
      <c r="P29" s="120">
        <v>533</v>
      </c>
      <c r="Q29" s="124">
        <v>533</v>
      </c>
      <c r="R29" s="114">
        <v>575</v>
      </c>
      <c r="S29" s="120">
        <v>554</v>
      </c>
      <c r="T29" s="115">
        <v>596</v>
      </c>
    </row>
    <row r="30" spans="2:20" x14ac:dyDescent="0.25">
      <c r="B30" s="95" t="s">
        <v>82</v>
      </c>
      <c r="C30" s="110">
        <v>2501</v>
      </c>
      <c r="D30" s="110">
        <v>2698</v>
      </c>
      <c r="E30" s="110">
        <v>3096</v>
      </c>
      <c r="F30" s="120">
        <v>3141</v>
      </c>
      <c r="G30" s="124">
        <v>3141</v>
      </c>
      <c r="H30" s="120">
        <v>5077</v>
      </c>
      <c r="I30" s="120">
        <v>3756</v>
      </c>
      <c r="J30" s="120">
        <v>4669</v>
      </c>
      <c r="K30" s="120">
        <v>4238</v>
      </c>
      <c r="L30" s="124">
        <v>4238</v>
      </c>
      <c r="M30" s="120">
        <v>5586</v>
      </c>
      <c r="N30" s="120">
        <v>4976</v>
      </c>
      <c r="O30" s="120">
        <v>4873</v>
      </c>
      <c r="P30" s="120">
        <v>3387</v>
      </c>
      <c r="Q30" s="124">
        <v>3387</v>
      </c>
      <c r="R30" s="114">
        <v>3884</v>
      </c>
      <c r="S30" s="120">
        <v>3171</v>
      </c>
      <c r="T30" s="115">
        <v>3249</v>
      </c>
    </row>
    <row r="31" spans="2:20" x14ac:dyDescent="0.25">
      <c r="B31" s="95" t="s">
        <v>83</v>
      </c>
      <c r="C31" s="110">
        <v>779</v>
      </c>
      <c r="D31" s="110">
        <v>739</v>
      </c>
      <c r="E31" s="110">
        <v>861</v>
      </c>
      <c r="F31" s="120">
        <v>881</v>
      </c>
      <c r="G31" s="124">
        <v>881</v>
      </c>
      <c r="H31" s="120">
        <v>802</v>
      </c>
      <c r="I31" s="120">
        <v>729</v>
      </c>
      <c r="J31" s="120">
        <v>742</v>
      </c>
      <c r="K31" s="120">
        <v>718</v>
      </c>
      <c r="L31" s="124">
        <v>718</v>
      </c>
      <c r="M31" s="120">
        <v>709</v>
      </c>
      <c r="N31" s="120">
        <v>691</v>
      </c>
      <c r="O31" s="120">
        <v>673</v>
      </c>
      <c r="P31" s="120">
        <v>647</v>
      </c>
      <c r="Q31" s="124">
        <v>647</v>
      </c>
      <c r="R31" s="114">
        <v>648</v>
      </c>
      <c r="S31" s="120">
        <v>649</v>
      </c>
      <c r="T31" s="115">
        <v>798</v>
      </c>
    </row>
    <row r="32" spans="2:20" x14ac:dyDescent="0.25">
      <c r="B32" s="95" t="s">
        <v>84</v>
      </c>
      <c r="C32" s="110">
        <v>611</v>
      </c>
      <c r="D32" s="110">
        <v>600</v>
      </c>
      <c r="E32" s="110">
        <v>673</v>
      </c>
      <c r="F32" s="120">
        <v>784</v>
      </c>
      <c r="G32" s="124">
        <v>784</v>
      </c>
      <c r="H32" s="120">
        <v>826</v>
      </c>
      <c r="I32" s="120">
        <v>898</v>
      </c>
      <c r="J32" s="120">
        <v>1218</v>
      </c>
      <c r="K32" s="120">
        <v>1377</v>
      </c>
      <c r="L32" s="124">
        <v>1377</v>
      </c>
      <c r="M32" s="120">
        <v>1509</v>
      </c>
      <c r="N32" s="120">
        <v>1309</v>
      </c>
      <c r="O32" s="120">
        <v>1319</v>
      </c>
      <c r="P32" s="120">
        <v>1211</v>
      </c>
      <c r="Q32" s="124">
        <v>1211</v>
      </c>
      <c r="R32" s="114">
        <v>1238</v>
      </c>
      <c r="S32" s="120">
        <v>1383</v>
      </c>
      <c r="T32" s="115">
        <v>1338</v>
      </c>
    </row>
    <row r="33" spans="2:22" x14ac:dyDescent="0.25">
      <c r="B33" s="95" t="s">
        <v>85</v>
      </c>
      <c r="C33" s="110">
        <v>1810</v>
      </c>
      <c r="D33" s="110">
        <v>2020</v>
      </c>
      <c r="E33" s="110">
        <v>2074</v>
      </c>
      <c r="F33" s="120">
        <v>2367</v>
      </c>
      <c r="G33" s="124">
        <v>2367</v>
      </c>
      <c r="H33" s="120">
        <v>2004</v>
      </c>
      <c r="I33" s="120">
        <v>2898</v>
      </c>
      <c r="J33" s="120">
        <v>2829</v>
      </c>
      <c r="K33" s="120">
        <v>2936</v>
      </c>
      <c r="L33" s="124">
        <v>2936</v>
      </c>
      <c r="M33" s="120">
        <v>1858</v>
      </c>
      <c r="N33" s="120">
        <v>1994</v>
      </c>
      <c r="O33" s="120">
        <v>2239</v>
      </c>
      <c r="P33" s="120">
        <v>2471</v>
      </c>
      <c r="Q33" s="124">
        <v>2471</v>
      </c>
      <c r="R33" s="114">
        <v>2001</v>
      </c>
      <c r="S33" s="120">
        <v>2259</v>
      </c>
      <c r="T33" s="115">
        <v>2204</v>
      </c>
    </row>
    <row r="34" spans="2:22" s="16" customFormat="1" x14ac:dyDescent="0.25">
      <c r="B34" s="96" t="s">
        <v>86</v>
      </c>
      <c r="C34" s="116">
        <f>SUM(C26:C33)</f>
        <v>11292</v>
      </c>
      <c r="D34" s="116">
        <f t="shared" ref="D34:R34" si="22">SUM(D26:D33)</f>
        <v>13447</v>
      </c>
      <c r="E34" s="116">
        <f t="shared" si="22"/>
        <v>13390</v>
      </c>
      <c r="F34" s="116">
        <f t="shared" si="22"/>
        <v>14752</v>
      </c>
      <c r="G34" s="306">
        <f t="shared" ref="G34" si="23">SUM(G26:G33)</f>
        <v>14752</v>
      </c>
      <c r="H34" s="116">
        <f t="shared" si="22"/>
        <v>15170</v>
      </c>
      <c r="I34" s="116">
        <f t="shared" si="22"/>
        <v>16690</v>
      </c>
      <c r="J34" s="116">
        <f t="shared" si="22"/>
        <v>16693</v>
      </c>
      <c r="K34" s="116">
        <f t="shared" si="22"/>
        <v>16305</v>
      </c>
      <c r="L34" s="306">
        <f t="shared" ref="L34" si="24">SUM(L26:L33)</f>
        <v>16305</v>
      </c>
      <c r="M34" s="116">
        <f t="shared" si="22"/>
        <v>17333</v>
      </c>
      <c r="N34" s="116">
        <f t="shared" si="22"/>
        <v>16211</v>
      </c>
      <c r="O34" s="116">
        <f t="shared" si="22"/>
        <v>15556</v>
      </c>
      <c r="P34" s="116">
        <f t="shared" si="22"/>
        <v>15931</v>
      </c>
      <c r="Q34" s="306">
        <f>SUM(Q26:Q33)</f>
        <v>15931</v>
      </c>
      <c r="R34" s="116">
        <f t="shared" si="22"/>
        <v>15425</v>
      </c>
      <c r="S34" s="116">
        <f t="shared" ref="S34" si="25">SUM(S26:S33)</f>
        <v>16544</v>
      </c>
      <c r="T34" s="134">
        <f>SUM(T26:T33)</f>
        <v>16912</v>
      </c>
    </row>
    <row r="35" spans="2:22" x14ac:dyDescent="0.25">
      <c r="B35" s="100" t="s">
        <v>87</v>
      </c>
      <c r="C35" s="127"/>
      <c r="D35" s="127"/>
      <c r="E35" s="127"/>
      <c r="F35" s="128"/>
      <c r="G35" s="311"/>
      <c r="H35" s="128"/>
      <c r="I35" s="128"/>
      <c r="J35" s="128"/>
      <c r="K35" s="128"/>
      <c r="L35" s="311"/>
      <c r="M35" s="128"/>
      <c r="N35" s="128"/>
      <c r="O35" s="128"/>
      <c r="P35" s="128"/>
      <c r="Q35" s="311"/>
      <c r="R35" s="128"/>
      <c r="S35" s="128"/>
      <c r="T35" s="129"/>
    </row>
    <row r="36" spans="2:22" x14ac:dyDescent="0.25">
      <c r="B36" s="95" t="s">
        <v>88</v>
      </c>
      <c r="C36" s="110">
        <v>53681</v>
      </c>
      <c r="D36" s="110">
        <v>54342</v>
      </c>
      <c r="E36" s="110">
        <v>54818</v>
      </c>
      <c r="F36" s="120">
        <v>54985</v>
      </c>
      <c r="G36" s="124">
        <v>54985</v>
      </c>
      <c r="H36" s="120">
        <v>56311</v>
      </c>
      <c r="I36" s="120">
        <v>56143</v>
      </c>
      <c r="J36" s="120">
        <v>56049</v>
      </c>
      <c r="K36" s="120">
        <v>55625</v>
      </c>
      <c r="L36" s="124">
        <v>55625</v>
      </c>
      <c r="M36" s="120">
        <v>54768</v>
      </c>
      <c r="N36" s="120">
        <v>57410</v>
      </c>
      <c r="O36" s="120">
        <v>57929</v>
      </c>
      <c r="P36" s="120">
        <v>60448</v>
      </c>
      <c r="Q36" s="124">
        <v>60448</v>
      </c>
      <c r="R36" s="114">
        <v>62196</v>
      </c>
      <c r="S36" s="120">
        <v>63147</v>
      </c>
      <c r="T36" s="115">
        <v>66060</v>
      </c>
    </row>
    <row r="37" spans="2:22" x14ac:dyDescent="0.25">
      <c r="B37" s="95" t="s">
        <v>90</v>
      </c>
      <c r="C37" s="110">
        <v>1488</v>
      </c>
      <c r="D37" s="110">
        <v>1502</v>
      </c>
      <c r="E37" s="110">
        <v>1456</v>
      </c>
      <c r="F37" s="120">
        <v>1432</v>
      </c>
      <c r="G37" s="124">
        <v>1432</v>
      </c>
      <c r="H37" s="120">
        <v>1414</v>
      </c>
      <c r="I37" s="120">
        <v>1377</v>
      </c>
      <c r="J37" s="120">
        <v>1379</v>
      </c>
      <c r="K37" s="120">
        <v>1340</v>
      </c>
      <c r="L37" s="124">
        <v>1340</v>
      </c>
      <c r="M37" s="120">
        <v>1352</v>
      </c>
      <c r="N37" s="120">
        <v>1315</v>
      </c>
      <c r="O37" s="120">
        <v>1093</v>
      </c>
      <c r="P37" s="120">
        <v>1074</v>
      </c>
      <c r="Q37" s="124">
        <v>1074</v>
      </c>
      <c r="R37" s="114">
        <v>1068</v>
      </c>
      <c r="S37" s="120">
        <v>1039</v>
      </c>
      <c r="T37" s="115">
        <v>1004</v>
      </c>
    </row>
    <row r="38" spans="2:22" x14ac:dyDescent="0.25">
      <c r="B38" s="95" t="s">
        <v>89</v>
      </c>
      <c r="C38" s="110">
        <v>8040</v>
      </c>
      <c r="D38" s="110">
        <v>8532</v>
      </c>
      <c r="E38" s="110">
        <v>8776</v>
      </c>
      <c r="F38" s="120">
        <v>8878</v>
      </c>
      <c r="G38" s="124">
        <v>8878</v>
      </c>
      <c r="H38" s="120">
        <v>9321</v>
      </c>
      <c r="I38" s="120">
        <v>8979</v>
      </c>
      <c r="J38" s="120">
        <v>9170</v>
      </c>
      <c r="K38" s="120">
        <v>9244</v>
      </c>
      <c r="L38" s="124">
        <v>9244</v>
      </c>
      <c r="M38" s="120">
        <v>9459</v>
      </c>
      <c r="N38" s="120">
        <v>9644</v>
      </c>
      <c r="O38" s="120">
        <v>9875</v>
      </c>
      <c r="P38" s="120">
        <v>9379</v>
      </c>
      <c r="Q38" s="124">
        <v>9379</v>
      </c>
      <c r="R38" s="114">
        <v>9673</v>
      </c>
      <c r="S38" s="120">
        <v>9948</v>
      </c>
      <c r="T38" s="115">
        <v>10244</v>
      </c>
    </row>
    <row r="39" spans="2:22" x14ac:dyDescent="0.25">
      <c r="B39" s="95" t="s">
        <v>83</v>
      </c>
      <c r="C39" s="110">
        <v>12256</v>
      </c>
      <c r="D39" s="110">
        <v>11889</v>
      </c>
      <c r="E39" s="110">
        <v>11740</v>
      </c>
      <c r="F39" s="120">
        <v>12437</v>
      </c>
      <c r="G39" s="124">
        <v>12437</v>
      </c>
      <c r="H39" s="120">
        <v>12497</v>
      </c>
      <c r="I39" s="120">
        <v>12539</v>
      </c>
      <c r="J39" s="120">
        <v>12912</v>
      </c>
      <c r="K39" s="120">
        <v>12286</v>
      </c>
      <c r="L39" s="124">
        <v>12286</v>
      </c>
      <c r="M39" s="120">
        <v>12299</v>
      </c>
      <c r="N39" s="120">
        <v>12272</v>
      </c>
      <c r="O39" s="114">
        <v>12278</v>
      </c>
      <c r="P39" s="120">
        <v>12129</v>
      </c>
      <c r="Q39" s="124">
        <v>12129</v>
      </c>
      <c r="R39" s="114">
        <v>12112</v>
      </c>
      <c r="S39" s="120">
        <v>12080</v>
      </c>
      <c r="T39" s="115">
        <v>12152</v>
      </c>
    </row>
    <row r="40" spans="2:22" x14ac:dyDescent="0.25">
      <c r="B40" s="95" t="s">
        <v>84</v>
      </c>
      <c r="C40" s="110">
        <v>15212</v>
      </c>
      <c r="D40" s="110">
        <v>15294</v>
      </c>
      <c r="E40" s="110">
        <v>15202</v>
      </c>
      <c r="F40" s="120">
        <v>15264</v>
      </c>
      <c r="G40" s="124">
        <v>15264</v>
      </c>
      <c r="H40" s="120">
        <v>14029</v>
      </c>
      <c r="I40" s="120">
        <v>14553</v>
      </c>
      <c r="J40" s="120">
        <v>14546</v>
      </c>
      <c r="K40" s="120">
        <v>15029</v>
      </c>
      <c r="L40" s="124">
        <v>15029</v>
      </c>
      <c r="M40" s="120">
        <v>15070</v>
      </c>
      <c r="N40" s="120">
        <v>15414</v>
      </c>
      <c r="O40" s="120">
        <v>15530</v>
      </c>
      <c r="P40" s="120">
        <v>16152</v>
      </c>
      <c r="Q40" s="124">
        <v>16152</v>
      </c>
      <c r="R40" s="114">
        <v>16037</v>
      </c>
      <c r="S40" s="120">
        <v>14519</v>
      </c>
      <c r="T40" s="115">
        <v>14017</v>
      </c>
    </row>
    <row r="41" spans="2:22" x14ac:dyDescent="0.25">
      <c r="B41" s="95" t="s">
        <v>91</v>
      </c>
      <c r="C41" s="110">
        <v>974</v>
      </c>
      <c r="D41" s="110">
        <v>959</v>
      </c>
      <c r="E41" s="110">
        <v>900</v>
      </c>
      <c r="F41" s="120">
        <v>934</v>
      </c>
      <c r="G41" s="124">
        <v>934</v>
      </c>
      <c r="H41" s="120">
        <v>1414</v>
      </c>
      <c r="I41" s="120">
        <v>911</v>
      </c>
      <c r="J41" s="120">
        <v>903</v>
      </c>
      <c r="K41" s="120">
        <v>969</v>
      </c>
      <c r="L41" s="124">
        <v>969</v>
      </c>
      <c r="M41" s="120">
        <v>1010</v>
      </c>
      <c r="N41" s="120">
        <v>995</v>
      </c>
      <c r="O41" s="120">
        <v>988</v>
      </c>
      <c r="P41" s="120">
        <v>855</v>
      </c>
      <c r="Q41" s="124">
        <v>855</v>
      </c>
      <c r="R41" s="114">
        <v>832</v>
      </c>
      <c r="S41" s="120">
        <v>799</v>
      </c>
      <c r="T41" s="115">
        <v>995</v>
      </c>
    </row>
    <row r="42" spans="2:22" x14ac:dyDescent="0.25">
      <c r="B42" s="95" t="s">
        <v>92</v>
      </c>
      <c r="C42" s="110">
        <v>571</v>
      </c>
      <c r="D42" s="110">
        <v>569</v>
      </c>
      <c r="E42" s="110">
        <v>579</v>
      </c>
      <c r="F42" s="120">
        <v>624</v>
      </c>
      <c r="G42" s="124">
        <v>624</v>
      </c>
      <c r="H42" s="120">
        <v>919</v>
      </c>
      <c r="I42" s="120">
        <v>683</v>
      </c>
      <c r="J42" s="120">
        <v>689</v>
      </c>
      <c r="K42" s="120">
        <v>687</v>
      </c>
      <c r="L42" s="124">
        <v>687</v>
      </c>
      <c r="M42" s="120">
        <v>747</v>
      </c>
      <c r="N42" s="120">
        <v>770</v>
      </c>
      <c r="O42" s="120">
        <v>804</v>
      </c>
      <c r="P42" s="120">
        <v>833</v>
      </c>
      <c r="Q42" s="124">
        <v>833</v>
      </c>
      <c r="R42" s="114">
        <v>831</v>
      </c>
      <c r="S42" s="120">
        <v>855</v>
      </c>
      <c r="T42" s="115">
        <v>851</v>
      </c>
    </row>
    <row r="43" spans="2:22" x14ac:dyDescent="0.25">
      <c r="B43" s="95" t="s">
        <v>93</v>
      </c>
      <c r="C43" s="110">
        <v>1587</v>
      </c>
      <c r="D43" s="110">
        <v>1583</v>
      </c>
      <c r="E43" s="110">
        <v>1649</v>
      </c>
      <c r="F43" s="120">
        <v>1581</v>
      </c>
      <c r="G43" s="124">
        <v>1581</v>
      </c>
      <c r="H43" s="120">
        <v>659</v>
      </c>
      <c r="I43" s="120">
        <v>1563</v>
      </c>
      <c r="J43" s="120">
        <v>1773</v>
      </c>
      <c r="K43" s="120">
        <v>1719</v>
      </c>
      <c r="L43" s="124">
        <v>1719</v>
      </c>
      <c r="M43" s="120">
        <v>1769</v>
      </c>
      <c r="N43" s="120">
        <v>1809</v>
      </c>
      <c r="O43" s="120">
        <v>1714</v>
      </c>
      <c r="P43" s="120">
        <v>1650</v>
      </c>
      <c r="Q43" s="124">
        <v>1650</v>
      </c>
      <c r="R43" s="114">
        <v>1794</v>
      </c>
      <c r="S43" s="120">
        <v>1868</v>
      </c>
      <c r="T43" s="115">
        <v>1936</v>
      </c>
      <c r="V43" s="14">
        <f>H23-H54</f>
        <v>0</v>
      </c>
    </row>
    <row r="44" spans="2:22" s="16" customFormat="1" x14ac:dyDescent="0.25">
      <c r="B44" s="96" t="s">
        <v>94</v>
      </c>
      <c r="C44" s="116">
        <f>SUM(C36:C43)</f>
        <v>93809</v>
      </c>
      <c r="D44" s="116">
        <f t="shared" ref="D44:T44" si="26">SUM(D36:D43)</f>
        <v>94670</v>
      </c>
      <c r="E44" s="116">
        <f t="shared" si="26"/>
        <v>95120</v>
      </c>
      <c r="F44" s="116">
        <f t="shared" si="26"/>
        <v>96135</v>
      </c>
      <c r="G44" s="306">
        <f t="shared" ref="G44" si="27">SUM(G36:G43)</f>
        <v>96135</v>
      </c>
      <c r="H44" s="116">
        <f t="shared" si="26"/>
        <v>96564</v>
      </c>
      <c r="I44" s="116">
        <f t="shared" si="26"/>
        <v>96748</v>
      </c>
      <c r="J44" s="116">
        <f t="shared" si="26"/>
        <v>97421</v>
      </c>
      <c r="K44" s="116">
        <f t="shared" si="26"/>
        <v>96899</v>
      </c>
      <c r="L44" s="306">
        <f t="shared" ref="L44" si="28">SUM(L36:L43)</f>
        <v>96899</v>
      </c>
      <c r="M44" s="116">
        <f t="shared" si="26"/>
        <v>96474</v>
      </c>
      <c r="N44" s="116">
        <f t="shared" si="26"/>
        <v>99629</v>
      </c>
      <c r="O44" s="116">
        <f t="shared" si="26"/>
        <v>100211</v>
      </c>
      <c r="P44" s="116">
        <f t="shared" si="26"/>
        <v>102520</v>
      </c>
      <c r="Q44" s="306">
        <f>SUM(Q36:Q43)</f>
        <v>102520</v>
      </c>
      <c r="R44" s="116">
        <f t="shared" si="26"/>
        <v>104543</v>
      </c>
      <c r="S44" s="116">
        <f t="shared" ref="S44" si="29">SUM(S36:S43)</f>
        <v>104255</v>
      </c>
      <c r="T44" s="134">
        <f t="shared" si="26"/>
        <v>107259</v>
      </c>
    </row>
    <row r="45" spans="2:22" x14ac:dyDescent="0.25">
      <c r="B45" s="100" t="s">
        <v>95</v>
      </c>
      <c r="C45" s="127"/>
      <c r="D45" s="127"/>
      <c r="E45" s="127"/>
      <c r="F45" s="128"/>
      <c r="G45" s="311"/>
      <c r="H45" s="128"/>
      <c r="I45" s="128"/>
      <c r="J45" s="128"/>
      <c r="K45" s="128"/>
      <c r="L45" s="311"/>
      <c r="M45" s="128"/>
      <c r="N45" s="128"/>
      <c r="O45" s="128"/>
      <c r="P45" s="118"/>
      <c r="Q45" s="125"/>
      <c r="R45" s="128"/>
      <c r="S45" s="128"/>
      <c r="T45" s="129"/>
    </row>
    <row r="46" spans="2:22" x14ac:dyDescent="0.25">
      <c r="B46" s="21" t="s">
        <v>148</v>
      </c>
      <c r="C46" s="120">
        <v>1964</v>
      </c>
      <c r="D46" s="120">
        <v>973</v>
      </c>
      <c r="E46" s="120">
        <v>1963</v>
      </c>
      <c r="F46" s="120">
        <v>1962</v>
      </c>
      <c r="G46" s="124">
        <v>1962</v>
      </c>
      <c r="H46" s="120">
        <v>2217</v>
      </c>
      <c r="I46" s="120">
        <v>1962</v>
      </c>
      <c r="J46" s="120">
        <v>1962</v>
      </c>
      <c r="K46" s="120">
        <v>1962</v>
      </c>
      <c r="L46" s="124">
        <v>1962</v>
      </c>
      <c r="M46" s="120">
        <v>1962</v>
      </c>
      <c r="N46" s="120">
        <v>1962</v>
      </c>
      <c r="O46" s="120">
        <v>1962</v>
      </c>
      <c r="P46" s="120">
        <v>1962</v>
      </c>
      <c r="Q46" s="124">
        <v>1962</v>
      </c>
      <c r="R46" s="120">
        <v>1962</v>
      </c>
      <c r="S46" s="120">
        <v>1962</v>
      </c>
      <c r="T46" s="137">
        <f>973+989</f>
        <v>1962</v>
      </c>
      <c r="V46" s="14">
        <f>S23-S54</f>
        <v>0</v>
      </c>
    </row>
    <row r="47" spans="2:22" x14ac:dyDescent="0.25">
      <c r="B47" s="95" t="s">
        <v>102</v>
      </c>
      <c r="C47" s="110">
        <v>1</v>
      </c>
      <c r="D47" s="110">
        <v>1</v>
      </c>
      <c r="E47" s="110">
        <v>1</v>
      </c>
      <c r="F47" s="110">
        <v>1</v>
      </c>
      <c r="G47" s="308">
        <v>1</v>
      </c>
      <c r="H47" s="110">
        <v>1</v>
      </c>
      <c r="I47" s="110">
        <v>1</v>
      </c>
      <c r="J47" s="110">
        <v>1</v>
      </c>
      <c r="K47" s="110">
        <v>1</v>
      </c>
      <c r="L47" s="308">
        <v>1</v>
      </c>
      <c r="M47" s="110">
        <v>1</v>
      </c>
      <c r="N47" s="110">
        <v>1</v>
      </c>
      <c r="O47" s="110">
        <v>1</v>
      </c>
      <c r="P47" s="110">
        <v>1</v>
      </c>
      <c r="Q47" s="308">
        <v>1</v>
      </c>
      <c r="R47" s="110">
        <v>1</v>
      </c>
      <c r="S47" s="110">
        <v>1</v>
      </c>
      <c r="T47" s="144">
        <v>1</v>
      </c>
    </row>
    <row r="48" spans="2:22" x14ac:dyDescent="0.25">
      <c r="B48" s="95" t="s">
        <v>96</v>
      </c>
      <c r="C48" s="110">
        <v>40823</v>
      </c>
      <c r="D48" s="110">
        <v>40885</v>
      </c>
      <c r="E48" s="110">
        <v>40488</v>
      </c>
      <c r="F48" s="120">
        <v>40881</v>
      </c>
      <c r="G48" s="124">
        <v>40881</v>
      </c>
      <c r="H48" s="120">
        <v>40930</v>
      </c>
      <c r="I48" s="120">
        <v>40997</v>
      </c>
      <c r="J48" s="120">
        <v>41046</v>
      </c>
      <c r="K48" s="120">
        <v>43767</v>
      </c>
      <c r="L48" s="124">
        <v>43767</v>
      </c>
      <c r="M48" s="120">
        <v>43761</v>
      </c>
      <c r="N48" s="120">
        <v>43788</v>
      </c>
      <c r="O48" s="120">
        <v>44348</v>
      </c>
      <c r="P48" s="120">
        <v>44371</v>
      </c>
      <c r="Q48" s="124">
        <v>44371</v>
      </c>
      <c r="R48" s="114">
        <v>44364</v>
      </c>
      <c r="S48" s="120">
        <v>44373</v>
      </c>
      <c r="T48" s="115">
        <v>44397</v>
      </c>
    </row>
    <row r="49" spans="2:20" x14ac:dyDescent="0.25">
      <c r="B49" s="95" t="s">
        <v>101</v>
      </c>
      <c r="C49" s="110">
        <v>3360</v>
      </c>
      <c r="D49" s="110">
        <v>3502</v>
      </c>
      <c r="E49" s="110">
        <v>4139</v>
      </c>
      <c r="F49" s="120">
        <v>4108</v>
      </c>
      <c r="G49" s="124">
        <v>4108</v>
      </c>
      <c r="H49" s="120">
        <v>4221</v>
      </c>
      <c r="I49" s="120">
        <v>2707</v>
      </c>
      <c r="J49" s="120">
        <v>3260</v>
      </c>
      <c r="K49" s="120">
        <v>2471</v>
      </c>
      <c r="L49" s="124">
        <v>2471</v>
      </c>
      <c r="M49" s="120">
        <v>2680</v>
      </c>
      <c r="N49" s="120">
        <v>2687</v>
      </c>
      <c r="O49" s="120">
        <v>3293</v>
      </c>
      <c r="P49" s="120">
        <v>3265</v>
      </c>
      <c r="Q49" s="124">
        <v>3265</v>
      </c>
      <c r="R49" s="114">
        <v>3323</v>
      </c>
      <c r="S49" s="120">
        <v>3457</v>
      </c>
      <c r="T49" s="115">
        <v>4063</v>
      </c>
    </row>
    <row r="50" spans="2:20" x14ac:dyDescent="0.25">
      <c r="B50" s="95" t="s">
        <v>97</v>
      </c>
      <c r="C50" s="110">
        <v>-128</v>
      </c>
      <c r="D50" s="110">
        <v>-148</v>
      </c>
      <c r="E50" s="110">
        <v>-153</v>
      </c>
      <c r="F50" s="120">
        <v>-130</v>
      </c>
      <c r="G50" s="124">
        <v>-130</v>
      </c>
      <c r="H50" s="120">
        <v>-193</v>
      </c>
      <c r="I50" s="120">
        <v>-183</v>
      </c>
      <c r="J50" s="120">
        <v>-263</v>
      </c>
      <c r="K50" s="120">
        <v>-237</v>
      </c>
      <c r="L50" s="124">
        <v>-237</v>
      </c>
      <c r="M50" s="120">
        <v>-218</v>
      </c>
      <c r="N50" s="120">
        <v>-306</v>
      </c>
      <c r="O50" s="120">
        <v>-297</v>
      </c>
      <c r="P50" s="120">
        <v>-303</v>
      </c>
      <c r="Q50" s="124">
        <v>-303</v>
      </c>
      <c r="R50" s="114">
        <v>-204</v>
      </c>
      <c r="S50" s="120">
        <v>-73</v>
      </c>
      <c r="T50" s="115">
        <v>-78</v>
      </c>
    </row>
    <row r="51" spans="2:20" x14ac:dyDescent="0.25">
      <c r="B51" s="95" t="s">
        <v>98</v>
      </c>
      <c r="C51" s="110">
        <v>15</v>
      </c>
      <c r="D51" s="110">
        <v>119</v>
      </c>
      <c r="E51" s="110">
        <v>969</v>
      </c>
      <c r="F51" s="120">
        <v>1129</v>
      </c>
      <c r="G51" s="124">
        <v>1129</v>
      </c>
      <c r="H51" s="120">
        <v>1162</v>
      </c>
      <c r="I51" s="120">
        <v>1127</v>
      </c>
      <c r="J51" s="120">
        <v>1289</v>
      </c>
      <c r="K51" s="120">
        <v>1220</v>
      </c>
      <c r="L51" s="124">
        <v>1220</v>
      </c>
      <c r="M51" s="120">
        <v>1472</v>
      </c>
      <c r="N51" s="120">
        <v>1413</v>
      </c>
      <c r="O51" s="120">
        <v>1933</v>
      </c>
      <c r="P51" s="120">
        <v>1840</v>
      </c>
      <c r="Q51" s="124">
        <v>1840</v>
      </c>
      <c r="R51" s="114">
        <v>1806</v>
      </c>
      <c r="S51" s="120">
        <v>1864</v>
      </c>
      <c r="T51" s="115">
        <v>1824</v>
      </c>
    </row>
    <row r="52" spans="2:20" s="16" customFormat="1" x14ac:dyDescent="0.25">
      <c r="B52" s="96" t="s">
        <v>99</v>
      </c>
      <c r="C52" s="116">
        <f t="shared" ref="C52:O52" si="30">SUM(C46:C51)</f>
        <v>46035</v>
      </c>
      <c r="D52" s="116">
        <f t="shared" si="30"/>
        <v>45332</v>
      </c>
      <c r="E52" s="116">
        <f t="shared" si="30"/>
        <v>47407</v>
      </c>
      <c r="F52" s="116">
        <f t="shared" si="30"/>
        <v>47951</v>
      </c>
      <c r="G52" s="306">
        <f t="shared" ref="G52" si="31">SUM(G46:G51)</f>
        <v>47951</v>
      </c>
      <c r="H52" s="116">
        <f t="shared" si="30"/>
        <v>48338</v>
      </c>
      <c r="I52" s="116">
        <f t="shared" si="30"/>
        <v>46611</v>
      </c>
      <c r="J52" s="116">
        <f t="shared" si="30"/>
        <v>47295</v>
      </c>
      <c r="K52" s="116">
        <f t="shared" si="30"/>
        <v>49184</v>
      </c>
      <c r="L52" s="306">
        <f t="shared" ref="L52" si="32">SUM(L46:L51)</f>
        <v>49184</v>
      </c>
      <c r="M52" s="116">
        <f t="shared" si="30"/>
        <v>49658</v>
      </c>
      <c r="N52" s="116">
        <f t="shared" si="30"/>
        <v>49545</v>
      </c>
      <c r="O52" s="116">
        <f t="shared" si="30"/>
        <v>51240</v>
      </c>
      <c r="P52" s="116">
        <f>SUM(P46:P51)</f>
        <v>51136</v>
      </c>
      <c r="Q52" s="306">
        <f>SUM(Q46:Q51)</f>
        <v>51136</v>
      </c>
      <c r="R52" s="116">
        <f t="shared" ref="R52:S52" si="33">SUM(R46:R51)</f>
        <v>51252</v>
      </c>
      <c r="S52" s="116">
        <f t="shared" si="33"/>
        <v>51584</v>
      </c>
      <c r="T52" s="134">
        <f>SUM(T46:T51)</f>
        <v>52169</v>
      </c>
    </row>
    <row r="53" spans="2:20" x14ac:dyDescent="0.25">
      <c r="B53" s="96"/>
      <c r="C53" s="116"/>
      <c r="D53" s="116"/>
      <c r="E53" s="116"/>
      <c r="F53" s="121"/>
      <c r="G53" s="312"/>
      <c r="H53" s="121"/>
      <c r="I53" s="121"/>
      <c r="J53" s="121"/>
      <c r="K53" s="121"/>
      <c r="L53" s="312"/>
      <c r="M53" s="121"/>
      <c r="N53" s="121"/>
      <c r="O53" s="121"/>
      <c r="P53" s="120"/>
      <c r="Q53" s="124"/>
      <c r="R53" s="117"/>
      <c r="S53" s="117"/>
      <c r="T53" s="135"/>
    </row>
    <row r="54" spans="2:20" s="16" customFormat="1" x14ac:dyDescent="0.25">
      <c r="B54" s="31" t="s">
        <v>100</v>
      </c>
      <c r="C54" s="130">
        <f t="shared" ref="C54:T54" si="34">C34+C44+C52</f>
        <v>151136</v>
      </c>
      <c r="D54" s="130">
        <f t="shared" si="34"/>
        <v>153449</v>
      </c>
      <c r="E54" s="130">
        <f t="shared" si="34"/>
        <v>155917</v>
      </c>
      <c r="F54" s="130">
        <f t="shared" si="34"/>
        <v>158838</v>
      </c>
      <c r="G54" s="142">
        <f t="shared" ref="G54" si="35">G34+G44+G52</f>
        <v>158838</v>
      </c>
      <c r="H54" s="130">
        <f t="shared" si="34"/>
        <v>160072</v>
      </c>
      <c r="I54" s="130">
        <f t="shared" si="34"/>
        <v>160049</v>
      </c>
      <c r="J54" s="130">
        <f t="shared" si="34"/>
        <v>161409</v>
      </c>
      <c r="K54" s="130">
        <f t="shared" si="34"/>
        <v>162388</v>
      </c>
      <c r="L54" s="142">
        <f t="shared" ref="L54" si="36">L34+L44+L52</f>
        <v>162388</v>
      </c>
      <c r="M54" s="130">
        <f t="shared" si="34"/>
        <v>163465</v>
      </c>
      <c r="N54" s="130">
        <f t="shared" si="34"/>
        <v>165385</v>
      </c>
      <c r="O54" s="130">
        <f t="shared" si="34"/>
        <v>167007</v>
      </c>
      <c r="P54" s="130">
        <f t="shared" si="34"/>
        <v>169587</v>
      </c>
      <c r="Q54" s="142">
        <f>Q34+Q44+Q52</f>
        <v>169587</v>
      </c>
      <c r="R54" s="130">
        <f t="shared" si="34"/>
        <v>171220</v>
      </c>
      <c r="S54" s="130">
        <f t="shared" si="34"/>
        <v>172383</v>
      </c>
      <c r="T54" s="143">
        <f t="shared" si="34"/>
        <v>176340</v>
      </c>
    </row>
    <row r="56" spans="2:20" x14ac:dyDescent="0.25"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</sheetData>
  <phoneticPr fontId="8" type="noConversion"/>
  <pageMargins left="0.7" right="0.7" top="0.75" bottom="0.75" header="0.3" footer="0.3"/>
  <pageSetup paperSize="11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T60"/>
  <sheetViews>
    <sheetView showGridLines="0" zoomScaleNormal="100" workbookViewId="0">
      <pane xSplit="2" topLeftCell="C1" activePane="topRight" state="frozen"/>
      <selection pane="topRight"/>
    </sheetView>
  </sheetViews>
  <sheetFormatPr defaultColWidth="10.875" defaultRowHeight="15.75" outlineLevelCol="1" x14ac:dyDescent="0.25"/>
  <cols>
    <col min="1" max="1" width="2.625" style="1" customWidth="1"/>
    <col min="2" max="2" width="78.125" style="1" customWidth="1"/>
    <col min="3" max="6" width="12.375" style="1" customWidth="1" outlineLevel="1"/>
    <col min="7" max="7" width="12.5" style="14" customWidth="1"/>
    <col min="8" max="11" width="12.5" style="14" customWidth="1" outlineLevel="1"/>
    <col min="12" max="12" width="12.5" style="14" customWidth="1"/>
    <col min="13" max="16" width="12.5" style="14" customWidth="1" outlineLevel="1"/>
    <col min="17" max="17" width="12.5" style="14" customWidth="1"/>
    <col min="18" max="20" width="12.5" style="14" customWidth="1" outlineLevel="1"/>
    <col min="21" max="16384" width="10.875" style="1"/>
  </cols>
  <sheetData>
    <row r="2" spans="2:20" x14ac:dyDescent="0.25">
      <c r="B2" s="234" t="s">
        <v>21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93"/>
      <c r="S2" s="93"/>
      <c r="T2" s="93"/>
    </row>
    <row r="3" spans="2:20" ht="17.100000000000001" customHeight="1" x14ac:dyDescent="0.25">
      <c r="B3" s="52" t="s">
        <v>103</v>
      </c>
      <c r="C3" s="15" t="s">
        <v>47</v>
      </c>
      <c r="D3" s="15" t="s">
        <v>48</v>
      </c>
      <c r="E3" s="15" t="s">
        <v>49</v>
      </c>
      <c r="F3" s="15" t="s">
        <v>50</v>
      </c>
      <c r="G3" s="304" t="s">
        <v>23</v>
      </c>
      <c r="H3" s="15" t="s">
        <v>29</v>
      </c>
      <c r="I3" s="15" t="s">
        <v>30</v>
      </c>
      <c r="J3" s="15" t="s">
        <v>31</v>
      </c>
      <c r="K3" s="15" t="s">
        <v>32</v>
      </c>
      <c r="L3" s="304" t="s">
        <v>24</v>
      </c>
      <c r="M3" s="18" t="s">
        <v>33</v>
      </c>
      <c r="N3" s="18" t="s">
        <v>34</v>
      </c>
      <c r="O3" s="18" t="s">
        <v>35</v>
      </c>
      <c r="P3" s="18" t="s">
        <v>36</v>
      </c>
      <c r="Q3" s="304" t="s">
        <v>25</v>
      </c>
      <c r="R3" s="18" t="s">
        <v>44</v>
      </c>
      <c r="S3" s="18" t="s">
        <v>45</v>
      </c>
      <c r="T3" s="18" t="s">
        <v>46</v>
      </c>
    </row>
    <row r="4" spans="2:20" x14ac:dyDescent="0.25">
      <c r="B4" s="100" t="s">
        <v>104</v>
      </c>
      <c r="C4" s="111"/>
      <c r="D4" s="111"/>
      <c r="E4" s="111"/>
      <c r="F4" s="111"/>
      <c r="G4" s="101"/>
      <c r="H4" s="105"/>
      <c r="I4" s="105"/>
      <c r="J4" s="105"/>
      <c r="K4" s="105"/>
      <c r="L4" s="101"/>
      <c r="M4" s="105"/>
      <c r="N4" s="105"/>
      <c r="O4" s="105"/>
      <c r="P4" s="105"/>
      <c r="Q4" s="101"/>
      <c r="R4" s="105"/>
      <c r="S4" s="105"/>
      <c r="T4" s="105"/>
    </row>
    <row r="5" spans="2:20" x14ac:dyDescent="0.25">
      <c r="B5" s="21" t="s">
        <v>15</v>
      </c>
      <c r="C5" s="136">
        <f>'Income Statement'!C28</f>
        <v>942</v>
      </c>
      <c r="D5" s="136">
        <v>799</v>
      </c>
      <c r="E5" s="136">
        <v>1372</v>
      </c>
      <c r="F5" s="136">
        <v>658</v>
      </c>
      <c r="G5" s="139">
        <f>'Income Statement'!G28</f>
        <v>3771</v>
      </c>
      <c r="H5" s="136">
        <f>'Income Statement'!H28</f>
        <v>930</v>
      </c>
      <c r="I5" s="136">
        <v>-841</v>
      </c>
      <c r="J5" s="136">
        <v>1283</v>
      </c>
      <c r="K5" s="136">
        <v>-91</v>
      </c>
      <c r="L5" s="139">
        <f>'Income Statement'!L28</f>
        <v>1281</v>
      </c>
      <c r="M5" s="136">
        <f>'Income Statement'!M28</f>
        <v>992</v>
      </c>
      <c r="N5" s="136">
        <v>647</v>
      </c>
      <c r="O5" s="136">
        <v>1328</v>
      </c>
      <c r="P5" s="136">
        <v>707</v>
      </c>
      <c r="Q5" s="139">
        <f>'Income Statement'!Q28</f>
        <v>3777</v>
      </c>
      <c r="R5" s="136">
        <f>'Income Statement'!R28</f>
        <v>873</v>
      </c>
      <c r="S5" s="136">
        <v>827</v>
      </c>
      <c r="T5" s="136">
        <v>1447</v>
      </c>
    </row>
    <row r="6" spans="2:20" x14ac:dyDescent="0.25">
      <c r="B6" s="19" t="s">
        <v>105</v>
      </c>
      <c r="C6" s="136"/>
      <c r="D6" s="136"/>
      <c r="E6" s="136"/>
      <c r="F6" s="20"/>
      <c r="G6" s="123"/>
      <c r="H6" s="24"/>
      <c r="I6" s="24"/>
      <c r="J6" s="24"/>
      <c r="K6" s="20"/>
      <c r="L6" s="123"/>
      <c r="M6" s="24"/>
      <c r="N6" s="136"/>
      <c r="O6" s="24"/>
      <c r="P6" s="24"/>
      <c r="Q6" s="123"/>
      <c r="R6" s="24"/>
      <c r="S6" s="136">
        <v>0</v>
      </c>
      <c r="T6" s="24">
        <v>1413</v>
      </c>
    </row>
    <row r="7" spans="2:20" x14ac:dyDescent="0.25">
      <c r="B7" s="21" t="s">
        <v>106</v>
      </c>
      <c r="C7" s="136">
        <v>1238</v>
      </c>
      <c r="D7" s="136">
        <v>1245</v>
      </c>
      <c r="E7" s="136">
        <v>1348</v>
      </c>
      <c r="F7" s="20">
        <v>1345</v>
      </c>
      <c r="G7" s="123">
        <v>5176</v>
      </c>
      <c r="H7" s="24">
        <v>1301</v>
      </c>
      <c r="I7" s="24">
        <v>1350</v>
      </c>
      <c r="J7" s="24">
        <v>1430</v>
      </c>
      <c r="K7" s="20">
        <v>1405</v>
      </c>
      <c r="L7" s="123">
        <v>5486</v>
      </c>
      <c r="M7" s="24">
        <v>1385</v>
      </c>
      <c r="N7" s="136">
        <v>1368</v>
      </c>
      <c r="O7" s="24">
        <v>1436</v>
      </c>
      <c r="P7" s="24">
        <v>1474</v>
      </c>
      <c r="Q7" s="123">
        <v>5663</v>
      </c>
      <c r="R7" s="24">
        <v>1480</v>
      </c>
      <c r="S7" s="136">
        <v>1443</v>
      </c>
      <c r="T7" s="24">
        <v>1491</v>
      </c>
    </row>
    <row r="8" spans="2:20" x14ac:dyDescent="0.25">
      <c r="B8" s="21" t="s">
        <v>107</v>
      </c>
      <c r="C8" s="136">
        <v>-43</v>
      </c>
      <c r="D8" s="136">
        <v>-44</v>
      </c>
      <c r="E8" s="136">
        <v>-50</v>
      </c>
      <c r="F8" s="20">
        <v>-25</v>
      </c>
      <c r="G8" s="123">
        <v>-162</v>
      </c>
      <c r="H8" s="24">
        <v>-44</v>
      </c>
      <c r="I8" s="24">
        <v>1968</v>
      </c>
      <c r="J8" s="24">
        <v>80</v>
      </c>
      <c r="K8" s="20">
        <v>1</v>
      </c>
      <c r="L8" s="123">
        <v>2005</v>
      </c>
      <c r="M8" s="24">
        <v>17</v>
      </c>
      <c r="N8" s="136">
        <v>-9</v>
      </c>
      <c r="O8" s="24">
        <v>-22</v>
      </c>
      <c r="P8" s="24">
        <v>-14</v>
      </c>
      <c r="Q8" s="123">
        <v>-28</v>
      </c>
      <c r="R8" s="24">
        <v>-25</v>
      </c>
      <c r="S8" s="136">
        <v>-36</v>
      </c>
      <c r="T8" s="24">
        <v>-26</v>
      </c>
    </row>
    <row r="9" spans="2:20" x14ac:dyDescent="0.25">
      <c r="B9" s="21" t="s">
        <v>109</v>
      </c>
      <c r="C9" s="24">
        <v>-31</v>
      </c>
      <c r="D9" s="136">
        <v>-36</v>
      </c>
      <c r="E9" s="136">
        <v>-32</v>
      </c>
      <c r="F9" s="20">
        <v>-40</v>
      </c>
      <c r="G9" s="123">
        <v>-139</v>
      </c>
      <c r="H9" s="24">
        <v>-40</v>
      </c>
      <c r="I9" s="24">
        <v>-36</v>
      </c>
      <c r="J9" s="24">
        <v>-36</v>
      </c>
      <c r="K9" s="20">
        <v>-42</v>
      </c>
      <c r="L9" s="123">
        <v>-154</v>
      </c>
      <c r="M9" s="24">
        <v>-42</v>
      </c>
      <c r="N9" s="136">
        <v>-41</v>
      </c>
      <c r="O9" s="24">
        <v>-43</v>
      </c>
      <c r="P9" s="24">
        <v>-45</v>
      </c>
      <c r="Q9" s="123">
        <v>-171</v>
      </c>
      <c r="R9" s="24">
        <v>-46</v>
      </c>
      <c r="S9" s="136">
        <v>-53</v>
      </c>
      <c r="T9" s="24">
        <v>-52</v>
      </c>
    </row>
    <row r="10" spans="2:20" s="16" customFormat="1" x14ac:dyDescent="0.25">
      <c r="B10" s="21" t="s">
        <v>108</v>
      </c>
      <c r="C10" s="136">
        <v>3</v>
      </c>
      <c r="D10" s="136">
        <v>5</v>
      </c>
      <c r="E10" s="136">
        <v>-24</v>
      </c>
      <c r="F10" s="20">
        <v>8</v>
      </c>
      <c r="G10" s="139">
        <v>-8</v>
      </c>
      <c r="H10" s="136">
        <v>0</v>
      </c>
      <c r="I10" s="24">
        <v>8</v>
      </c>
      <c r="J10" s="24">
        <v>18</v>
      </c>
      <c r="K10" s="20">
        <v>958</v>
      </c>
      <c r="L10" s="139">
        <v>984</v>
      </c>
      <c r="M10" s="136">
        <v>0</v>
      </c>
      <c r="N10" s="136">
        <v>131</v>
      </c>
      <c r="O10" s="24">
        <v>211</v>
      </c>
      <c r="P10" s="24">
        <v>14</v>
      </c>
      <c r="Q10" s="139">
        <v>356</v>
      </c>
      <c r="R10" s="136">
        <v>215</v>
      </c>
      <c r="S10" s="136">
        <v>-9</v>
      </c>
      <c r="T10" s="24">
        <v>-4</v>
      </c>
    </row>
    <row r="11" spans="2:20" x14ac:dyDescent="0.25">
      <c r="B11" s="21" t="s">
        <v>89</v>
      </c>
      <c r="C11" s="136">
        <v>97</v>
      </c>
      <c r="D11" s="136">
        <v>430</v>
      </c>
      <c r="E11" s="136">
        <v>209</v>
      </c>
      <c r="F11" s="20">
        <v>70</v>
      </c>
      <c r="G11" s="123">
        <v>806</v>
      </c>
      <c r="H11" s="24">
        <v>422</v>
      </c>
      <c r="I11" s="24">
        <v>-317</v>
      </c>
      <c r="J11" s="24">
        <v>105</v>
      </c>
      <c r="K11" s="20">
        <v>-156</v>
      </c>
      <c r="L11" s="123">
        <v>54</v>
      </c>
      <c r="M11" s="24">
        <v>86</v>
      </c>
      <c r="N11" s="136">
        <v>33</v>
      </c>
      <c r="O11" s="24">
        <v>87</v>
      </c>
      <c r="P11" s="24">
        <v>-15</v>
      </c>
      <c r="Q11" s="123">
        <v>191</v>
      </c>
      <c r="R11" s="24">
        <v>-11</v>
      </c>
      <c r="S11" s="136">
        <v>78</v>
      </c>
      <c r="T11" s="24">
        <v>142</v>
      </c>
    </row>
    <row r="12" spans="2:20" x14ac:dyDescent="0.25">
      <c r="B12" s="21" t="s">
        <v>83</v>
      </c>
      <c r="C12" s="24">
        <v>-152</v>
      </c>
      <c r="D12" s="136">
        <v>-184</v>
      </c>
      <c r="E12" s="136">
        <v>-246</v>
      </c>
      <c r="F12" s="20">
        <v>-164</v>
      </c>
      <c r="G12" s="123">
        <v>-746</v>
      </c>
      <c r="H12" s="24">
        <v>-132</v>
      </c>
      <c r="I12" s="24">
        <v>-155</v>
      </c>
      <c r="J12" s="24">
        <v>-176</v>
      </c>
      <c r="K12" s="20">
        <v>-147</v>
      </c>
      <c r="L12" s="123">
        <v>-610</v>
      </c>
      <c r="M12" s="24">
        <v>-114</v>
      </c>
      <c r="N12" s="136">
        <v>-149</v>
      </c>
      <c r="O12" s="24">
        <v>-126</v>
      </c>
      <c r="P12" s="24">
        <v>-151</v>
      </c>
      <c r="Q12" s="123">
        <v>-540</v>
      </c>
      <c r="R12" s="24">
        <v>-119</v>
      </c>
      <c r="S12" s="136">
        <v>-136</v>
      </c>
      <c r="T12" s="24">
        <v>-163</v>
      </c>
    </row>
    <row r="13" spans="2:20" x14ac:dyDescent="0.25">
      <c r="B13" s="21" t="s">
        <v>110</v>
      </c>
      <c r="C13" s="136">
        <v>35</v>
      </c>
      <c r="D13" s="136">
        <v>22</v>
      </c>
      <c r="E13" s="136">
        <v>4</v>
      </c>
      <c r="F13" s="20">
        <v>-1</v>
      </c>
      <c r="G13" s="122">
        <v>60</v>
      </c>
      <c r="H13" s="20">
        <v>0</v>
      </c>
      <c r="I13" s="24">
        <v>-12</v>
      </c>
      <c r="J13" s="24">
        <v>-3</v>
      </c>
      <c r="K13" s="20">
        <v>-7</v>
      </c>
      <c r="L13" s="122">
        <v>-22</v>
      </c>
      <c r="M13" s="20">
        <v>0</v>
      </c>
      <c r="N13" s="136">
        <v>-13</v>
      </c>
      <c r="O13" s="24">
        <v>-28</v>
      </c>
      <c r="P13" s="24">
        <v>-29</v>
      </c>
      <c r="Q13" s="122">
        <v>-70</v>
      </c>
      <c r="R13" s="20">
        <v>-31</v>
      </c>
      <c r="S13" s="136">
        <v>-34</v>
      </c>
      <c r="T13" s="24">
        <v>-32</v>
      </c>
    </row>
    <row r="14" spans="2:20" x14ac:dyDescent="0.25">
      <c r="B14" s="21" t="s">
        <v>111</v>
      </c>
      <c r="C14" s="136">
        <v>0</v>
      </c>
      <c r="D14" s="136">
        <v>0</v>
      </c>
      <c r="E14" s="136">
        <v>0</v>
      </c>
      <c r="F14" s="20">
        <v>573</v>
      </c>
      <c r="G14" s="123">
        <v>573</v>
      </c>
      <c r="H14" s="24">
        <v>0</v>
      </c>
      <c r="I14" s="24">
        <v>0</v>
      </c>
      <c r="J14" s="24">
        <v>572</v>
      </c>
      <c r="K14" s="20">
        <v>0</v>
      </c>
      <c r="L14" s="123">
        <v>572</v>
      </c>
      <c r="M14" s="24">
        <v>0</v>
      </c>
      <c r="N14" s="136">
        <v>0</v>
      </c>
      <c r="O14" s="24">
        <v>0</v>
      </c>
      <c r="P14" s="24">
        <v>0</v>
      </c>
      <c r="Q14" s="123">
        <v>0</v>
      </c>
      <c r="R14" s="24">
        <v>0</v>
      </c>
      <c r="S14" s="136">
        <v>0</v>
      </c>
      <c r="T14" s="24">
        <v>0</v>
      </c>
    </row>
    <row r="15" spans="2:20" x14ac:dyDescent="0.25">
      <c r="B15" s="21" t="s">
        <v>149</v>
      </c>
      <c r="C15" s="136"/>
      <c r="D15" s="136">
        <v>0</v>
      </c>
      <c r="E15" s="136">
        <v>-77</v>
      </c>
      <c r="F15" s="20">
        <v>77</v>
      </c>
      <c r="G15" s="123"/>
      <c r="H15" s="24"/>
      <c r="I15" s="24">
        <v>0</v>
      </c>
      <c r="J15" s="24">
        <v>0</v>
      </c>
      <c r="K15" s="20">
        <v>0</v>
      </c>
      <c r="L15" s="123"/>
      <c r="M15" s="24"/>
      <c r="N15" s="136">
        <v>0</v>
      </c>
      <c r="O15" s="24">
        <v>0</v>
      </c>
      <c r="P15" s="24">
        <v>0</v>
      </c>
      <c r="Q15" s="123"/>
      <c r="R15" s="24"/>
      <c r="S15" s="136">
        <v>0</v>
      </c>
      <c r="T15" s="24">
        <v>0</v>
      </c>
    </row>
    <row r="16" spans="2:20" x14ac:dyDescent="0.25">
      <c r="B16" s="19" t="s">
        <v>112</v>
      </c>
      <c r="C16" s="136"/>
      <c r="D16" s="136">
        <v>0</v>
      </c>
      <c r="E16" s="136">
        <v>0</v>
      </c>
      <c r="F16" s="20">
        <v>0</v>
      </c>
      <c r="G16" s="123"/>
      <c r="H16" s="24"/>
      <c r="I16" s="24">
        <v>0</v>
      </c>
      <c r="J16" s="24">
        <v>0</v>
      </c>
      <c r="K16" s="20">
        <v>63</v>
      </c>
      <c r="L16" s="123">
        <v>63</v>
      </c>
      <c r="M16" s="24"/>
      <c r="N16" s="136">
        <v>0</v>
      </c>
      <c r="O16" s="24">
        <v>0</v>
      </c>
      <c r="P16" s="24">
        <v>0</v>
      </c>
      <c r="Q16" s="123"/>
      <c r="R16" s="24"/>
      <c r="S16" s="136">
        <v>0</v>
      </c>
      <c r="T16" s="24">
        <v>0</v>
      </c>
    </row>
    <row r="17" spans="2:20" x14ac:dyDescent="0.25">
      <c r="B17" s="21" t="s">
        <v>113</v>
      </c>
      <c r="C17" s="136">
        <v>10</v>
      </c>
      <c r="D17" s="136">
        <v>-21</v>
      </c>
      <c r="E17" s="136">
        <v>7</v>
      </c>
      <c r="F17" s="20">
        <v>-44</v>
      </c>
      <c r="G17" s="123">
        <v>-48</v>
      </c>
      <c r="H17" s="24">
        <v>0</v>
      </c>
      <c r="I17" s="24">
        <v>-24</v>
      </c>
      <c r="J17" s="24">
        <v>111</v>
      </c>
      <c r="K17" s="20">
        <v>-143</v>
      </c>
      <c r="L17" s="123">
        <v>-56</v>
      </c>
      <c r="M17" s="24">
        <v>0</v>
      </c>
      <c r="N17" s="136">
        <v>15</v>
      </c>
      <c r="O17" s="24">
        <v>101</v>
      </c>
      <c r="P17" s="24">
        <v>-66</v>
      </c>
      <c r="Q17" s="123">
        <v>50</v>
      </c>
      <c r="R17" s="24">
        <v>215</v>
      </c>
      <c r="S17" s="136">
        <v>136</v>
      </c>
      <c r="T17" s="24">
        <v>-318</v>
      </c>
    </row>
    <row r="18" spans="2:20" x14ac:dyDescent="0.25">
      <c r="B18" s="21" t="s">
        <v>114</v>
      </c>
      <c r="C18" s="24">
        <v>388</v>
      </c>
      <c r="D18" s="136">
        <v>-84</v>
      </c>
      <c r="E18" s="136">
        <v>-242</v>
      </c>
      <c r="F18" s="20">
        <v>16</v>
      </c>
      <c r="G18" s="123">
        <v>78</v>
      </c>
      <c r="H18" s="24">
        <v>466</v>
      </c>
      <c r="I18" s="24">
        <v>-185</v>
      </c>
      <c r="J18" s="24">
        <v>-223</v>
      </c>
      <c r="K18" s="20">
        <v>8</v>
      </c>
      <c r="L18" s="123">
        <v>66</v>
      </c>
      <c r="M18" s="24">
        <v>377</v>
      </c>
      <c r="N18" s="136">
        <v>-292</v>
      </c>
      <c r="O18" s="24">
        <v>-252</v>
      </c>
      <c r="P18" s="24">
        <v>-130</v>
      </c>
      <c r="Q18" s="126">
        <v>-297</v>
      </c>
      <c r="R18" s="24">
        <v>5</v>
      </c>
      <c r="S18" s="136">
        <v>-185</v>
      </c>
      <c r="T18" s="24">
        <v>-176</v>
      </c>
    </row>
    <row r="19" spans="2:20" x14ac:dyDescent="0.25">
      <c r="B19" s="21" t="s">
        <v>55</v>
      </c>
      <c r="C19" s="24">
        <v>-31</v>
      </c>
      <c r="D19" s="136">
        <v>-79</v>
      </c>
      <c r="E19" s="136">
        <v>107</v>
      </c>
      <c r="F19" s="20">
        <v>-119</v>
      </c>
      <c r="G19" s="123">
        <v>-122</v>
      </c>
      <c r="H19" s="24">
        <v>-92</v>
      </c>
      <c r="I19" s="24">
        <v>36</v>
      </c>
      <c r="J19" s="24">
        <v>99</v>
      </c>
      <c r="K19" s="20">
        <v>162</v>
      </c>
      <c r="L19" s="123">
        <v>205</v>
      </c>
      <c r="M19" s="24">
        <v>91</v>
      </c>
      <c r="N19" s="136">
        <v>62</v>
      </c>
      <c r="O19" s="24">
        <v>115</v>
      </c>
      <c r="P19" s="24">
        <v>-302</v>
      </c>
      <c r="Q19" s="123">
        <v>-34</v>
      </c>
      <c r="R19" s="24">
        <v>28</v>
      </c>
      <c r="S19" s="136">
        <v>-40</v>
      </c>
      <c r="T19" s="24">
        <v>-278</v>
      </c>
    </row>
    <row r="20" spans="2:20" x14ac:dyDescent="0.25">
      <c r="B20" s="21" t="s">
        <v>65</v>
      </c>
      <c r="C20" s="136">
        <v>98</v>
      </c>
      <c r="D20" s="136">
        <v>-363</v>
      </c>
      <c r="E20" s="136">
        <v>131</v>
      </c>
      <c r="F20" s="20">
        <v>144</v>
      </c>
      <c r="G20" s="123">
        <v>10</v>
      </c>
      <c r="H20" s="24">
        <v>-131</v>
      </c>
      <c r="I20" s="24">
        <v>7</v>
      </c>
      <c r="J20" s="24">
        <v>323</v>
      </c>
      <c r="K20" s="20">
        <v>-220</v>
      </c>
      <c r="L20" s="123">
        <v>-21</v>
      </c>
      <c r="M20" s="24">
        <v>-47</v>
      </c>
      <c r="N20" s="136">
        <v>-250</v>
      </c>
      <c r="O20" s="24">
        <v>-346</v>
      </c>
      <c r="P20" s="24">
        <v>-493</v>
      </c>
      <c r="Q20" s="123">
        <v>-1136</v>
      </c>
      <c r="R20" s="24">
        <v>-327</v>
      </c>
      <c r="S20" s="136">
        <v>-817</v>
      </c>
      <c r="T20" s="24">
        <v>-1259</v>
      </c>
    </row>
    <row r="21" spans="2:20" x14ac:dyDescent="0.25">
      <c r="B21" s="21" t="s">
        <v>78</v>
      </c>
      <c r="C21" s="136">
        <v>-636</v>
      </c>
      <c r="D21" s="136">
        <v>-64</v>
      </c>
      <c r="E21" s="136">
        <v>172</v>
      </c>
      <c r="F21" s="20">
        <v>364</v>
      </c>
      <c r="G21" s="123">
        <v>-164</v>
      </c>
      <c r="H21" s="24">
        <v>-657</v>
      </c>
      <c r="I21" s="24">
        <v>19</v>
      </c>
      <c r="J21" s="24">
        <v>75</v>
      </c>
      <c r="K21" s="20">
        <v>680</v>
      </c>
      <c r="L21" s="123">
        <v>117</v>
      </c>
      <c r="M21" s="24">
        <v>-467</v>
      </c>
      <c r="N21" s="136">
        <v>170</v>
      </c>
      <c r="O21" s="24">
        <v>151</v>
      </c>
      <c r="P21" s="24">
        <v>395</v>
      </c>
      <c r="Q21" s="123">
        <v>249</v>
      </c>
      <c r="R21" s="24">
        <v>-160</v>
      </c>
      <c r="S21" s="136">
        <v>568</v>
      </c>
      <c r="T21" s="24">
        <v>96</v>
      </c>
    </row>
    <row r="22" spans="2:20" s="16" customFormat="1" x14ac:dyDescent="0.25">
      <c r="B22" s="21" t="s">
        <v>80</v>
      </c>
      <c r="C22" s="24">
        <v>-107</v>
      </c>
      <c r="D22" s="136">
        <v>51</v>
      </c>
      <c r="E22" s="136">
        <v>181</v>
      </c>
      <c r="F22" s="20">
        <v>-349</v>
      </c>
      <c r="G22" s="123">
        <v>-224</v>
      </c>
      <c r="H22" s="24">
        <v>113</v>
      </c>
      <c r="I22" s="24">
        <v>160</v>
      </c>
      <c r="J22" s="24">
        <v>113</v>
      </c>
      <c r="K22" s="20">
        <v>-451</v>
      </c>
      <c r="L22" s="123">
        <v>-65</v>
      </c>
      <c r="M22" s="24">
        <v>104</v>
      </c>
      <c r="N22" s="136">
        <v>115</v>
      </c>
      <c r="O22" s="24">
        <v>212</v>
      </c>
      <c r="P22" s="24">
        <v>-147</v>
      </c>
      <c r="Q22" s="123">
        <v>284</v>
      </c>
      <c r="R22" s="24">
        <v>-90</v>
      </c>
      <c r="S22" s="136">
        <v>41</v>
      </c>
      <c r="T22" s="24">
        <v>255</v>
      </c>
    </row>
    <row r="23" spans="2:20" s="16" customFormat="1" x14ac:dyDescent="0.25">
      <c r="B23" s="21" t="s">
        <v>85</v>
      </c>
      <c r="C23" s="24">
        <v>-407</v>
      </c>
      <c r="D23" s="136">
        <v>29</v>
      </c>
      <c r="E23" s="136">
        <v>180</v>
      </c>
      <c r="F23" s="20">
        <v>370</v>
      </c>
      <c r="G23" s="123">
        <v>172</v>
      </c>
      <c r="H23" s="24">
        <v>-455</v>
      </c>
      <c r="I23" s="24">
        <v>111</v>
      </c>
      <c r="J23" s="24">
        <v>60</v>
      </c>
      <c r="K23" s="20">
        <v>-124</v>
      </c>
      <c r="L23" s="123">
        <v>-408</v>
      </c>
      <c r="M23" s="24">
        <v>-263</v>
      </c>
      <c r="N23" s="136">
        <v>-63</v>
      </c>
      <c r="O23" s="24">
        <v>336</v>
      </c>
      <c r="P23" s="24">
        <v>-23</v>
      </c>
      <c r="Q23" s="123">
        <v>-13</v>
      </c>
      <c r="R23" s="24">
        <v>-269</v>
      </c>
      <c r="S23" s="136">
        <v>368</v>
      </c>
      <c r="T23" s="24">
        <v>164</v>
      </c>
    </row>
    <row r="24" spans="2:20" s="16" customFormat="1" x14ac:dyDescent="0.25">
      <c r="B24" s="21" t="s">
        <v>115</v>
      </c>
      <c r="C24" s="136">
        <v>-162</v>
      </c>
      <c r="D24" s="136">
        <v>161</v>
      </c>
      <c r="E24" s="136">
        <v>-278</v>
      </c>
      <c r="F24" s="20">
        <v>-276</v>
      </c>
      <c r="G24" s="123">
        <v>-555</v>
      </c>
      <c r="H24" s="24">
        <v>-37</v>
      </c>
      <c r="I24" s="24">
        <v>-164</v>
      </c>
      <c r="J24" s="24">
        <v>-137</v>
      </c>
      <c r="K24" s="20">
        <v>-104</v>
      </c>
      <c r="L24" s="123">
        <v>-442</v>
      </c>
      <c r="M24" s="24">
        <v>51</v>
      </c>
      <c r="N24" s="136">
        <v>26</v>
      </c>
      <c r="O24" s="24">
        <v>122</v>
      </c>
      <c r="P24" s="24">
        <v>-87</v>
      </c>
      <c r="Q24" s="123">
        <v>112</v>
      </c>
      <c r="R24" s="24">
        <v>-26</v>
      </c>
      <c r="S24" s="136">
        <v>81</v>
      </c>
      <c r="T24" s="24">
        <v>-139</v>
      </c>
    </row>
    <row r="25" spans="2:20" x14ac:dyDescent="0.25">
      <c r="B25" s="21" t="s">
        <v>116</v>
      </c>
      <c r="C25" s="136">
        <v>46</v>
      </c>
      <c r="D25" s="136">
        <v>5</v>
      </c>
      <c r="E25" s="136">
        <v>-126</v>
      </c>
      <c r="F25" s="20">
        <v>6</v>
      </c>
      <c r="G25" s="124">
        <v>-69</v>
      </c>
      <c r="H25" s="120">
        <v>-50</v>
      </c>
      <c r="I25" s="24">
        <v>-71</v>
      </c>
      <c r="J25" s="24">
        <v>-246</v>
      </c>
      <c r="K25" s="20">
        <v>367</v>
      </c>
      <c r="L25" s="124"/>
      <c r="M25" s="120">
        <v>-31</v>
      </c>
      <c r="N25" s="136">
        <v>-16</v>
      </c>
      <c r="O25" s="24">
        <v>124</v>
      </c>
      <c r="P25" s="24">
        <v>18</v>
      </c>
      <c r="Q25" s="124">
        <v>95</v>
      </c>
      <c r="R25" s="120">
        <v>136</v>
      </c>
      <c r="S25" s="136">
        <v>-45</v>
      </c>
      <c r="T25" s="24">
        <v>97</v>
      </c>
    </row>
    <row r="26" spans="2:20" x14ac:dyDescent="0.25">
      <c r="B26" s="31" t="s">
        <v>117</v>
      </c>
      <c r="C26" s="130">
        <f>SUM(C5:C25)</f>
        <v>1288</v>
      </c>
      <c r="D26" s="130">
        <v>1872</v>
      </c>
      <c r="E26" s="130">
        <v>2636</v>
      </c>
      <c r="F26" s="130">
        <v>2613</v>
      </c>
      <c r="G26" s="131">
        <f>SUM(G5:G25)</f>
        <v>8409</v>
      </c>
      <c r="H26" s="132">
        <f>SUM(H5:H25)</f>
        <v>1594</v>
      </c>
      <c r="I26" s="132">
        <v>1854</v>
      </c>
      <c r="J26" s="132">
        <v>3448</v>
      </c>
      <c r="K26" s="132">
        <v>2159</v>
      </c>
      <c r="L26" s="131">
        <f>SUM(L5:L25)</f>
        <v>9055</v>
      </c>
      <c r="M26" s="132">
        <f>SUM(M5:M25)</f>
        <v>2139</v>
      </c>
      <c r="N26" s="132">
        <v>1734</v>
      </c>
      <c r="O26" s="132">
        <v>3406</v>
      </c>
      <c r="P26" s="132">
        <v>1106</v>
      </c>
      <c r="Q26" s="131">
        <f>SUM(Q5:Q25)</f>
        <v>8488</v>
      </c>
      <c r="R26" s="132">
        <f>SUM(R5:R25)</f>
        <v>1848</v>
      </c>
      <c r="S26" s="132">
        <v>2187</v>
      </c>
      <c r="T26" s="132">
        <v>2658</v>
      </c>
    </row>
    <row r="27" spans="2:20" x14ac:dyDescent="0.25">
      <c r="B27" s="21"/>
      <c r="C27" s="136"/>
      <c r="D27" s="136"/>
      <c r="E27" s="136"/>
      <c r="F27" s="136"/>
      <c r="G27" s="124"/>
      <c r="H27" s="120"/>
      <c r="I27" s="120"/>
      <c r="J27" s="120"/>
      <c r="K27" s="120"/>
      <c r="L27" s="124"/>
      <c r="M27" s="120"/>
      <c r="N27" s="120"/>
      <c r="O27" s="120"/>
      <c r="P27" s="120"/>
      <c r="Q27" s="124"/>
      <c r="R27" s="120"/>
      <c r="S27" s="120"/>
      <c r="T27" s="120"/>
    </row>
    <row r="28" spans="2:20" x14ac:dyDescent="0.25">
      <c r="B28" s="100" t="s">
        <v>118</v>
      </c>
      <c r="C28" s="111"/>
      <c r="D28" s="111"/>
      <c r="E28" s="111"/>
      <c r="F28" s="111"/>
      <c r="G28" s="125"/>
      <c r="H28" s="118"/>
      <c r="I28" s="118"/>
      <c r="J28" s="118"/>
      <c r="K28" s="118"/>
      <c r="L28" s="125"/>
      <c r="M28" s="118"/>
      <c r="N28" s="118"/>
      <c r="O28" s="118"/>
      <c r="P28" s="118"/>
      <c r="Q28" s="125"/>
      <c r="R28" s="118"/>
      <c r="S28" s="118"/>
      <c r="T28" s="118"/>
    </row>
    <row r="29" spans="2:20" x14ac:dyDescent="0.25">
      <c r="B29" s="21" t="s">
        <v>119</v>
      </c>
      <c r="C29" s="136">
        <v>-2536</v>
      </c>
      <c r="D29" s="136">
        <v>-2929</v>
      </c>
      <c r="E29" s="136">
        <v>-2619</v>
      </c>
      <c r="F29" s="136">
        <v>-3038</v>
      </c>
      <c r="G29" s="124">
        <v>-11122</v>
      </c>
      <c r="H29" s="120">
        <v>-2832</v>
      </c>
      <c r="I29" s="120">
        <v>-2271</v>
      </c>
      <c r="J29" s="120">
        <v>-2305</v>
      </c>
      <c r="K29" s="120">
        <v>-2499</v>
      </c>
      <c r="L29" s="124">
        <v>-9907</v>
      </c>
      <c r="M29" s="120">
        <v>-2215</v>
      </c>
      <c r="N29" s="120">
        <v>-2421</v>
      </c>
      <c r="O29" s="120">
        <v>-2453</v>
      </c>
      <c r="P29" s="120">
        <v>-2626</v>
      </c>
      <c r="Q29" s="124">
        <v>-9715</v>
      </c>
      <c r="R29" s="120">
        <v>-2551</v>
      </c>
      <c r="S29" s="120">
        <v>-2566</v>
      </c>
      <c r="T29" s="120">
        <v>-3031</v>
      </c>
    </row>
    <row r="30" spans="2:20" x14ac:dyDescent="0.25">
      <c r="B30" s="21" t="s">
        <v>120</v>
      </c>
      <c r="C30" s="136">
        <v>-94</v>
      </c>
      <c r="D30" s="136">
        <v>-68</v>
      </c>
      <c r="E30" s="136">
        <v>-102</v>
      </c>
      <c r="F30" s="136">
        <v>-60</v>
      </c>
      <c r="G30" s="124">
        <v>-324</v>
      </c>
      <c r="H30" s="120">
        <v>-77</v>
      </c>
      <c r="I30" s="120">
        <v>-87</v>
      </c>
      <c r="J30" s="120">
        <v>-112</v>
      </c>
      <c r="K30" s="120">
        <v>-94</v>
      </c>
      <c r="L30" s="124">
        <v>-370</v>
      </c>
      <c r="M30" s="120">
        <v>0</v>
      </c>
      <c r="N30" s="120">
        <v>-21</v>
      </c>
      <c r="O30" s="120">
        <v>-9</v>
      </c>
      <c r="P30" s="120">
        <v>-51</v>
      </c>
      <c r="Q30" s="124">
        <v>-81</v>
      </c>
      <c r="R30" s="120">
        <v>-17</v>
      </c>
      <c r="S30" s="120">
        <v>-15</v>
      </c>
      <c r="T30" s="120">
        <v>-5</v>
      </c>
    </row>
    <row r="31" spans="2:20" x14ac:dyDescent="0.25">
      <c r="B31" s="21" t="s">
        <v>121</v>
      </c>
      <c r="C31" s="136">
        <v>0</v>
      </c>
      <c r="D31" s="136">
        <v>0</v>
      </c>
      <c r="E31" s="136">
        <v>0</v>
      </c>
      <c r="F31" s="136">
        <v>11</v>
      </c>
      <c r="G31" s="124">
        <v>11</v>
      </c>
      <c r="H31" s="120">
        <v>0</v>
      </c>
      <c r="I31" s="120">
        <v>0</v>
      </c>
      <c r="J31" s="120">
        <v>0</v>
      </c>
      <c r="K31" s="120">
        <v>133</v>
      </c>
      <c r="L31" s="124">
        <v>133</v>
      </c>
      <c r="M31" s="120">
        <v>0</v>
      </c>
      <c r="N31" s="120">
        <v>0</v>
      </c>
      <c r="O31" s="120">
        <v>0</v>
      </c>
      <c r="P31" s="120">
        <v>44</v>
      </c>
      <c r="Q31" s="124">
        <v>44</v>
      </c>
      <c r="R31" s="120">
        <v>0</v>
      </c>
      <c r="S31" s="120">
        <v>0</v>
      </c>
      <c r="T31" s="120">
        <v>0</v>
      </c>
    </row>
    <row r="32" spans="2:20" x14ac:dyDescent="0.25">
      <c r="B32" s="21" t="s">
        <v>122</v>
      </c>
      <c r="C32" s="136">
        <v>-860</v>
      </c>
      <c r="D32" s="136">
        <v>-1456</v>
      </c>
      <c r="E32" s="136">
        <v>-789</v>
      </c>
      <c r="F32" s="136">
        <v>-243</v>
      </c>
      <c r="G32" s="124">
        <v>-3348</v>
      </c>
      <c r="H32" s="120">
        <v>-1392</v>
      </c>
      <c r="I32" s="120">
        <v>-2426</v>
      </c>
      <c r="J32" s="120">
        <v>-2342</v>
      </c>
      <c r="K32" s="120">
        <v>-1851</v>
      </c>
      <c r="L32" s="124">
        <v>-8011</v>
      </c>
      <c r="M32" s="120">
        <v>-1584</v>
      </c>
      <c r="N32" s="120">
        <v>-1598</v>
      </c>
      <c r="O32" s="120">
        <v>-1110</v>
      </c>
      <c r="P32" s="120">
        <v>-1806</v>
      </c>
      <c r="Q32" s="124">
        <v>-6098</v>
      </c>
      <c r="R32" s="120">
        <v>-1516</v>
      </c>
      <c r="S32" s="120">
        <v>-668</v>
      </c>
      <c r="T32" s="120">
        <v>-1435</v>
      </c>
    </row>
    <row r="33" spans="2:20" x14ac:dyDescent="0.25">
      <c r="B33" s="21" t="s">
        <v>123</v>
      </c>
      <c r="C33" s="136">
        <v>851</v>
      </c>
      <c r="D33" s="136">
        <v>1451</v>
      </c>
      <c r="E33" s="136">
        <v>790</v>
      </c>
      <c r="F33" s="136">
        <v>251</v>
      </c>
      <c r="G33" s="124">
        <v>3343</v>
      </c>
      <c r="H33" s="120">
        <v>1347</v>
      </c>
      <c r="I33" s="120">
        <v>2408</v>
      </c>
      <c r="J33" s="120">
        <v>2332</v>
      </c>
      <c r="K33" s="120">
        <v>1862</v>
      </c>
      <c r="L33" s="124">
        <v>7949</v>
      </c>
      <c r="M33" s="120">
        <v>1601</v>
      </c>
      <c r="N33" s="120">
        <v>1616</v>
      </c>
      <c r="O33" s="120">
        <v>1118</v>
      </c>
      <c r="P33" s="120">
        <v>1768</v>
      </c>
      <c r="Q33" s="124">
        <v>6103</v>
      </c>
      <c r="R33" s="120">
        <v>1530</v>
      </c>
      <c r="S33" s="120">
        <v>695</v>
      </c>
      <c r="T33" s="120">
        <v>1466</v>
      </c>
    </row>
    <row r="34" spans="2:20" x14ac:dyDescent="0.25">
      <c r="B34" s="21" t="s">
        <v>124</v>
      </c>
      <c r="C34" s="136">
        <v>0</v>
      </c>
      <c r="D34" s="136">
        <v>0</v>
      </c>
      <c r="E34" s="136">
        <v>0</v>
      </c>
      <c r="F34" s="136">
        <v>-517</v>
      </c>
      <c r="G34" s="124">
        <v>-517</v>
      </c>
      <c r="H34" s="120">
        <v>0</v>
      </c>
      <c r="I34" s="120">
        <v>0</v>
      </c>
      <c r="J34" s="120">
        <v>0</v>
      </c>
      <c r="K34" s="120">
        <v>-398</v>
      </c>
      <c r="L34" s="124">
        <v>-398</v>
      </c>
      <c r="M34" s="120">
        <v>-855</v>
      </c>
      <c r="N34" s="120">
        <v>0</v>
      </c>
      <c r="O34" s="120">
        <v>0</v>
      </c>
      <c r="P34" s="120">
        <v>0</v>
      </c>
      <c r="Q34" s="124">
        <v>-855</v>
      </c>
      <c r="R34" s="120">
        <v>0</v>
      </c>
      <c r="S34" s="120">
        <v>0</v>
      </c>
      <c r="T34" s="120">
        <v>0</v>
      </c>
    </row>
    <row r="35" spans="2:20" s="16" customFormat="1" x14ac:dyDescent="0.25">
      <c r="B35" s="21" t="s">
        <v>127</v>
      </c>
      <c r="C35" s="136">
        <v>-74</v>
      </c>
      <c r="D35" s="136">
        <v>-73</v>
      </c>
      <c r="E35" s="136">
        <v>419</v>
      </c>
      <c r="F35" s="136">
        <v>-272</v>
      </c>
      <c r="G35" s="139"/>
      <c r="H35" s="136">
        <v>-68</v>
      </c>
      <c r="I35" s="120">
        <v>-73</v>
      </c>
      <c r="J35" s="120">
        <v>-66</v>
      </c>
      <c r="K35" s="120">
        <v>207</v>
      </c>
      <c r="L35" s="139"/>
      <c r="M35" s="136">
        <v>-84</v>
      </c>
      <c r="N35" s="120">
        <v>-53</v>
      </c>
      <c r="O35" s="120">
        <v>-132</v>
      </c>
      <c r="P35" s="120">
        <v>-64</v>
      </c>
      <c r="Q35" s="139">
        <v>-333</v>
      </c>
      <c r="R35" s="136">
        <v>-145</v>
      </c>
      <c r="S35" s="120">
        <v>-239</v>
      </c>
      <c r="T35" s="120">
        <v>-133</v>
      </c>
    </row>
    <row r="36" spans="2:20" x14ac:dyDescent="0.25">
      <c r="B36" s="31" t="s">
        <v>125</v>
      </c>
      <c r="C36" s="130">
        <f>SUM(C29:C35)</f>
        <v>-2713</v>
      </c>
      <c r="D36" s="130">
        <v>-3075</v>
      </c>
      <c r="E36" s="130">
        <v>-2301</v>
      </c>
      <c r="F36" s="130">
        <v>-3868</v>
      </c>
      <c r="G36" s="142">
        <f t="shared" ref="G36:R36" si="0">SUM(G29:G35)</f>
        <v>-11957</v>
      </c>
      <c r="H36" s="130">
        <f t="shared" si="0"/>
        <v>-3022</v>
      </c>
      <c r="I36" s="130">
        <v>-2449</v>
      </c>
      <c r="J36" s="130">
        <v>-2493</v>
      </c>
      <c r="K36" s="130">
        <v>-2640</v>
      </c>
      <c r="L36" s="142">
        <f t="shared" si="0"/>
        <v>-10604</v>
      </c>
      <c r="M36" s="130">
        <f t="shared" si="0"/>
        <v>-3137</v>
      </c>
      <c r="N36" s="130">
        <v>-2477</v>
      </c>
      <c r="O36" s="130">
        <v>-2586</v>
      </c>
      <c r="P36" s="130">
        <v>-2735</v>
      </c>
      <c r="Q36" s="142">
        <f t="shared" si="0"/>
        <v>-10935</v>
      </c>
      <c r="R36" s="130">
        <f t="shared" si="0"/>
        <v>-2699</v>
      </c>
      <c r="S36" s="130">
        <v>-2793</v>
      </c>
      <c r="T36" s="130">
        <v>-3138</v>
      </c>
    </row>
    <row r="37" spans="2:20" x14ac:dyDescent="0.25">
      <c r="B37" s="21"/>
      <c r="C37" s="136"/>
      <c r="D37" s="136"/>
      <c r="E37" s="136"/>
      <c r="F37" s="136"/>
      <c r="G37" s="124"/>
      <c r="H37" s="120"/>
      <c r="I37" s="120"/>
      <c r="J37" s="120"/>
      <c r="K37" s="120"/>
      <c r="L37" s="124"/>
      <c r="M37" s="120"/>
      <c r="N37" s="120"/>
      <c r="O37" s="120"/>
      <c r="P37" s="120"/>
      <c r="Q37" s="124"/>
      <c r="R37" s="120"/>
      <c r="S37" s="120"/>
      <c r="T37" s="120"/>
    </row>
    <row r="38" spans="2:20" x14ac:dyDescent="0.25">
      <c r="B38" s="100" t="s">
        <v>126</v>
      </c>
      <c r="C38" s="111"/>
      <c r="D38" s="111"/>
      <c r="E38" s="111"/>
      <c r="F38" s="111"/>
      <c r="G38" s="125"/>
      <c r="H38" s="118"/>
      <c r="I38" s="118"/>
      <c r="J38" s="118"/>
      <c r="K38" s="118"/>
      <c r="L38" s="125"/>
      <c r="M38" s="118"/>
      <c r="N38" s="118"/>
      <c r="O38" s="118"/>
      <c r="P38" s="118"/>
      <c r="Q38" s="125"/>
      <c r="R38" s="118"/>
      <c r="S38" s="118"/>
      <c r="T38" s="118"/>
    </row>
    <row r="39" spans="2:20" x14ac:dyDescent="0.25">
      <c r="B39" s="21" t="s">
        <v>128</v>
      </c>
      <c r="C39" s="136">
        <v>2737</v>
      </c>
      <c r="D39" s="136">
        <v>1885</v>
      </c>
      <c r="E39" s="136">
        <v>1509</v>
      </c>
      <c r="F39" s="136">
        <v>960</v>
      </c>
      <c r="G39" s="124">
        <v>7091</v>
      </c>
      <c r="H39" s="120">
        <v>1954</v>
      </c>
      <c r="I39" s="120">
        <v>1834</v>
      </c>
      <c r="J39" s="120">
        <v>2374</v>
      </c>
      <c r="K39" s="120">
        <v>168</v>
      </c>
      <c r="L39" s="124">
        <v>6330</v>
      </c>
      <c r="M39" s="120">
        <v>608</v>
      </c>
      <c r="N39" s="120">
        <v>4019</v>
      </c>
      <c r="O39" s="120">
        <v>1752</v>
      </c>
      <c r="P39" s="120">
        <v>2673</v>
      </c>
      <c r="Q39" s="124">
        <v>9052</v>
      </c>
      <c r="R39" s="120">
        <v>3506</v>
      </c>
      <c r="S39" s="120">
        <v>2208</v>
      </c>
      <c r="T39" s="120">
        <v>3752</v>
      </c>
    </row>
    <row r="40" spans="2:20" x14ac:dyDescent="0.25">
      <c r="B40" s="21" t="s">
        <v>129</v>
      </c>
      <c r="C40" s="136">
        <v>974</v>
      </c>
      <c r="D40" s="136">
        <v>-1</v>
      </c>
      <c r="E40" s="136">
        <v>990</v>
      </c>
      <c r="F40" s="136">
        <v>-1</v>
      </c>
      <c r="G40" s="124">
        <v>1962</v>
      </c>
      <c r="H40" s="120">
        <v>0</v>
      </c>
      <c r="I40" s="120">
        <v>0</v>
      </c>
      <c r="J40" s="120">
        <v>0</v>
      </c>
      <c r="K40" s="120">
        <v>0</v>
      </c>
      <c r="L40" s="124">
        <v>0</v>
      </c>
      <c r="M40" s="120">
        <v>0</v>
      </c>
      <c r="N40" s="120">
        <v>0</v>
      </c>
      <c r="O40" s="120">
        <v>0</v>
      </c>
      <c r="P40" s="120">
        <v>0</v>
      </c>
      <c r="Q40" s="124">
        <v>0</v>
      </c>
      <c r="R40" s="120">
        <v>0</v>
      </c>
      <c r="S40" s="120">
        <v>0</v>
      </c>
      <c r="T40" s="120">
        <v>0</v>
      </c>
    </row>
    <row r="41" spans="2:20" x14ac:dyDescent="0.25">
      <c r="B41" s="21" t="s">
        <v>131</v>
      </c>
      <c r="C41" s="136">
        <v>13</v>
      </c>
      <c r="D41" s="136">
        <v>14</v>
      </c>
      <c r="E41" s="136">
        <v>14</v>
      </c>
      <c r="F41" s="136">
        <v>343</v>
      </c>
      <c r="G41" s="124">
        <v>384</v>
      </c>
      <c r="H41" s="120">
        <v>40</v>
      </c>
      <c r="I41" s="120">
        <v>17</v>
      </c>
      <c r="J41" s="120">
        <v>18</v>
      </c>
      <c r="K41" s="120">
        <v>2670</v>
      </c>
      <c r="L41" s="124">
        <v>2745</v>
      </c>
      <c r="M41" s="120">
        <v>5</v>
      </c>
      <c r="N41" s="120">
        <v>0</v>
      </c>
      <c r="O41" s="120">
        <v>0</v>
      </c>
      <c r="P41" s="120">
        <v>0</v>
      </c>
      <c r="Q41" s="124">
        <v>5</v>
      </c>
      <c r="R41" s="120">
        <v>0</v>
      </c>
      <c r="S41" s="120">
        <v>0</v>
      </c>
      <c r="T41" s="120">
        <v>0</v>
      </c>
    </row>
    <row r="42" spans="2:20" x14ac:dyDescent="0.25">
      <c r="B42" s="21" t="s">
        <v>130</v>
      </c>
      <c r="C42" s="136">
        <v>-1201</v>
      </c>
      <c r="D42" s="136">
        <v>-954</v>
      </c>
      <c r="E42" s="136">
        <v>-582</v>
      </c>
      <c r="F42" s="136">
        <v>-739</v>
      </c>
      <c r="G42" s="124">
        <v>-3476</v>
      </c>
      <c r="H42" s="120">
        <v>-292</v>
      </c>
      <c r="I42" s="120">
        <v>-1659</v>
      </c>
      <c r="J42" s="120">
        <v>-1517</v>
      </c>
      <c r="K42" s="120">
        <v>-1038</v>
      </c>
      <c r="L42" s="124">
        <v>-4506</v>
      </c>
      <c r="M42" s="120">
        <v>-76</v>
      </c>
      <c r="N42" s="120">
        <v>-1946</v>
      </c>
      <c r="O42" s="120">
        <v>-1674</v>
      </c>
      <c r="P42" s="120">
        <v>-1598</v>
      </c>
      <c r="Q42" s="124">
        <v>-5294</v>
      </c>
      <c r="R42" s="120">
        <v>-1215</v>
      </c>
      <c r="S42" s="120">
        <v>-1932</v>
      </c>
      <c r="T42" s="120">
        <v>-656</v>
      </c>
    </row>
    <row r="43" spans="2:20" x14ac:dyDescent="0.25">
      <c r="B43" s="21" t="s">
        <v>132</v>
      </c>
      <c r="C43" s="136">
        <v>135</v>
      </c>
      <c r="D43" s="136">
        <v>105</v>
      </c>
      <c r="E43" s="136">
        <v>99</v>
      </c>
      <c r="F43" s="136">
        <v>58</v>
      </c>
      <c r="G43" s="124">
        <v>397</v>
      </c>
      <c r="H43" s="120">
        <v>1784</v>
      </c>
      <c r="I43" s="120">
        <v>82</v>
      </c>
      <c r="J43" s="120">
        <v>506</v>
      </c>
      <c r="K43" s="120">
        <v>637</v>
      </c>
      <c r="L43" s="124">
        <v>3009</v>
      </c>
      <c r="M43" s="120">
        <v>50</v>
      </c>
      <c r="N43" s="120">
        <v>25</v>
      </c>
      <c r="O43" s="120">
        <v>34</v>
      </c>
      <c r="P43" s="120">
        <v>223</v>
      </c>
      <c r="Q43" s="124">
        <v>332</v>
      </c>
      <c r="R43" s="120" t="s">
        <v>147</v>
      </c>
      <c r="S43" s="120">
        <v>30</v>
      </c>
      <c r="T43" s="120">
        <v>50</v>
      </c>
    </row>
    <row r="44" spans="2:20" x14ac:dyDescent="0.25">
      <c r="B44" s="21" t="s">
        <v>133</v>
      </c>
      <c r="C44" s="136">
        <v>-239</v>
      </c>
      <c r="D44" s="136">
        <v>-60</v>
      </c>
      <c r="E44" s="136">
        <v>-180</v>
      </c>
      <c r="F44" s="136">
        <v>0</v>
      </c>
      <c r="G44" s="124">
        <v>-479</v>
      </c>
      <c r="H44" s="120">
        <v>-17</v>
      </c>
      <c r="I44" s="120">
        <v>-96</v>
      </c>
      <c r="J44" s="120">
        <v>-1030</v>
      </c>
      <c r="K44" s="120">
        <v>-1004</v>
      </c>
      <c r="L44" s="124">
        <v>-2147</v>
      </c>
      <c r="M44" s="120">
        <v>-909</v>
      </c>
      <c r="N44" s="120">
        <v>-50</v>
      </c>
      <c r="O44" s="120">
        <v>-38</v>
      </c>
      <c r="P44" s="120">
        <v>0</v>
      </c>
      <c r="Q44" s="124">
        <v>-997</v>
      </c>
      <c r="R44" s="120">
        <v>-257</v>
      </c>
      <c r="S44" s="120">
        <v>0</v>
      </c>
      <c r="T44" s="120">
        <v>-30</v>
      </c>
    </row>
    <row r="45" spans="2:20" s="16" customFormat="1" x14ac:dyDescent="0.25">
      <c r="B45" s="21" t="s">
        <v>79</v>
      </c>
      <c r="C45" s="136">
        <v>-304</v>
      </c>
      <c r="D45" s="136">
        <v>687</v>
      </c>
      <c r="E45" s="136">
        <v>-1262</v>
      </c>
      <c r="F45" s="136">
        <v>581</v>
      </c>
      <c r="G45" s="139">
        <v>-298</v>
      </c>
      <c r="H45" s="136">
        <v>-198</v>
      </c>
      <c r="I45" s="120">
        <v>69</v>
      </c>
      <c r="J45" s="120">
        <v>-840</v>
      </c>
      <c r="K45" s="120">
        <v>-212</v>
      </c>
      <c r="L45" s="124">
        <v>-1181</v>
      </c>
      <c r="M45" s="136">
        <v>2046</v>
      </c>
      <c r="N45" s="120">
        <v>-747</v>
      </c>
      <c r="O45" s="120">
        <v>-1134</v>
      </c>
      <c r="P45" s="120">
        <v>979</v>
      </c>
      <c r="Q45" s="139">
        <v>1144</v>
      </c>
      <c r="R45" s="136">
        <v>213</v>
      </c>
      <c r="S45" s="120">
        <v>572</v>
      </c>
      <c r="T45" s="120">
        <v>-309</v>
      </c>
    </row>
    <row r="46" spans="2:20" x14ac:dyDescent="0.25">
      <c r="B46" s="21" t="s">
        <v>134</v>
      </c>
      <c r="C46" s="136">
        <v>6</v>
      </c>
      <c r="D46" s="136">
        <v>187</v>
      </c>
      <c r="E46" s="136">
        <v>422</v>
      </c>
      <c r="F46" s="136">
        <v>228</v>
      </c>
      <c r="G46" s="124">
        <v>843</v>
      </c>
      <c r="H46" s="120">
        <v>103</v>
      </c>
      <c r="I46" s="120">
        <v>60</v>
      </c>
      <c r="J46" s="120">
        <v>239</v>
      </c>
      <c r="K46" s="120">
        <v>24</v>
      </c>
      <c r="L46" s="139">
        <v>426</v>
      </c>
      <c r="M46" s="120">
        <v>303</v>
      </c>
      <c r="N46" s="120">
        <v>15</v>
      </c>
      <c r="O46" s="120">
        <v>1238</v>
      </c>
      <c r="P46" s="120">
        <v>19</v>
      </c>
      <c r="Q46" s="124">
        <v>1575</v>
      </c>
      <c r="R46" s="120">
        <v>23</v>
      </c>
      <c r="S46" s="120">
        <v>103</v>
      </c>
      <c r="T46" s="120">
        <v>6</v>
      </c>
    </row>
    <row r="47" spans="2:20" x14ac:dyDescent="0.25">
      <c r="B47" s="21" t="s">
        <v>135</v>
      </c>
      <c r="C47" s="136">
        <v>-649</v>
      </c>
      <c r="D47" s="136">
        <v>-663</v>
      </c>
      <c r="E47" s="136">
        <v>-678</v>
      </c>
      <c r="F47" s="136">
        <v>-678</v>
      </c>
      <c r="G47" s="124">
        <v>-2668</v>
      </c>
      <c r="H47" s="120">
        <v>-707</v>
      </c>
      <c r="I47" s="120">
        <v>-684</v>
      </c>
      <c r="J47" s="120">
        <v>-722</v>
      </c>
      <c r="K47" s="120">
        <v>-699</v>
      </c>
      <c r="L47" s="124">
        <v>-2812</v>
      </c>
      <c r="M47" s="120">
        <v>-783</v>
      </c>
      <c r="N47" s="120">
        <v>-758</v>
      </c>
      <c r="O47" s="120">
        <v>-799</v>
      </c>
      <c r="P47" s="120">
        <v>-774</v>
      </c>
      <c r="Q47" s="124">
        <v>-3114</v>
      </c>
      <c r="R47" s="120">
        <v>-799</v>
      </c>
      <c r="S47" s="120">
        <v>-775</v>
      </c>
      <c r="T47" s="120">
        <v>-815</v>
      </c>
    </row>
    <row r="48" spans="2:20" x14ac:dyDescent="0.25">
      <c r="B48" s="21" t="s">
        <v>136</v>
      </c>
      <c r="C48" s="136">
        <v>-39</v>
      </c>
      <c r="D48" s="136">
        <v>-11</v>
      </c>
      <c r="E48" s="136">
        <v>33</v>
      </c>
      <c r="F48" s="136">
        <v>-9</v>
      </c>
      <c r="G48" s="124">
        <v>-26</v>
      </c>
      <c r="H48" s="120">
        <v>-74</v>
      </c>
      <c r="I48" s="120">
        <v>-34</v>
      </c>
      <c r="J48" s="120">
        <v>15</v>
      </c>
      <c r="K48" s="120">
        <v>-40</v>
      </c>
      <c r="L48" s="124">
        <v>-133</v>
      </c>
      <c r="M48" s="120">
        <v>-59</v>
      </c>
      <c r="N48" s="120">
        <v>-13</v>
      </c>
      <c r="O48" s="120">
        <v>51</v>
      </c>
      <c r="P48" s="120">
        <v>-73</v>
      </c>
      <c r="Q48" s="124">
        <v>-94</v>
      </c>
      <c r="R48" s="120">
        <v>-67</v>
      </c>
      <c r="S48" s="120">
        <v>-34</v>
      </c>
      <c r="T48" s="120">
        <v>-23</v>
      </c>
    </row>
    <row r="49" spans="2:20" x14ac:dyDescent="0.25">
      <c r="B49" s="31" t="s">
        <v>137</v>
      </c>
      <c r="C49" s="130">
        <f>SUM(C39:C48)</f>
        <v>1433</v>
      </c>
      <c r="D49" s="130">
        <v>1189</v>
      </c>
      <c r="E49" s="130">
        <v>365</v>
      </c>
      <c r="F49" s="130">
        <v>743</v>
      </c>
      <c r="G49" s="142">
        <f t="shared" ref="G49:R49" si="1">SUM(G39:G48)</f>
        <v>3730</v>
      </c>
      <c r="H49" s="130">
        <f t="shared" si="1"/>
        <v>2593</v>
      </c>
      <c r="I49" s="130">
        <v>-411</v>
      </c>
      <c r="J49" s="130">
        <v>-957</v>
      </c>
      <c r="K49" s="130">
        <v>506</v>
      </c>
      <c r="L49" s="142">
        <f t="shared" si="1"/>
        <v>1731</v>
      </c>
      <c r="M49" s="130">
        <f t="shared" si="1"/>
        <v>1185</v>
      </c>
      <c r="N49" s="130">
        <v>545</v>
      </c>
      <c r="O49" s="130">
        <v>-570</v>
      </c>
      <c r="P49" s="130">
        <v>1449</v>
      </c>
      <c r="Q49" s="142">
        <f t="shared" si="1"/>
        <v>2609</v>
      </c>
      <c r="R49" s="130">
        <f t="shared" si="1"/>
        <v>1404</v>
      </c>
      <c r="S49" s="130">
        <v>172</v>
      </c>
      <c r="T49" s="130">
        <v>1975</v>
      </c>
    </row>
    <row r="50" spans="2:20" x14ac:dyDescent="0.25">
      <c r="B50" s="21"/>
      <c r="C50" s="136"/>
      <c r="D50" s="136"/>
      <c r="E50" s="136"/>
      <c r="F50" s="136"/>
      <c r="G50" s="124"/>
      <c r="H50" s="120"/>
      <c r="I50" s="120"/>
      <c r="J50" s="120"/>
      <c r="K50" s="120"/>
      <c r="L50" s="124"/>
      <c r="M50" s="120"/>
      <c r="N50" s="120"/>
      <c r="O50" s="120"/>
      <c r="P50" s="120"/>
      <c r="Q50" s="124"/>
      <c r="R50" s="120"/>
      <c r="S50" s="120"/>
      <c r="T50" s="120"/>
    </row>
    <row r="51" spans="2:20" x14ac:dyDescent="0.25">
      <c r="B51" s="100" t="s">
        <v>53</v>
      </c>
      <c r="C51" s="111"/>
      <c r="D51" s="111"/>
      <c r="E51" s="111"/>
      <c r="F51" s="111"/>
      <c r="G51" s="125"/>
      <c r="H51" s="118"/>
      <c r="I51" s="118"/>
      <c r="J51" s="118"/>
      <c r="K51" s="118"/>
      <c r="L51" s="125"/>
      <c r="M51" s="118"/>
      <c r="N51" s="118"/>
      <c r="O51" s="118"/>
      <c r="P51" s="118"/>
      <c r="Q51" s="125"/>
      <c r="R51" s="118"/>
      <c r="S51" s="118"/>
      <c r="T51" s="118"/>
    </row>
    <row r="52" spans="2:20" x14ac:dyDescent="0.25">
      <c r="B52" s="21" t="s">
        <v>138</v>
      </c>
      <c r="C52" s="136">
        <v>591</v>
      </c>
      <c r="D52" s="136">
        <v>0</v>
      </c>
      <c r="E52" s="136">
        <v>0</v>
      </c>
      <c r="F52" s="136">
        <v>0</v>
      </c>
      <c r="G52" s="124">
        <v>591</v>
      </c>
      <c r="H52" s="120">
        <v>573</v>
      </c>
      <c r="I52" s="120">
        <v>0</v>
      </c>
      <c r="J52" s="120">
        <v>0</v>
      </c>
      <c r="K52" s="120">
        <v>0</v>
      </c>
      <c r="L52" s="124">
        <v>573</v>
      </c>
      <c r="M52" s="120">
        <v>556</v>
      </c>
      <c r="N52" s="120">
        <v>0</v>
      </c>
      <c r="O52" s="120">
        <v>0</v>
      </c>
      <c r="P52" s="120">
        <v>0</v>
      </c>
      <c r="Q52" s="124">
        <v>556</v>
      </c>
      <c r="R52" s="120">
        <v>520</v>
      </c>
      <c r="S52" s="120">
        <v>0</v>
      </c>
      <c r="T52" s="120">
        <v>0</v>
      </c>
    </row>
    <row r="53" spans="2:20" x14ac:dyDescent="0.25">
      <c r="B53" s="21" t="s">
        <v>139</v>
      </c>
      <c r="C53" s="136">
        <v>550</v>
      </c>
      <c r="D53" s="136">
        <v>-69</v>
      </c>
      <c r="E53" s="136">
        <v>101</v>
      </c>
      <c r="F53" s="136">
        <v>-9</v>
      </c>
      <c r="G53" s="124">
        <v>573</v>
      </c>
      <c r="H53" s="120">
        <v>1698</v>
      </c>
      <c r="I53" s="120">
        <v>-1057</v>
      </c>
      <c r="J53" s="120">
        <v>-41</v>
      </c>
      <c r="K53" s="120">
        <v>-44</v>
      </c>
      <c r="L53" s="124">
        <v>556</v>
      </c>
      <c r="M53" s="120">
        <v>692</v>
      </c>
      <c r="N53" s="120">
        <v>-127</v>
      </c>
      <c r="O53" s="120">
        <v>178</v>
      </c>
      <c r="P53" s="120">
        <v>-223</v>
      </c>
      <c r="Q53" s="124">
        <v>520</v>
      </c>
      <c r="R53" s="120">
        <v>1020</v>
      </c>
      <c r="S53" s="120">
        <v>-381</v>
      </c>
      <c r="T53" s="120">
        <v>-10</v>
      </c>
    </row>
    <row r="54" spans="2:20" x14ac:dyDescent="0.25">
      <c r="B54" s="31" t="s">
        <v>140</v>
      </c>
      <c r="C54" s="130">
        <f>C53-C52</f>
        <v>-41</v>
      </c>
      <c r="D54" s="130">
        <v>-69</v>
      </c>
      <c r="E54" s="130">
        <v>101</v>
      </c>
      <c r="F54" s="130">
        <v>-9</v>
      </c>
      <c r="G54" s="142">
        <f t="shared" ref="G54:R54" si="2">G53-G52</f>
        <v>-18</v>
      </c>
      <c r="H54" s="130">
        <f t="shared" si="2"/>
        <v>1125</v>
      </c>
      <c r="I54" s="130">
        <v>-1057</v>
      </c>
      <c r="J54" s="130">
        <v>-41</v>
      </c>
      <c r="K54" s="130">
        <v>-44</v>
      </c>
      <c r="L54" s="142">
        <f t="shared" si="2"/>
        <v>-17</v>
      </c>
      <c r="M54" s="130">
        <f t="shared" si="2"/>
        <v>136</v>
      </c>
      <c r="N54" s="130">
        <v>-127</v>
      </c>
      <c r="O54" s="130">
        <v>178</v>
      </c>
      <c r="P54" s="130">
        <v>-223</v>
      </c>
      <c r="Q54" s="142">
        <f t="shared" si="2"/>
        <v>-36</v>
      </c>
      <c r="R54" s="130">
        <f t="shared" si="2"/>
        <v>500</v>
      </c>
      <c r="S54" s="130">
        <v>-381</v>
      </c>
      <c r="T54" s="130">
        <v>-10</v>
      </c>
    </row>
    <row r="55" spans="2:20" s="16" customFormat="1" x14ac:dyDescent="0.25">
      <c r="B55" s="21"/>
      <c r="C55" s="136"/>
      <c r="D55" s="136"/>
      <c r="E55" s="136"/>
      <c r="F55" s="136"/>
      <c r="G55" s="139"/>
      <c r="H55" s="136"/>
      <c r="I55" s="136"/>
      <c r="J55" s="136"/>
      <c r="K55" s="136"/>
      <c r="L55" s="139"/>
      <c r="M55" s="136"/>
      <c r="N55" s="136"/>
      <c r="O55" s="136"/>
      <c r="P55" s="136"/>
      <c r="Q55" s="139"/>
      <c r="R55" s="136"/>
      <c r="S55" s="136"/>
      <c r="T55" s="136"/>
    </row>
    <row r="56" spans="2:20" x14ac:dyDescent="0.25">
      <c r="B56" s="100" t="s">
        <v>141</v>
      </c>
      <c r="C56" s="111"/>
      <c r="D56" s="111"/>
      <c r="E56" s="111"/>
      <c r="F56" s="111"/>
      <c r="G56" s="125"/>
      <c r="H56" s="118"/>
      <c r="I56" s="118"/>
      <c r="J56" s="118"/>
      <c r="K56" s="118"/>
      <c r="L56" s="125"/>
      <c r="M56" s="118"/>
      <c r="N56" s="118"/>
      <c r="O56" s="118"/>
      <c r="P56" s="118"/>
      <c r="Q56" s="125"/>
      <c r="R56" s="118"/>
      <c r="S56" s="118"/>
      <c r="T56" s="118"/>
    </row>
    <row r="57" spans="2:20" x14ac:dyDescent="0.25">
      <c r="B57" s="21" t="s">
        <v>142</v>
      </c>
      <c r="C57" s="136">
        <v>0</v>
      </c>
      <c r="D57" s="136">
        <v>0</v>
      </c>
      <c r="E57" s="136">
        <v>0</v>
      </c>
      <c r="F57" s="136">
        <v>2195</v>
      </c>
      <c r="G57" s="124">
        <v>2195</v>
      </c>
      <c r="H57" s="120">
        <v>0</v>
      </c>
      <c r="I57" s="120">
        <v>0</v>
      </c>
      <c r="J57" s="120">
        <v>0</v>
      </c>
      <c r="K57" s="120">
        <v>2186</v>
      </c>
      <c r="L57" s="124">
        <v>2186</v>
      </c>
      <c r="M57" s="120">
        <v>0</v>
      </c>
      <c r="N57" s="120">
        <v>0</v>
      </c>
      <c r="O57" s="120">
        <v>0</v>
      </c>
      <c r="P57" s="120">
        <v>2248</v>
      </c>
      <c r="Q57" s="124">
        <v>2248</v>
      </c>
      <c r="R57" s="120">
        <v>0</v>
      </c>
      <c r="S57" s="120">
        <v>0</v>
      </c>
      <c r="T57" s="120">
        <v>0</v>
      </c>
    </row>
    <row r="58" spans="2:20" x14ac:dyDescent="0.25">
      <c r="B58" s="21" t="s">
        <v>143</v>
      </c>
      <c r="C58" s="136">
        <v>0</v>
      </c>
      <c r="D58" s="136">
        <v>0</v>
      </c>
      <c r="E58" s="136">
        <v>0</v>
      </c>
      <c r="F58" s="136">
        <v>-651</v>
      </c>
      <c r="G58" s="124">
        <v>-651</v>
      </c>
      <c r="H58" s="120">
        <v>0</v>
      </c>
      <c r="I58" s="120">
        <v>0</v>
      </c>
      <c r="J58" s="120">
        <v>0</v>
      </c>
      <c r="K58" s="120">
        <v>-585</v>
      </c>
      <c r="L58" s="124">
        <v>-585</v>
      </c>
      <c r="M58" s="120">
        <v>0</v>
      </c>
      <c r="N58" s="120">
        <v>0</v>
      </c>
      <c r="O58" s="120">
        <v>0</v>
      </c>
      <c r="P58" s="120">
        <v>-3</v>
      </c>
      <c r="Q58" s="124">
        <v>-3</v>
      </c>
      <c r="R58" s="120">
        <v>0</v>
      </c>
      <c r="S58" s="120">
        <v>0</v>
      </c>
      <c r="T58" s="120">
        <v>0</v>
      </c>
    </row>
    <row r="59" spans="2:20" x14ac:dyDescent="0.25">
      <c r="B59" s="21" t="s">
        <v>144</v>
      </c>
      <c r="C59" s="136">
        <v>811</v>
      </c>
      <c r="D59" s="136">
        <v>106</v>
      </c>
      <c r="E59" s="136">
        <v>156</v>
      </c>
      <c r="F59" s="136">
        <v>292</v>
      </c>
      <c r="G59" s="124">
        <v>1365</v>
      </c>
      <c r="H59" s="120">
        <v>934</v>
      </c>
      <c r="I59" s="120">
        <v>11</v>
      </c>
      <c r="J59" s="120">
        <v>47</v>
      </c>
      <c r="K59" s="120">
        <v>124</v>
      </c>
      <c r="L59" s="124">
        <v>1116</v>
      </c>
      <c r="M59" s="120">
        <v>921</v>
      </c>
      <c r="N59" s="120">
        <v>69</v>
      </c>
      <c r="O59" s="120">
        <v>8</v>
      </c>
      <c r="P59" s="120">
        <v>327</v>
      </c>
      <c r="Q59" s="124">
        <v>1325</v>
      </c>
      <c r="R59" s="120">
        <v>1028</v>
      </c>
      <c r="S59" s="120">
        <v>236</v>
      </c>
      <c r="T59" s="120">
        <v>123</v>
      </c>
    </row>
    <row r="60" spans="2:20" s="16" customFormat="1" x14ac:dyDescent="0.25">
      <c r="B60" s="28" t="s">
        <v>145</v>
      </c>
      <c r="C60" s="140">
        <v>27</v>
      </c>
      <c r="D60" s="140">
        <v>27</v>
      </c>
      <c r="E60" s="140">
        <v>27</v>
      </c>
      <c r="F60" s="140">
        <v>27</v>
      </c>
      <c r="G60" s="133">
        <v>108</v>
      </c>
      <c r="H60" s="138">
        <v>27</v>
      </c>
      <c r="I60" s="138">
        <v>27</v>
      </c>
      <c r="J60" s="138">
        <v>28</v>
      </c>
      <c r="K60" s="138">
        <v>28</v>
      </c>
      <c r="L60" s="133">
        <v>110</v>
      </c>
      <c r="M60" s="138">
        <v>0</v>
      </c>
      <c r="N60" s="138">
        <v>0</v>
      </c>
      <c r="O60" s="138">
        <v>0</v>
      </c>
      <c r="P60" s="141">
        <v>0</v>
      </c>
      <c r="Q60" s="133">
        <v>0</v>
      </c>
      <c r="R60" s="138">
        <v>0</v>
      </c>
      <c r="S60" s="138">
        <v>0</v>
      </c>
      <c r="T60" s="138">
        <v>0</v>
      </c>
    </row>
  </sheetData>
  <pageMargins left="0.7" right="0.7" top="0.75" bottom="0.75" header="0.3" footer="0.3"/>
  <pageSetup paperSize="1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AU8"/>
  <sheetViews>
    <sheetView showGridLines="0" zoomScaleNormal="100" workbookViewId="0">
      <pane xSplit="2" topLeftCell="C1" activePane="topRight" state="frozen"/>
      <selection pane="topRight"/>
    </sheetView>
  </sheetViews>
  <sheetFormatPr defaultColWidth="10.875" defaultRowHeight="15.75" outlineLevelCol="1" x14ac:dyDescent="0.25"/>
  <cols>
    <col min="1" max="1" width="2.625" style="1" customWidth="1"/>
    <col min="2" max="2" width="28.375" style="1" customWidth="1"/>
    <col min="3" max="6" width="12.375" style="1" customWidth="1" outlineLevel="1"/>
    <col min="7" max="7" width="12.625" style="14" customWidth="1"/>
    <col min="8" max="11" width="12.625" style="14" customWidth="1" outlineLevel="1"/>
    <col min="12" max="12" width="12.625" style="14" customWidth="1"/>
    <col min="13" max="16" width="12.625" style="14" customWidth="1" outlineLevel="1"/>
    <col min="17" max="17" width="12.625" style="14" customWidth="1"/>
    <col min="18" max="20" width="12.625" style="14" customWidth="1" outlineLevel="1"/>
    <col min="21" max="21" width="12.625" style="1" customWidth="1" outlineLevel="1"/>
    <col min="22" max="22" width="12.625" style="1" customWidth="1"/>
    <col min="23" max="26" width="12.625" style="1" customWidth="1" outlineLevel="1"/>
    <col min="27" max="27" width="12.625" style="1" customWidth="1"/>
    <col min="28" max="31" width="12.625" style="1" customWidth="1" outlineLevel="1"/>
    <col min="32" max="32" width="12.625" style="1" customWidth="1"/>
    <col min="33" max="36" width="12.625" style="1" customWidth="1" outlineLevel="1"/>
    <col min="37" max="37" width="12.625" style="1" customWidth="1"/>
    <col min="38" max="41" width="12.625" style="1" customWidth="1" outlineLevel="1"/>
    <col min="42" max="42" width="12.625" style="1" customWidth="1"/>
    <col min="43" max="46" width="12.625" style="1" customWidth="1" outlineLevel="1"/>
    <col min="47" max="47" width="12.625" style="1" customWidth="1"/>
    <col min="48" max="16384" width="10.875" style="1"/>
  </cols>
  <sheetData>
    <row r="2" spans="2:47" x14ac:dyDescent="0.25">
      <c r="B2" s="234" t="s">
        <v>21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</row>
    <row r="3" spans="2:47" x14ac:dyDescent="0.25">
      <c r="B3" s="147" t="s">
        <v>238</v>
      </c>
      <c r="C3" s="148" t="s">
        <v>47</v>
      </c>
      <c r="D3" s="148" t="s">
        <v>48</v>
      </c>
      <c r="E3" s="148" t="s">
        <v>49</v>
      </c>
      <c r="F3" s="148" t="s">
        <v>50</v>
      </c>
      <c r="G3" s="156" t="s">
        <v>23</v>
      </c>
      <c r="H3" s="148" t="s">
        <v>29</v>
      </c>
      <c r="I3" s="148" t="s">
        <v>30</v>
      </c>
      <c r="J3" s="148" t="s">
        <v>31</v>
      </c>
      <c r="K3" s="148" t="s">
        <v>32</v>
      </c>
      <c r="L3" s="156" t="s">
        <v>24</v>
      </c>
      <c r="M3" s="149" t="s">
        <v>33</v>
      </c>
      <c r="N3" s="149" t="s">
        <v>34</v>
      </c>
      <c r="O3" s="149" t="s">
        <v>35</v>
      </c>
      <c r="P3" s="149" t="s">
        <v>36</v>
      </c>
      <c r="Q3" s="156" t="s">
        <v>25</v>
      </c>
      <c r="R3" s="149" t="s">
        <v>44</v>
      </c>
      <c r="S3" s="149" t="s">
        <v>45</v>
      </c>
      <c r="T3" s="149" t="s">
        <v>46</v>
      </c>
      <c r="U3" s="148" t="s">
        <v>161</v>
      </c>
      <c r="V3" s="156" t="s">
        <v>190</v>
      </c>
      <c r="W3" s="149" t="s">
        <v>162</v>
      </c>
      <c r="X3" s="149" t="s">
        <v>163</v>
      </c>
      <c r="Y3" s="149" t="s">
        <v>164</v>
      </c>
      <c r="Z3" s="149" t="s">
        <v>191</v>
      </c>
      <c r="AA3" s="156" t="s">
        <v>192</v>
      </c>
      <c r="AB3" s="149" t="s">
        <v>166</v>
      </c>
      <c r="AC3" s="149" t="s">
        <v>167</v>
      </c>
      <c r="AD3" s="149" t="s">
        <v>193</v>
      </c>
      <c r="AE3" s="149" t="s">
        <v>194</v>
      </c>
      <c r="AF3" s="156" t="s">
        <v>195</v>
      </c>
      <c r="AG3" s="149" t="s">
        <v>170</v>
      </c>
      <c r="AH3" s="149" t="s">
        <v>171</v>
      </c>
      <c r="AI3" s="149" t="s">
        <v>196</v>
      </c>
      <c r="AJ3" s="149" t="s">
        <v>197</v>
      </c>
      <c r="AK3" s="156" t="s">
        <v>198</v>
      </c>
      <c r="AL3" s="149" t="s">
        <v>174</v>
      </c>
      <c r="AM3" s="149" t="s">
        <v>175</v>
      </c>
      <c r="AN3" s="149" t="s">
        <v>199</v>
      </c>
      <c r="AO3" s="149" t="s">
        <v>200</v>
      </c>
      <c r="AP3" s="156" t="s">
        <v>201</v>
      </c>
      <c r="AQ3" s="149" t="s">
        <v>178</v>
      </c>
      <c r="AR3" s="149" t="s">
        <v>179</v>
      </c>
      <c r="AS3" s="149" t="s">
        <v>202</v>
      </c>
      <c r="AT3" s="149" t="s">
        <v>203</v>
      </c>
      <c r="AU3" s="156" t="s">
        <v>204</v>
      </c>
    </row>
    <row r="4" spans="2:47" x14ac:dyDescent="0.25">
      <c r="B4" s="21" t="s">
        <v>151</v>
      </c>
      <c r="C4" s="171">
        <f>'Revenue Build'!C20</f>
        <v>6212</v>
      </c>
      <c r="D4" s="171">
        <f>'Revenue Build'!D20</f>
        <v>5924</v>
      </c>
      <c r="E4" s="171">
        <f>'Revenue Build'!E20</f>
        <v>6989</v>
      </c>
      <c r="F4" s="171">
        <f>'Revenue Build'!F20</f>
        <v>6154</v>
      </c>
      <c r="G4" s="192">
        <f>'Revenue Build'!G20</f>
        <v>25279</v>
      </c>
      <c r="H4" s="171">
        <f>'Revenue Build'!H20</f>
        <v>5989</v>
      </c>
      <c r="I4" s="171">
        <f>'Revenue Build'!I20</f>
        <v>5472</v>
      </c>
      <c r="J4" s="171">
        <f>'Revenue Build'!J20</f>
        <v>6770</v>
      </c>
      <c r="K4" s="171">
        <f>'Revenue Build'!K20</f>
        <v>5836</v>
      </c>
      <c r="L4" s="192">
        <f>'Revenue Build'!L20</f>
        <v>24067</v>
      </c>
      <c r="M4" s="171">
        <f>'Revenue Build'!M20</f>
        <v>6201</v>
      </c>
      <c r="N4" s="171">
        <f>'Revenue Build'!N20</f>
        <v>5808</v>
      </c>
      <c r="O4" s="171">
        <f>'Revenue Build'!O20</f>
        <v>7003</v>
      </c>
      <c r="P4" s="171">
        <f>'Revenue Build'!P20</f>
        <v>6290</v>
      </c>
      <c r="Q4" s="192">
        <f>'Revenue Build'!Q20</f>
        <v>25302</v>
      </c>
      <c r="R4" s="171">
        <f>'Revenue Build'!R20</f>
        <v>7185</v>
      </c>
      <c r="S4" s="171">
        <f>'Revenue Build'!S20</f>
        <v>6739</v>
      </c>
      <c r="T4" s="171">
        <f>'Revenue Build'!T20</f>
        <v>8025</v>
      </c>
      <c r="U4" s="171">
        <f>'Revenue Build'!U20</f>
        <v>6369.8829999999998</v>
      </c>
      <c r="V4" s="192">
        <f>'Revenue Build'!V20</f>
        <v>26528.917700000002</v>
      </c>
      <c r="W4" s="171">
        <f>'Revenue Build'!W20</f>
        <v>7276.249499999999</v>
      </c>
      <c r="X4" s="171">
        <f>'Revenue Build'!X20</f>
        <v>6824.5852999999997</v>
      </c>
      <c r="Y4" s="171">
        <f>'Revenue Build'!Y20</f>
        <v>8126.9174999999987</v>
      </c>
      <c r="Z4" s="171">
        <f>'Revenue Build'!Z20</f>
        <v>6450.780514099999</v>
      </c>
      <c r="AA4" s="192">
        <f>'Revenue Build'!AA20</f>
        <v>28678.532814099995</v>
      </c>
      <c r="AB4" s="171">
        <f>'Revenue Build'!AB20</f>
        <v>7368.6578686499988</v>
      </c>
      <c r="AC4" s="171">
        <f>'Revenue Build'!AC20</f>
        <v>6911.2575333099994</v>
      </c>
      <c r="AD4" s="171">
        <f>'Revenue Build'!AD20</f>
        <v>8230.1293522499982</v>
      </c>
      <c r="AE4" s="171">
        <f>'Revenue Build'!AE20</f>
        <v>6532.7054266290688</v>
      </c>
      <c r="AF4" s="192">
        <f>'Revenue Build'!AF20</f>
        <v>29042.750180839066</v>
      </c>
      <c r="AG4" s="171">
        <f>'Revenue Build'!AG20</f>
        <v>7462.2398235818537</v>
      </c>
      <c r="AH4" s="171">
        <f>'Revenue Build'!AH20</f>
        <v>6999.0305039830355</v>
      </c>
      <c r="AI4" s="171">
        <f>'Revenue Build'!AI20</f>
        <v>8334.6519950235743</v>
      </c>
      <c r="AJ4" s="171">
        <f>'Revenue Build'!AJ20</f>
        <v>6615.6707855472569</v>
      </c>
      <c r="AK4" s="192">
        <f>'Revenue Build'!AK20</f>
        <v>29411.593108135719</v>
      </c>
      <c r="AL4" s="171">
        <f>'Revenue Build'!AL20</f>
        <v>7557.0102693413428</v>
      </c>
      <c r="AM4" s="171">
        <f>'Revenue Build'!AM20</f>
        <v>7087.9181913836201</v>
      </c>
      <c r="AN4" s="171">
        <f>'Revenue Build'!AN20</f>
        <v>8440.5020753603712</v>
      </c>
      <c r="AO4" s="171">
        <f>'Revenue Build'!AO20</f>
        <v>6699.6898045237067</v>
      </c>
      <c r="AP4" s="192">
        <f>'Revenue Build'!AP20</f>
        <v>29785.120340609039</v>
      </c>
      <c r="AQ4" s="171">
        <f>'Revenue Build'!AQ20</f>
        <v>7652.9842997619771</v>
      </c>
      <c r="AR4" s="171">
        <f>'Revenue Build'!AR20</f>
        <v>7177.9347524141913</v>
      </c>
      <c r="AS4" s="171">
        <f>'Revenue Build'!AS20</f>
        <v>8547.6964517174474</v>
      </c>
      <c r="AT4" s="171">
        <f>'Revenue Build'!AT20</f>
        <v>6784.7758650411579</v>
      </c>
      <c r="AU4" s="192">
        <f>'Revenue Build'!AU20</f>
        <v>30163.391368934776</v>
      </c>
    </row>
    <row r="5" spans="2:47" x14ac:dyDescent="0.25">
      <c r="B5" s="21" t="s">
        <v>150</v>
      </c>
      <c r="C5" s="136">
        <f>'Cash Flow Statement'!C29</f>
        <v>-2536</v>
      </c>
      <c r="D5" s="136">
        <f>'Cash Flow Statement'!D29</f>
        <v>-2929</v>
      </c>
      <c r="E5" s="136">
        <f>'Cash Flow Statement'!E29</f>
        <v>-2619</v>
      </c>
      <c r="F5" s="136">
        <f>'Cash Flow Statement'!F29</f>
        <v>-3038</v>
      </c>
      <c r="G5" s="154">
        <f>'Cash Flow Statement'!G29</f>
        <v>-11122</v>
      </c>
      <c r="H5" s="136">
        <f>'Cash Flow Statement'!H29</f>
        <v>-2832</v>
      </c>
      <c r="I5" s="136">
        <f>'Cash Flow Statement'!I29</f>
        <v>-2271</v>
      </c>
      <c r="J5" s="136">
        <f>'Cash Flow Statement'!J29</f>
        <v>-2305</v>
      </c>
      <c r="K5" s="136">
        <f>'Cash Flow Statement'!K29</f>
        <v>-2499</v>
      </c>
      <c r="L5" s="154">
        <f>'Cash Flow Statement'!L29</f>
        <v>-9907</v>
      </c>
      <c r="M5" s="136">
        <f>'Cash Flow Statement'!M29</f>
        <v>-2215</v>
      </c>
      <c r="N5" s="136">
        <f>'Cash Flow Statement'!N29</f>
        <v>-2421</v>
      </c>
      <c r="O5" s="136">
        <f>'Cash Flow Statement'!O29</f>
        <v>-2453</v>
      </c>
      <c r="P5" s="136">
        <f>'Cash Flow Statement'!P29</f>
        <v>-2626</v>
      </c>
      <c r="Q5" s="154">
        <f>'Cash Flow Statement'!Q29</f>
        <v>-9715</v>
      </c>
      <c r="R5" s="136">
        <f>'Cash Flow Statement'!R29</f>
        <v>-2551</v>
      </c>
      <c r="S5" s="136">
        <f>'Cash Flow Statement'!S29</f>
        <v>-2566</v>
      </c>
      <c r="T5" s="136">
        <f>'Cash Flow Statement'!T29</f>
        <v>-3031</v>
      </c>
      <c r="U5" s="136">
        <f>U6*U$4</f>
        <v>-2693.4805846641534</v>
      </c>
      <c r="V5" s="154">
        <f>SUM(R5:U5)</f>
        <v>-10841.480584664154</v>
      </c>
      <c r="W5" s="136">
        <f>W6*W$4</f>
        <v>-2591.2386534591192</v>
      </c>
      <c r="X5" s="136">
        <f>X6*X$4</f>
        <v>-2721.6702201188018</v>
      </c>
      <c r="Y5" s="136">
        <f>Y6*Y$4</f>
        <v>-2958.0888910895324</v>
      </c>
      <c r="Z5" s="136">
        <f>Z6*Z$4</f>
        <v>-2710.4058678146935</v>
      </c>
      <c r="AA5" s="154">
        <f>SUM(W5:Z5)</f>
        <v>-10981.403632482146</v>
      </c>
      <c r="AB5" s="136">
        <f>AB6*AB$4</f>
        <v>-2620.1771175740246</v>
      </c>
      <c r="AC5" s="136">
        <f>AC6*AC$4</f>
        <v>-2693.9128510271548</v>
      </c>
      <c r="AD5" s="136">
        <f>AD6*AD$4</f>
        <v>-3052.0664449981841</v>
      </c>
      <c r="AE5" s="136">
        <f>AE6*AE$4</f>
        <v>-2753.5787226670318</v>
      </c>
      <c r="AF5" s="154">
        <f>SUM(AB5:AE5)</f>
        <v>-11119.735136266398</v>
      </c>
      <c r="AG5" s="136">
        <f>AG6*AG$4</f>
        <v>-2655.463711553306</v>
      </c>
      <c r="AH5" s="136">
        <f>AH6*AH$4</f>
        <v>-2759.6825830674106</v>
      </c>
      <c r="AI5" s="136">
        <f>AI6*AI$4</f>
        <v>-3062.2645739650561</v>
      </c>
      <c r="AJ5" s="136">
        <f>AJ6*AJ$4</f>
        <v>-2784.1182553322542</v>
      </c>
      <c r="AK5" s="154">
        <f>SUM(AG5:AJ5)</f>
        <v>-11261.529123918026</v>
      </c>
      <c r="AL5" s="136">
        <f>AL6*AL$4</f>
        <v>-2688.1701627088655</v>
      </c>
      <c r="AM5" s="136">
        <f>AM6*AM$4</f>
        <v>-2778.7516452596769</v>
      </c>
      <c r="AN5" s="136">
        <f>AN6*AN$4</f>
        <v>-3115.6182672762311</v>
      </c>
      <c r="AO5" s="136">
        <f>AO6*AO$4</f>
        <v>-2821.7201520549629</v>
      </c>
      <c r="AP5" s="154">
        <f>SUM(AL5:AO5)</f>
        <v>-11404.260227299736</v>
      </c>
      <c r="AQ5" s="136">
        <f>AQ6*AQ$4</f>
        <v>-2722.8253566720318</v>
      </c>
      <c r="AR5" s="136">
        <f>AR6*AR$4</f>
        <v>-2822.1327105178098</v>
      </c>
      <c r="AS5" s="136">
        <f>AS6*AS$4</f>
        <v>-3147.8633130337707</v>
      </c>
      <c r="AT5" s="136">
        <f>AT6*AT$4</f>
        <v>-2856.4199537185782</v>
      </c>
      <c r="AU5" s="154">
        <f>SUM(AQ5:AT5)</f>
        <v>-11549.241333942191</v>
      </c>
    </row>
    <row r="6" spans="2:47" s="17" customFormat="1" x14ac:dyDescent="0.25">
      <c r="B6" s="22" t="s">
        <v>28</v>
      </c>
      <c r="C6" s="23">
        <f t="shared" ref="C6:T6" si="0">C5/C4</f>
        <v>-0.40824211204121058</v>
      </c>
      <c r="D6" s="23">
        <f t="shared" si="0"/>
        <v>-0.49442943956785956</v>
      </c>
      <c r="E6" s="23">
        <f t="shared" si="0"/>
        <v>-0.37473172127629134</v>
      </c>
      <c r="F6" s="23">
        <f t="shared" si="0"/>
        <v>-0.49366265843353918</v>
      </c>
      <c r="G6" s="152">
        <f t="shared" si="0"/>
        <v>-0.43996993551960123</v>
      </c>
      <c r="H6" s="23">
        <f t="shared" si="0"/>
        <v>-0.47286692269160124</v>
      </c>
      <c r="I6" s="23">
        <f t="shared" si="0"/>
        <v>-0.41502192982456143</v>
      </c>
      <c r="J6" s="23">
        <f t="shared" si="0"/>
        <v>-0.34047267355982275</v>
      </c>
      <c r="K6" s="23">
        <f t="shared" si="0"/>
        <v>-0.42820424948594926</v>
      </c>
      <c r="L6" s="152">
        <f t="shared" si="0"/>
        <v>-0.41164249802634312</v>
      </c>
      <c r="M6" s="23">
        <f t="shared" si="0"/>
        <v>-0.35720045154007418</v>
      </c>
      <c r="N6" s="23">
        <f t="shared" si="0"/>
        <v>-0.41683884297520662</v>
      </c>
      <c r="O6" s="23">
        <f t="shared" si="0"/>
        <v>-0.35027845209196057</v>
      </c>
      <c r="P6" s="23">
        <f t="shared" si="0"/>
        <v>-0.41748807631160573</v>
      </c>
      <c r="Q6" s="152">
        <f t="shared" si="0"/>
        <v>-0.38396174215477036</v>
      </c>
      <c r="R6" s="23">
        <f t="shared" si="0"/>
        <v>-0.35504523312456504</v>
      </c>
      <c r="S6" s="23">
        <f t="shared" si="0"/>
        <v>-0.3807686600385814</v>
      </c>
      <c r="T6" s="23">
        <f t="shared" si="0"/>
        <v>-0.37769470404984423</v>
      </c>
      <c r="U6" s="23">
        <f>AVERAGE(K6,P6)</f>
        <v>-0.42284616289877752</v>
      </c>
      <c r="V6" s="152">
        <f>V5/V4</f>
        <v>-0.40866652410264565</v>
      </c>
      <c r="W6" s="23">
        <f>AVERAGE(M6,R6)</f>
        <v>-0.35612284233231961</v>
      </c>
      <c r="X6" s="23">
        <f>AVERAGE(N6,S6)</f>
        <v>-0.39880375150689401</v>
      </c>
      <c r="Y6" s="23">
        <f>AVERAGE(O6,T6)</f>
        <v>-0.3639865780709024</v>
      </c>
      <c r="Z6" s="23">
        <f>AVERAGE(P6,U6)</f>
        <v>-0.4201671196051916</v>
      </c>
      <c r="AA6" s="152">
        <f>AA5/AA4</f>
        <v>-0.38291371820398934</v>
      </c>
      <c r="AB6" s="23">
        <f>AVERAGE(R6,W6)</f>
        <v>-0.35558403772844233</v>
      </c>
      <c r="AC6" s="23">
        <f>AVERAGE(S6,X6)</f>
        <v>-0.3897862057727377</v>
      </c>
      <c r="AD6" s="23">
        <f>AVERAGE(T6,Y6)</f>
        <v>-0.37084064106037329</v>
      </c>
      <c r="AE6" s="23">
        <f>AVERAGE(U6,Z6)</f>
        <v>-0.42150664125198456</v>
      </c>
      <c r="AF6" s="152">
        <f>AF5/AF4</f>
        <v>-0.38287473007988876</v>
      </c>
      <c r="AG6" s="23">
        <f>AVERAGE(W6,AB6)</f>
        <v>-0.355853440030381</v>
      </c>
      <c r="AH6" s="23">
        <f>AVERAGE(X6,AC6)</f>
        <v>-0.39429497863981589</v>
      </c>
      <c r="AI6" s="23">
        <f>AVERAGE(Y6,AD6)</f>
        <v>-0.36741360956563784</v>
      </c>
      <c r="AJ6" s="23">
        <f>AVERAGE(Z6,AE6)</f>
        <v>-0.42083688042858808</v>
      </c>
      <c r="AK6" s="152">
        <f>AK5/AK4</f>
        <v>-0.38289422414193897</v>
      </c>
      <c r="AL6" s="23">
        <f>AVERAGE(AB6,AG6)</f>
        <v>-0.35571873887941163</v>
      </c>
      <c r="AM6" s="23">
        <f>AVERAGE(AC6,AH6)</f>
        <v>-0.39204059220627679</v>
      </c>
      <c r="AN6" s="23">
        <f>AVERAGE(AD6,AI6)</f>
        <v>-0.36912712531300557</v>
      </c>
      <c r="AO6" s="23">
        <f>AVERAGE(AE6,AJ6)</f>
        <v>-0.42117176084028629</v>
      </c>
      <c r="AP6" s="152">
        <f>AP5/AP4</f>
        <v>-0.38288447711091383</v>
      </c>
      <c r="AQ6" s="23">
        <f>AVERAGE(AG6,AL6)</f>
        <v>-0.35578608945489631</v>
      </c>
      <c r="AR6" s="23">
        <f>AVERAGE(AH6,AM6)</f>
        <v>-0.39316778542304631</v>
      </c>
      <c r="AS6" s="23">
        <f>AVERAGE(AI6,AN6)</f>
        <v>-0.36827036743932173</v>
      </c>
      <c r="AT6" s="23">
        <f>AVERAGE(AJ6,AO6)</f>
        <v>-0.42100432063443716</v>
      </c>
      <c r="AU6" s="152">
        <f>AU5/AU4</f>
        <v>-0.38288935062642637</v>
      </c>
    </row>
    <row r="7" spans="2:47" x14ac:dyDescent="0.25">
      <c r="B7" s="21" t="s">
        <v>152</v>
      </c>
      <c r="C7" s="80">
        <f>'Cash Flow Statement'!C7</f>
        <v>1238</v>
      </c>
      <c r="D7" s="80">
        <f>'Cash Flow Statement'!D7</f>
        <v>1245</v>
      </c>
      <c r="E7" s="80">
        <f>'Cash Flow Statement'!E7</f>
        <v>1348</v>
      </c>
      <c r="F7" s="80">
        <f>'Cash Flow Statement'!F7</f>
        <v>1345</v>
      </c>
      <c r="G7" s="155">
        <f>'Cash Flow Statement'!G7</f>
        <v>5176</v>
      </c>
      <c r="H7" s="80">
        <f>'Cash Flow Statement'!H7</f>
        <v>1301</v>
      </c>
      <c r="I7" s="80">
        <f>'Cash Flow Statement'!I7</f>
        <v>1350</v>
      </c>
      <c r="J7" s="80">
        <f>'Cash Flow Statement'!J7</f>
        <v>1430</v>
      </c>
      <c r="K7" s="80">
        <f>'Cash Flow Statement'!K7</f>
        <v>1405</v>
      </c>
      <c r="L7" s="155">
        <f>'Cash Flow Statement'!L7</f>
        <v>5486</v>
      </c>
      <c r="M7" s="80">
        <f>'Cash Flow Statement'!M7</f>
        <v>1385</v>
      </c>
      <c r="N7" s="80">
        <f>'Cash Flow Statement'!N7</f>
        <v>1368</v>
      </c>
      <c r="O7" s="80">
        <f>'Cash Flow Statement'!O7</f>
        <v>1436</v>
      </c>
      <c r="P7" s="80">
        <f>'Cash Flow Statement'!P7</f>
        <v>1474</v>
      </c>
      <c r="Q7" s="155">
        <f>'Cash Flow Statement'!Q7</f>
        <v>5663</v>
      </c>
      <c r="R7" s="80">
        <f>'Cash Flow Statement'!R7</f>
        <v>1480</v>
      </c>
      <c r="S7" s="80">
        <f>'Cash Flow Statement'!S7</f>
        <v>1443</v>
      </c>
      <c r="T7" s="80">
        <f>'Cash Flow Statement'!T7</f>
        <v>1491</v>
      </c>
      <c r="U7" s="136">
        <f>U8*U$4</f>
        <v>3578.3928249478013</v>
      </c>
      <c r="V7" s="154">
        <f>SUM(R7:U7)</f>
        <v>7992.3928249478013</v>
      </c>
      <c r="W7" s="136">
        <f>-W8*W5</f>
        <v>1561.8001822557055</v>
      </c>
      <c r="X7" s="136">
        <f t="shared" ref="X7:Z7" si="1">-X8*X5</f>
        <v>1534.2185946233064</v>
      </c>
      <c r="Y7" s="136">
        <f t="shared" si="1"/>
        <v>1593.4078373322654</v>
      </c>
      <c r="Z7" s="136">
        <f t="shared" si="1"/>
        <v>1521.9978019929338</v>
      </c>
      <c r="AA7" s="154">
        <f>SUM(W7:Z7)</f>
        <v>6211.4244162042114</v>
      </c>
      <c r="AB7" s="136">
        <f>-AB8*AB5</f>
        <v>1549.6880947317345</v>
      </c>
      <c r="AC7" s="136">
        <f t="shared" ref="AC7" si="2">-AC8*AC5</f>
        <v>1516.7519587158481</v>
      </c>
      <c r="AD7" s="136">
        <f t="shared" ref="AD7" si="3">-AD8*AD5</f>
        <v>1572.6964213694357</v>
      </c>
      <c r="AE7" s="136">
        <f t="shared" ref="AE7" si="4">-AE8*AE5</f>
        <v>1546.5559415670132</v>
      </c>
      <c r="AF7" s="154">
        <f>SUM(AB7:AE7)</f>
        <v>6185.6924163840313</v>
      </c>
      <c r="AG7" s="136">
        <f>-AG8*AG5</f>
        <v>1585.5341338639146</v>
      </c>
      <c r="AH7" s="136">
        <f t="shared" ref="AH7" si="5">-AH8*AH5</f>
        <v>1554.7142968067703</v>
      </c>
      <c r="AI7" s="136">
        <f t="shared" ref="AI7" si="6">-AI8*AI5</f>
        <v>1613.73732283346</v>
      </c>
      <c r="AJ7" s="136">
        <f t="shared" ref="AJ7" si="7">-AJ8*AJ5</f>
        <v>1563.5493622380507</v>
      </c>
      <c r="AK7" s="154">
        <f>SUM(AG7:AJ7)</f>
        <v>6317.5351157421956</v>
      </c>
      <c r="AL7" s="136">
        <f>-AL8*AL5</f>
        <v>1597.4823990196621</v>
      </c>
      <c r="AM7" s="136">
        <f t="shared" ref="AM7" si="8">-AM8*AM5</f>
        <v>1564.9879335415167</v>
      </c>
      <c r="AN7" s="136">
        <f t="shared" ref="AN7" si="9">-AN8*AN5</f>
        <v>1623.6486863675414</v>
      </c>
      <c r="AO7" s="136">
        <f t="shared" ref="AO7" si="10">-AO8*AO5</f>
        <v>1584.747108667874</v>
      </c>
      <c r="AP7" s="154">
        <f>SUM(AL7:AO7)</f>
        <v>6370.8661275965951</v>
      </c>
      <c r="AQ7" s="136">
        <f>-AQ8*AQ5</f>
        <v>1621.9157018553296</v>
      </c>
      <c r="AR7" s="136">
        <f t="shared" ref="AR7" si="11">-AR8*AR5</f>
        <v>1589.6583569033289</v>
      </c>
      <c r="AS7" s="136">
        <f t="shared" ref="AS7" si="12">-AS8*AS5</f>
        <v>1649.6491728199387</v>
      </c>
      <c r="AT7" s="136">
        <f t="shared" ref="AT7" si="13">-AT8*AT5</f>
        <v>1604.194532691409</v>
      </c>
      <c r="AU7" s="154">
        <f>SUM(AQ7:AT7)</f>
        <v>6465.417764270007</v>
      </c>
    </row>
    <row r="8" spans="2:47" s="17" customFormat="1" x14ac:dyDescent="0.25">
      <c r="B8" s="150" t="s">
        <v>189</v>
      </c>
      <c r="C8" s="151">
        <f>-C7/C5</f>
        <v>0.48817034700315459</v>
      </c>
      <c r="D8" s="151">
        <f t="shared" ref="D8:T8" si="14">-D7/D5</f>
        <v>0.42505974735404572</v>
      </c>
      <c r="E8" s="151">
        <f t="shared" si="14"/>
        <v>0.51470026727758689</v>
      </c>
      <c r="F8" s="151">
        <f t="shared" si="14"/>
        <v>0.4427254772876893</v>
      </c>
      <c r="G8" s="153">
        <f t="shared" si="14"/>
        <v>0.46538392375472037</v>
      </c>
      <c r="H8" s="151">
        <f t="shared" si="14"/>
        <v>0.45939265536723162</v>
      </c>
      <c r="I8" s="151">
        <f t="shared" si="14"/>
        <v>0.59445178335535009</v>
      </c>
      <c r="J8" s="151">
        <f t="shared" si="14"/>
        <v>0.62039045553145333</v>
      </c>
      <c r="K8" s="151">
        <f t="shared" si="14"/>
        <v>0.56222488995598241</v>
      </c>
      <c r="L8" s="153">
        <f t="shared" si="14"/>
        <v>0.55374987382658725</v>
      </c>
      <c r="M8" s="151">
        <f t="shared" si="14"/>
        <v>0.62528216704288941</v>
      </c>
      <c r="N8" s="151">
        <f t="shared" si="14"/>
        <v>0.56505576208178443</v>
      </c>
      <c r="O8" s="151">
        <f t="shared" si="14"/>
        <v>0.58540562576437016</v>
      </c>
      <c r="P8" s="151">
        <f t="shared" si="14"/>
        <v>0.56130997715156128</v>
      </c>
      <c r="Q8" s="153">
        <f>-Q7/Q5</f>
        <v>0.58291302110138965</v>
      </c>
      <c r="R8" s="151">
        <f t="shared" si="14"/>
        <v>0.58016464131713052</v>
      </c>
      <c r="S8" s="151">
        <f t="shared" si="14"/>
        <v>0.56235385814497274</v>
      </c>
      <c r="T8" s="151">
        <f t="shared" si="14"/>
        <v>0.49191685912240185</v>
      </c>
      <c r="U8" s="191">
        <f>AVERAGE(K8,P8)</f>
        <v>0.5617674335537719</v>
      </c>
      <c r="V8" s="153">
        <f>-V7/V5</f>
        <v>0.73720491980158709</v>
      </c>
      <c r="W8" s="191">
        <f>AVERAGE(M8,R8)</f>
        <v>0.60272340418001003</v>
      </c>
      <c r="X8" s="191">
        <f>AVERAGE(N8,S8)</f>
        <v>0.56370481011337858</v>
      </c>
      <c r="Y8" s="191">
        <f>AVERAGE(O8,T8)</f>
        <v>0.53866124244338598</v>
      </c>
      <c r="Z8" s="191">
        <f>AVERAGE(P8,U8)</f>
        <v>0.56153870535266659</v>
      </c>
      <c r="AA8" s="153">
        <f>-AA7/AA5</f>
        <v>0.5656311910648012</v>
      </c>
      <c r="AB8" s="191">
        <f>AVERAGE(R8,W8)</f>
        <v>0.59144402274857022</v>
      </c>
      <c r="AC8" s="191">
        <f>AVERAGE(S8,X8)</f>
        <v>0.56302933412917566</v>
      </c>
      <c r="AD8" s="191">
        <f>AVERAGE(T8,Y8)</f>
        <v>0.51528905078289389</v>
      </c>
      <c r="AE8" s="191">
        <f>AVERAGE(U8,Z8)</f>
        <v>0.56165306945321924</v>
      </c>
      <c r="AF8" s="153">
        <f>-AF7/AF5</f>
        <v>0.55628055350075201</v>
      </c>
      <c r="AG8" s="191">
        <f>AVERAGE(W8,AB8)</f>
        <v>0.59708371346429012</v>
      </c>
      <c r="AH8" s="191">
        <f>AVERAGE(X8,AC8)</f>
        <v>0.56336707212127712</v>
      </c>
      <c r="AI8" s="191">
        <f>AVERAGE(Y8,AD8)</f>
        <v>0.52697514661313993</v>
      </c>
      <c r="AJ8" s="191">
        <f>AVERAGE(Z8,AE8)</f>
        <v>0.56159588740294297</v>
      </c>
      <c r="AK8" s="153">
        <f t="shared" ref="AK8" si="15">-AK7/AK5</f>
        <v>0.56098377460344806</v>
      </c>
      <c r="AL8" s="191">
        <f>AVERAGE(AB8,AG8)</f>
        <v>0.59426386810643017</v>
      </c>
      <c r="AM8" s="191">
        <f>AVERAGE(AC8,AH8)</f>
        <v>0.56319820312522639</v>
      </c>
      <c r="AN8" s="191">
        <f>AVERAGE(AD8,AI8)</f>
        <v>0.52113209869801691</v>
      </c>
      <c r="AO8" s="191">
        <f>AVERAGE(AE8,AJ8)</f>
        <v>0.56162447842808105</v>
      </c>
      <c r="AP8" s="153">
        <f t="shared" ref="AP8" si="16">-AP7/AP5</f>
        <v>0.55863914016499683</v>
      </c>
      <c r="AQ8" s="191">
        <f>AVERAGE(AG8,AL8)</f>
        <v>0.5956737907853602</v>
      </c>
      <c r="AR8" s="191">
        <f>AVERAGE(AH8,AM8)</f>
        <v>0.56328263762325181</v>
      </c>
      <c r="AS8" s="191">
        <f>AVERAGE(AI8,AN8)</f>
        <v>0.52405362265557842</v>
      </c>
      <c r="AT8" s="191">
        <f>AVERAGE(AJ8,AO8)</f>
        <v>0.56161018291551201</v>
      </c>
      <c r="AU8" s="153">
        <f t="shared" ref="AU8" si="17">-AU7/AU5</f>
        <v>0.55981320134585122</v>
      </c>
    </row>
  </sheetData>
  <pageMargins left="0.7" right="0.7" top="0.75" bottom="0.75" header="0.3" footer="0.3"/>
  <pageSetup paperSize="11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4E608-E41B-E14B-BF96-CB5A735D17BF}">
  <dimension ref="B2:AU25"/>
  <sheetViews>
    <sheetView showGridLines="0" zoomScaleNormal="100" workbookViewId="0">
      <pane xSplit="2" topLeftCell="C1" activePane="topRight" state="frozen"/>
      <selection pane="topRight"/>
    </sheetView>
  </sheetViews>
  <sheetFormatPr defaultColWidth="10.875" defaultRowHeight="15.75" outlineLevelCol="1" x14ac:dyDescent="0.25"/>
  <cols>
    <col min="1" max="1" width="2.625" style="1" customWidth="1"/>
    <col min="2" max="2" width="44.125" style="1" customWidth="1"/>
    <col min="3" max="5" width="12.375" style="1" customWidth="1" outlineLevel="1"/>
    <col min="6" max="6" width="12.5" style="14" customWidth="1" outlineLevel="1"/>
    <col min="7" max="7" width="13" style="14" customWidth="1"/>
    <col min="8" max="11" width="13" style="14" customWidth="1" outlineLevel="1"/>
    <col min="12" max="12" width="13" style="14" customWidth="1"/>
    <col min="13" max="16" width="13" style="14" customWidth="1" outlineLevel="1"/>
    <col min="17" max="17" width="13" style="14" customWidth="1"/>
    <col min="18" max="20" width="13" style="14" customWidth="1" outlineLevel="1"/>
    <col min="21" max="21" width="13" style="1" customWidth="1" outlineLevel="1"/>
    <col min="22" max="22" width="13" style="1" customWidth="1"/>
    <col min="23" max="26" width="13" style="1" customWidth="1" outlineLevel="1"/>
    <col min="27" max="27" width="13" style="1" customWidth="1"/>
    <col min="28" max="31" width="13" style="1" customWidth="1" outlineLevel="1"/>
    <col min="32" max="32" width="13" style="1" customWidth="1"/>
    <col min="33" max="36" width="13" style="1" customWidth="1" outlineLevel="1"/>
    <col min="37" max="37" width="13" style="1" customWidth="1"/>
    <col min="38" max="41" width="13" style="1" customWidth="1" outlineLevel="1"/>
    <col min="42" max="42" width="13" style="1" customWidth="1"/>
    <col min="43" max="46" width="13" style="1" customWidth="1" outlineLevel="1"/>
    <col min="47" max="47" width="13" style="1" customWidth="1"/>
    <col min="48" max="16384" width="10.875" style="1"/>
  </cols>
  <sheetData>
    <row r="2" spans="2:47" x14ac:dyDescent="0.25">
      <c r="B2" s="333" t="s">
        <v>21</v>
      </c>
      <c r="C2" s="235"/>
      <c r="D2" s="235"/>
      <c r="E2" s="235"/>
      <c r="F2" s="236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93"/>
      <c r="S2" s="93"/>
      <c r="T2" s="93"/>
      <c r="U2" s="235"/>
      <c r="V2" s="235"/>
      <c r="W2" s="93"/>
      <c r="X2" s="93"/>
      <c r="Y2" s="93"/>
      <c r="Z2" s="235"/>
      <c r="AA2" s="235"/>
      <c r="AB2" s="93"/>
      <c r="AC2" s="93"/>
      <c r="AD2" s="93"/>
      <c r="AE2" s="235"/>
      <c r="AF2" s="235"/>
      <c r="AG2" s="93"/>
      <c r="AH2" s="93"/>
      <c r="AI2" s="93"/>
      <c r="AJ2" s="235"/>
      <c r="AK2" s="235"/>
      <c r="AL2" s="93"/>
      <c r="AM2" s="93"/>
      <c r="AN2" s="93"/>
      <c r="AO2" s="235"/>
      <c r="AP2" s="235"/>
      <c r="AQ2" s="93"/>
      <c r="AR2" s="93"/>
      <c r="AS2" s="93"/>
      <c r="AT2" s="235"/>
      <c r="AU2" s="235"/>
    </row>
    <row r="3" spans="2:47" x14ac:dyDescent="0.25">
      <c r="B3" s="52" t="s">
        <v>286</v>
      </c>
      <c r="C3" s="329" t="s">
        <v>47</v>
      </c>
      <c r="D3" s="330" t="s">
        <v>48</v>
      </c>
      <c r="E3" s="330" t="s">
        <v>49</v>
      </c>
      <c r="F3" s="330" t="s">
        <v>50</v>
      </c>
      <c r="G3" s="331" t="s">
        <v>23</v>
      </c>
      <c r="H3" s="330" t="s">
        <v>29</v>
      </c>
      <c r="I3" s="330" t="s">
        <v>30</v>
      </c>
      <c r="J3" s="330" t="s">
        <v>31</v>
      </c>
      <c r="K3" s="159" t="s">
        <v>32</v>
      </c>
      <c r="L3" s="332" t="s">
        <v>24</v>
      </c>
      <c r="M3" s="160" t="s">
        <v>33</v>
      </c>
      <c r="N3" s="160" t="s">
        <v>34</v>
      </c>
      <c r="O3" s="160" t="s">
        <v>35</v>
      </c>
      <c r="P3" s="159" t="s">
        <v>146</v>
      </c>
      <c r="Q3" s="332" t="s">
        <v>25</v>
      </c>
      <c r="R3" s="160" t="s">
        <v>44</v>
      </c>
      <c r="S3" s="160" t="s">
        <v>45</v>
      </c>
      <c r="T3" s="160" t="s">
        <v>46</v>
      </c>
      <c r="U3" s="159" t="s">
        <v>161</v>
      </c>
      <c r="V3" s="332" t="s">
        <v>190</v>
      </c>
      <c r="W3" s="160" t="s">
        <v>162</v>
      </c>
      <c r="X3" s="160" t="s">
        <v>163</v>
      </c>
      <c r="Y3" s="160" t="s">
        <v>164</v>
      </c>
      <c r="Z3" s="159" t="s">
        <v>165</v>
      </c>
      <c r="AA3" s="332" t="s">
        <v>192</v>
      </c>
      <c r="AB3" s="160" t="s">
        <v>166</v>
      </c>
      <c r="AC3" s="160" t="s">
        <v>167</v>
      </c>
      <c r="AD3" s="160" t="s">
        <v>168</v>
      </c>
      <c r="AE3" s="159" t="s">
        <v>169</v>
      </c>
      <c r="AF3" s="332" t="s">
        <v>195</v>
      </c>
      <c r="AG3" s="160" t="s">
        <v>170</v>
      </c>
      <c r="AH3" s="160" t="s">
        <v>171</v>
      </c>
      <c r="AI3" s="160" t="s">
        <v>172</v>
      </c>
      <c r="AJ3" s="159" t="s">
        <v>173</v>
      </c>
      <c r="AK3" s="332" t="s">
        <v>198</v>
      </c>
      <c r="AL3" s="160" t="s">
        <v>174</v>
      </c>
      <c r="AM3" s="160" t="s">
        <v>175</v>
      </c>
      <c r="AN3" s="160" t="s">
        <v>176</v>
      </c>
      <c r="AO3" s="159" t="s">
        <v>177</v>
      </c>
      <c r="AP3" s="332" t="s">
        <v>201</v>
      </c>
      <c r="AQ3" s="160" t="s">
        <v>178</v>
      </c>
      <c r="AR3" s="160" t="s">
        <v>179</v>
      </c>
      <c r="AS3" s="160" t="s">
        <v>180</v>
      </c>
      <c r="AT3" s="159" t="s">
        <v>181</v>
      </c>
      <c r="AU3" s="332" t="s">
        <v>204</v>
      </c>
    </row>
    <row r="4" spans="2:47" x14ac:dyDescent="0.25">
      <c r="B4" s="106" t="s">
        <v>52</v>
      </c>
      <c r="C4" s="111"/>
      <c r="D4" s="111"/>
      <c r="E4" s="111"/>
      <c r="F4" s="105"/>
      <c r="G4" s="101"/>
      <c r="H4" s="105"/>
      <c r="I4" s="105"/>
      <c r="J4" s="105"/>
      <c r="K4" s="105"/>
      <c r="L4" s="101"/>
      <c r="M4" s="105"/>
      <c r="N4" s="105"/>
      <c r="O4" s="105"/>
      <c r="P4" s="105"/>
      <c r="Q4" s="101"/>
      <c r="R4" s="105"/>
      <c r="S4" s="105"/>
      <c r="T4" s="105"/>
      <c r="U4" s="105"/>
      <c r="V4" s="101"/>
      <c r="W4" s="105"/>
      <c r="X4" s="105"/>
      <c r="Y4" s="105"/>
      <c r="Z4" s="105"/>
      <c r="AA4" s="101"/>
      <c r="AB4" s="105"/>
      <c r="AC4" s="105"/>
      <c r="AD4" s="105"/>
      <c r="AE4" s="105"/>
      <c r="AF4" s="101"/>
      <c r="AG4" s="105"/>
      <c r="AH4" s="105"/>
      <c r="AI4" s="105"/>
      <c r="AJ4" s="105"/>
      <c r="AK4" s="101"/>
      <c r="AL4" s="105"/>
      <c r="AM4" s="105"/>
      <c r="AN4" s="105"/>
      <c r="AO4" s="105"/>
      <c r="AP4" s="101"/>
      <c r="AQ4" s="105"/>
      <c r="AR4" s="105"/>
      <c r="AS4" s="105"/>
      <c r="AT4" s="105"/>
      <c r="AU4" s="101"/>
    </row>
    <row r="5" spans="2:47" x14ac:dyDescent="0.25">
      <c r="B5" s="95" t="s">
        <v>287</v>
      </c>
      <c r="C5" s="110">
        <f>C6/C7*91.25</f>
        <v>40.483741146168711</v>
      </c>
      <c r="D5" s="110">
        <f t="shared" ref="D5:F5" si="0">D6/D7*91.25</f>
        <v>43.114238690074274</v>
      </c>
      <c r="E5" s="110">
        <f t="shared" si="0"/>
        <v>40.1740234654457</v>
      </c>
      <c r="F5" s="110">
        <f t="shared" si="0"/>
        <v>45.372928176795583</v>
      </c>
      <c r="G5" s="308">
        <f>G6/G7*365</f>
        <v>44.182918628110286</v>
      </c>
      <c r="H5" s="110">
        <f>H6/H7*91.25</f>
        <v>40.17803473033895</v>
      </c>
      <c r="I5" s="110">
        <f t="shared" ref="I5" si="1">I6/I7*91.25</f>
        <v>46.725603070175438</v>
      </c>
      <c r="J5" s="110">
        <f t="shared" ref="J5" si="2">J6/J7*91.25</f>
        <v>40.961410635155097</v>
      </c>
      <c r="K5" s="110">
        <f t="shared" ref="K5" si="3">K6/K7*91.25</f>
        <v>49.299391706648393</v>
      </c>
      <c r="L5" s="308">
        <f>L6/L7*365</f>
        <v>47.818382016869577</v>
      </c>
      <c r="M5" s="110">
        <f>M6/M7*91.25</f>
        <v>40.96758587324625</v>
      </c>
      <c r="N5" s="110">
        <f t="shared" ref="N5" si="4">N6/N7*91.25</f>
        <v>48.515840220385677</v>
      </c>
      <c r="O5" s="110">
        <f t="shared" ref="O5" si="5">O6/O7*91.25</f>
        <v>44.680315579037554</v>
      </c>
      <c r="P5" s="110">
        <f t="shared" ref="P5" si="6">P6/P7*91.25</f>
        <v>52.370826709062001</v>
      </c>
      <c r="Q5" s="308">
        <f>Q6/Q7*365</f>
        <v>52.076910916133109</v>
      </c>
      <c r="R5" s="110">
        <f>R6/R7*91.25</f>
        <v>47.472860125260958</v>
      </c>
      <c r="S5" s="110">
        <f t="shared" ref="S5" si="7">S6/S7*91.25</f>
        <v>53.18741653064253</v>
      </c>
      <c r="T5" s="110">
        <f t="shared" ref="T5" si="8">T6/T7*91.25</f>
        <v>47.893457943925227</v>
      </c>
      <c r="U5" s="110">
        <f>AVERAGE(K5,P5)</f>
        <v>50.835109207855197</v>
      </c>
      <c r="V5" s="308">
        <f t="shared" ref="V5:AU6" si="9">AVERAGE(L5,Q5)</f>
        <v>49.94764646650134</v>
      </c>
      <c r="W5" s="110">
        <f>W6/W7*91.25</f>
        <v>40.895553402889782</v>
      </c>
      <c r="X5" s="110">
        <f t="shared" ref="X5" si="10">X6/X7*91.25</f>
        <v>46.904681519622891</v>
      </c>
      <c r="Y5" s="110">
        <f t="shared" ref="Y5" si="11">Y6/Y7*91.25</f>
        <v>42.897030147039153</v>
      </c>
      <c r="Z5" s="110">
        <f t="shared" ref="Z5" si="12">Z6/Z7*91.25</f>
        <v>49.449394038870743</v>
      </c>
      <c r="AA5" s="308">
        <f>AA6/AA7*365</f>
        <v>44.491423542164995</v>
      </c>
      <c r="AB5" s="110">
        <f>AB6/AB7*91.25</f>
        <v>43.336165240971333</v>
      </c>
      <c r="AC5" s="110">
        <f t="shared" ref="AC5" si="13">AC6/AC7*91.25</f>
        <v>49.089112707035106</v>
      </c>
      <c r="AD5" s="110">
        <f t="shared" ref="AD5" si="14">AD6/AD7*91.25</f>
        <v>44.529410998845229</v>
      </c>
      <c r="AE5" s="110">
        <f t="shared" ref="AE5" si="15">AE6/AE7*91.25</f>
        <v>48.031330170034977</v>
      </c>
      <c r="AF5" s="308">
        <f>AF6/AF7*365</f>
        <v>43.215539753809203</v>
      </c>
      <c r="AG5" s="110">
        <f>AG6/AG7*91.25</f>
        <v>41.334481307509883</v>
      </c>
      <c r="AH5" s="110">
        <f t="shared" ref="AH5" si="16">AH6/AH7*91.25</f>
        <v>47.104559668997133</v>
      </c>
      <c r="AI5" s="110">
        <f t="shared" ref="AI5" si="17">AI6/AI7*91.25</f>
        <v>42.899417871734272</v>
      </c>
      <c r="AJ5" s="110">
        <f t="shared" ref="AJ5" si="18">AJ6/AJ7*91.25</f>
        <v>47.822944888094</v>
      </c>
      <c r="AK5" s="308">
        <f>AK6/AK7*365</f>
        <v>43.028047914546185</v>
      </c>
      <c r="AL5" s="110">
        <f>AL6/AL7*91.25</f>
        <v>41.536081408204574</v>
      </c>
      <c r="AM5" s="110">
        <f t="shared" ref="AM5" si="19">AM6/AM7*91.25</f>
        <v>47.189720023377888</v>
      </c>
      <c r="AN5" s="110">
        <f t="shared" ref="AN5" si="20">AN6/AN7*91.25</f>
        <v>42.890489498463097</v>
      </c>
      <c r="AO5" s="110">
        <f t="shared" ref="AO5" si="21">AO6/AO7*91.25</f>
        <v>47.028699015252315</v>
      </c>
      <c r="AP5" s="308">
        <f>AP6/AP7*365</f>
        <v>42.313435931688751</v>
      </c>
      <c r="AQ5" s="110">
        <f>AQ6/AQ7*91.25</f>
        <v>40.659720566090527</v>
      </c>
      <c r="AR5" s="110">
        <f t="shared" ref="AR5" si="22">AR6/AR7*91.25</f>
        <v>46.264221388792834</v>
      </c>
      <c r="AS5" s="110">
        <f t="shared" ref="AS5" si="23">AS6/AS7*91.25</f>
        <v>42.091397866054336</v>
      </c>
      <c r="AT5" s="110">
        <f t="shared" ref="AT5" si="24">AT6/AT7*91.25</f>
        <v>46.534960568197747</v>
      </c>
      <c r="AU5" s="308">
        <f>AU6/AU7*365</f>
        <v>41.869201441177339</v>
      </c>
    </row>
    <row r="6" spans="2:47" x14ac:dyDescent="0.25">
      <c r="B6" s="303" t="s">
        <v>288</v>
      </c>
      <c r="C6" s="110">
        <f>'Balance Sheet'!C6</f>
        <v>2756</v>
      </c>
      <c r="D6" s="110">
        <f>'Balance Sheet'!D6</f>
        <v>2799</v>
      </c>
      <c r="E6" s="110">
        <f>'Balance Sheet'!E6</f>
        <v>3077</v>
      </c>
      <c r="F6" s="110">
        <f>'Balance Sheet'!F6</f>
        <v>3060</v>
      </c>
      <c r="G6" s="308">
        <f>'Balance Sheet'!G6</f>
        <v>3060</v>
      </c>
      <c r="H6" s="110">
        <f>'Balance Sheet'!H6</f>
        <v>2637</v>
      </c>
      <c r="I6" s="110">
        <f>'Balance Sheet'!I6</f>
        <v>2802</v>
      </c>
      <c r="J6" s="110">
        <f>'Balance Sheet'!J6</f>
        <v>3039</v>
      </c>
      <c r="K6" s="110">
        <f>'Balance Sheet'!K6</f>
        <v>3153</v>
      </c>
      <c r="L6" s="308">
        <f>'Balance Sheet'!L6</f>
        <v>3153</v>
      </c>
      <c r="M6" s="110">
        <f>'Balance Sheet'!M6</f>
        <v>2784</v>
      </c>
      <c r="N6" s="110">
        <f>'Balance Sheet'!N6</f>
        <v>3088</v>
      </c>
      <c r="O6" s="110">
        <f>'Balance Sheet'!O6</f>
        <v>3429</v>
      </c>
      <c r="P6" s="110">
        <f>'Balance Sheet'!P6</f>
        <v>3610</v>
      </c>
      <c r="Q6" s="308">
        <f>'Balance Sheet'!Q6</f>
        <v>3610</v>
      </c>
      <c r="R6" s="110">
        <f>'Balance Sheet'!R6</f>
        <v>3738</v>
      </c>
      <c r="S6" s="110">
        <f>'Balance Sheet'!S6</f>
        <v>3928</v>
      </c>
      <c r="T6" s="110">
        <f>'Balance Sheet'!T6</f>
        <v>4212</v>
      </c>
      <c r="U6" s="110">
        <f>AVERAGE(K6,P6)</f>
        <v>3381.5</v>
      </c>
      <c r="V6" s="308">
        <f t="shared" si="9"/>
        <v>3381.5</v>
      </c>
      <c r="W6" s="110">
        <f t="shared" si="9"/>
        <v>3261</v>
      </c>
      <c r="X6" s="110">
        <f t="shared" si="9"/>
        <v>3508</v>
      </c>
      <c r="Y6" s="110">
        <f t="shared" si="9"/>
        <v>3820.5</v>
      </c>
      <c r="Z6" s="110">
        <f t="shared" si="9"/>
        <v>3495.75</v>
      </c>
      <c r="AA6" s="308">
        <f t="shared" si="9"/>
        <v>3495.75</v>
      </c>
      <c r="AB6" s="110">
        <f t="shared" si="9"/>
        <v>3499.5</v>
      </c>
      <c r="AC6" s="110">
        <f t="shared" si="9"/>
        <v>3718</v>
      </c>
      <c r="AD6" s="110">
        <f t="shared" si="9"/>
        <v>4016.25</v>
      </c>
      <c r="AE6" s="110">
        <f t="shared" si="9"/>
        <v>3438.625</v>
      </c>
      <c r="AF6" s="308">
        <f t="shared" si="9"/>
        <v>3438.625</v>
      </c>
      <c r="AG6" s="110">
        <f t="shared" si="9"/>
        <v>3380.25</v>
      </c>
      <c r="AH6" s="110">
        <f t="shared" si="9"/>
        <v>3613</v>
      </c>
      <c r="AI6" s="110">
        <f t="shared" si="9"/>
        <v>3918.375</v>
      </c>
      <c r="AJ6" s="110">
        <f t="shared" si="9"/>
        <v>3467.1875</v>
      </c>
      <c r="AK6" s="308">
        <f t="shared" si="9"/>
        <v>3467.1875</v>
      </c>
      <c r="AL6" s="110">
        <f t="shared" si="9"/>
        <v>3439.875</v>
      </c>
      <c r="AM6" s="110">
        <f t="shared" si="9"/>
        <v>3665.5</v>
      </c>
      <c r="AN6" s="110">
        <f t="shared" si="9"/>
        <v>3967.3125</v>
      </c>
      <c r="AO6" s="110">
        <f t="shared" si="9"/>
        <v>3452.90625</v>
      </c>
      <c r="AP6" s="308">
        <f t="shared" si="9"/>
        <v>3452.90625</v>
      </c>
      <c r="AQ6" s="110">
        <f t="shared" si="9"/>
        <v>3410.0625</v>
      </c>
      <c r="AR6" s="110">
        <f t="shared" si="9"/>
        <v>3639.25</v>
      </c>
      <c r="AS6" s="110">
        <f t="shared" si="9"/>
        <v>3942.84375</v>
      </c>
      <c r="AT6" s="110">
        <f t="shared" si="9"/>
        <v>3460.046875</v>
      </c>
      <c r="AU6" s="308">
        <f t="shared" si="9"/>
        <v>3460.046875</v>
      </c>
    </row>
    <row r="7" spans="2:47" x14ac:dyDescent="0.25">
      <c r="B7" s="303" t="s">
        <v>151</v>
      </c>
      <c r="C7" s="110">
        <f>'Income Statement'!C4</f>
        <v>6212</v>
      </c>
      <c r="D7" s="110">
        <f>'Income Statement'!D4</f>
        <v>5924</v>
      </c>
      <c r="E7" s="110">
        <f>'Income Statement'!E4</f>
        <v>6989</v>
      </c>
      <c r="F7" s="110">
        <f>'Income Statement'!F4</f>
        <v>6154</v>
      </c>
      <c r="G7" s="308">
        <f>'Income Statement'!G4</f>
        <v>25279</v>
      </c>
      <c r="H7" s="110">
        <f>'Income Statement'!H4</f>
        <v>5989</v>
      </c>
      <c r="I7" s="110">
        <f>'Income Statement'!I4</f>
        <v>5472</v>
      </c>
      <c r="J7" s="110">
        <f>'Income Statement'!J4</f>
        <v>6770</v>
      </c>
      <c r="K7" s="110">
        <f>'Income Statement'!K4</f>
        <v>5836</v>
      </c>
      <c r="L7" s="308">
        <f>'Income Statement'!L4</f>
        <v>24067</v>
      </c>
      <c r="M7" s="110">
        <f>'Income Statement'!M4</f>
        <v>6201</v>
      </c>
      <c r="N7" s="110">
        <f>'Income Statement'!N4</f>
        <v>5808</v>
      </c>
      <c r="O7" s="110">
        <f>'Income Statement'!O4</f>
        <v>7003</v>
      </c>
      <c r="P7" s="110">
        <f>'Income Statement'!P4</f>
        <v>6290</v>
      </c>
      <c r="Q7" s="308">
        <f>'Income Statement'!Q4</f>
        <v>25302</v>
      </c>
      <c r="R7" s="110">
        <f>'Income Statement'!R4</f>
        <v>7185</v>
      </c>
      <c r="S7" s="110">
        <f>'Income Statement'!S4</f>
        <v>6739</v>
      </c>
      <c r="T7" s="110">
        <f>'Income Statement'!T4</f>
        <v>8025</v>
      </c>
      <c r="U7" s="110">
        <f>'Income Statement'!U4</f>
        <v>6369.8829999999998</v>
      </c>
      <c r="V7" s="308">
        <f>'Income Statement'!V4</f>
        <v>26528.917700000002</v>
      </c>
      <c r="W7" s="110">
        <f>'Income Statement'!W4</f>
        <v>7276.249499999999</v>
      </c>
      <c r="X7" s="110">
        <f>'Income Statement'!X4</f>
        <v>6824.5852999999997</v>
      </c>
      <c r="Y7" s="110">
        <f>'Income Statement'!Y4</f>
        <v>8126.9174999999987</v>
      </c>
      <c r="Z7" s="110">
        <f>'Income Statement'!Z4</f>
        <v>6450.780514099999</v>
      </c>
      <c r="AA7" s="308">
        <f>'Income Statement'!AA4</f>
        <v>28678.532814099995</v>
      </c>
      <c r="AB7" s="110">
        <f>'Income Statement'!AB4</f>
        <v>7368.6578686499988</v>
      </c>
      <c r="AC7" s="110">
        <f>'Income Statement'!AC4</f>
        <v>6911.2575333099994</v>
      </c>
      <c r="AD7" s="110">
        <f>'Income Statement'!AD4</f>
        <v>8230.1293522499982</v>
      </c>
      <c r="AE7" s="110">
        <f>'Income Statement'!AE4</f>
        <v>6532.7054266290688</v>
      </c>
      <c r="AF7" s="308">
        <f>'Income Statement'!AF4</f>
        <v>29042.750180839066</v>
      </c>
      <c r="AG7" s="110">
        <f>'Income Statement'!AG4</f>
        <v>7462.2398235818537</v>
      </c>
      <c r="AH7" s="110">
        <f>'Income Statement'!AH4</f>
        <v>6999.0305039830355</v>
      </c>
      <c r="AI7" s="110">
        <f>'Income Statement'!AI4</f>
        <v>8334.6519950235743</v>
      </c>
      <c r="AJ7" s="110">
        <f>'Income Statement'!AJ4</f>
        <v>6615.6707855472569</v>
      </c>
      <c r="AK7" s="308">
        <f>'Income Statement'!AK4</f>
        <v>29411.593108135719</v>
      </c>
      <c r="AL7" s="110">
        <f>'Income Statement'!AL4</f>
        <v>7557.0102693413428</v>
      </c>
      <c r="AM7" s="110">
        <f>'Income Statement'!AM4</f>
        <v>7087.9181913836201</v>
      </c>
      <c r="AN7" s="110">
        <f>'Income Statement'!AN4</f>
        <v>8440.5020753603712</v>
      </c>
      <c r="AO7" s="110">
        <f>'Income Statement'!AO4</f>
        <v>6699.6898045237067</v>
      </c>
      <c r="AP7" s="308">
        <f>'Income Statement'!AP4</f>
        <v>29785.120340609039</v>
      </c>
      <c r="AQ7" s="110">
        <f>'Income Statement'!AQ4</f>
        <v>7652.9842997619771</v>
      </c>
      <c r="AR7" s="110">
        <f>'Income Statement'!AR4</f>
        <v>7177.9347524141913</v>
      </c>
      <c r="AS7" s="110">
        <f>'Income Statement'!AS4</f>
        <v>8547.6964517174474</v>
      </c>
      <c r="AT7" s="110">
        <f>'Income Statement'!AT4</f>
        <v>6784.7758650411579</v>
      </c>
      <c r="AU7" s="308">
        <f>'Income Statement'!AU4</f>
        <v>30163.391368934776</v>
      </c>
    </row>
    <row r="8" spans="2:47" x14ac:dyDescent="0.25">
      <c r="B8" s="305" t="s">
        <v>290</v>
      </c>
      <c r="C8" s="110">
        <f>C9/C10*91.25</f>
        <v>84.368852459016395</v>
      </c>
      <c r="D8" s="110">
        <f t="shared" ref="D8" si="25">D9/D10*91.25</f>
        <v>92.350444303395747</v>
      </c>
      <c r="E8" s="110">
        <f t="shared" ref="E8" si="26">E9/E10*91.25</f>
        <v>80.773148148148152</v>
      </c>
      <c r="F8" s="110">
        <f t="shared" ref="F8" si="27">F9/F10*91.25</f>
        <v>84.190693691121893</v>
      </c>
      <c r="G8" s="308">
        <f>G9/G10*365</f>
        <v>87.260892077816408</v>
      </c>
      <c r="H8" s="110">
        <f>H9/H10*91.25</f>
        <v>101.61306532663316</v>
      </c>
      <c r="I8" s="110">
        <f t="shared" ref="I8" si="28">I9/I10*91.25</f>
        <v>108.70019920318725</v>
      </c>
      <c r="J8" s="110">
        <f t="shared" ref="J8" si="29">J9/J10*91.25</f>
        <v>87.15194610778444</v>
      </c>
      <c r="K8" s="110">
        <f t="shared" ref="K8" si="30">K9/K10*91.25</f>
        <v>89.943588546529725</v>
      </c>
      <c r="L8" s="308">
        <f>L9/L10*365</f>
        <v>93.987722579071459</v>
      </c>
      <c r="M8" s="110">
        <f>M9/M10*91.25</f>
        <v>89.934315924383213</v>
      </c>
      <c r="N8" s="110">
        <f t="shared" ref="N8" si="31">N9/N10*91.25</f>
        <v>94.737861570247929</v>
      </c>
      <c r="O8" s="110">
        <f t="shared" ref="O8" si="32">O9/O10*91.25</f>
        <v>77.240221833041446</v>
      </c>
      <c r="P8" s="110">
        <f t="shared" ref="P8" si="33">P9/P10*91.25</f>
        <v>82.204660658969303</v>
      </c>
      <c r="Q8" s="308">
        <f>Q9/Q10*365</f>
        <v>89.804260882941094</v>
      </c>
      <c r="R8" s="110">
        <f>R9/R10*91.25</f>
        <v>73.664396639511196</v>
      </c>
      <c r="S8" s="110">
        <f t="shared" ref="S8" si="34">S9/S10*91.25</f>
        <v>81.133592017738366</v>
      </c>
      <c r="T8" s="110">
        <f t="shared" ref="T8" si="35">T9/T10*91.25</f>
        <v>75.543387939221276</v>
      </c>
      <c r="U8" s="110">
        <f t="shared" ref="U8" si="36">U9/U10*91.25</f>
        <v>0</v>
      </c>
      <c r="V8" s="308">
        <f>V9/V10*365</f>
        <v>0</v>
      </c>
      <c r="W8" s="110">
        <f>W9/W10*91.25</f>
        <v>0</v>
      </c>
      <c r="X8" s="110">
        <f t="shared" ref="X8" si="37">X9/X10*91.25</f>
        <v>0</v>
      </c>
      <c r="Y8" s="110">
        <f t="shared" ref="Y8" si="38">Y9/Y10*91.25</f>
        <v>0</v>
      </c>
      <c r="Z8" s="110">
        <f t="shared" ref="Z8" si="39">Z9/Z10*91.25</f>
        <v>0</v>
      </c>
      <c r="AA8" s="308">
        <f>AA9/AA10*365</f>
        <v>0</v>
      </c>
      <c r="AB8" s="110">
        <f>AB9/AB10*91.25</f>
        <v>0</v>
      </c>
      <c r="AC8" s="110">
        <f t="shared" ref="AC8" si="40">AC9/AC10*91.25</f>
        <v>0</v>
      </c>
      <c r="AD8" s="110">
        <f t="shared" ref="AD8" si="41">AD9/AD10*91.25</f>
        <v>0</v>
      </c>
      <c r="AE8" s="110">
        <f t="shared" ref="AE8" si="42">AE9/AE10*91.25</f>
        <v>0</v>
      </c>
      <c r="AF8" s="308">
        <f>AF9/AF10*365</f>
        <v>0</v>
      </c>
      <c r="AG8" s="110">
        <f>AG9/AG10*91.25</f>
        <v>0</v>
      </c>
      <c r="AH8" s="110">
        <f t="shared" ref="AH8" si="43">AH9/AH10*91.25</f>
        <v>0</v>
      </c>
      <c r="AI8" s="110">
        <f t="shared" ref="AI8" si="44">AI9/AI10*91.25</f>
        <v>0</v>
      </c>
      <c r="AJ8" s="110">
        <f t="shared" ref="AJ8" si="45">AJ9/AJ10*91.25</f>
        <v>0</v>
      </c>
      <c r="AK8" s="308">
        <f>AK9/AK10*365</f>
        <v>0</v>
      </c>
      <c r="AL8" s="110">
        <f>AL9/AL10*91.25</f>
        <v>0</v>
      </c>
      <c r="AM8" s="110">
        <f t="shared" ref="AM8" si="46">AM9/AM10*91.25</f>
        <v>0</v>
      </c>
      <c r="AN8" s="110">
        <f t="shared" ref="AN8" si="47">AN9/AN10*91.25</f>
        <v>0</v>
      </c>
      <c r="AO8" s="110">
        <f t="shared" ref="AO8" si="48">AO9/AO10*91.25</f>
        <v>0</v>
      </c>
      <c r="AP8" s="308">
        <f>AP9/AP10*365</f>
        <v>0</v>
      </c>
      <c r="AQ8" s="110">
        <f>AQ9/AQ10*91.25</f>
        <v>0</v>
      </c>
      <c r="AR8" s="110">
        <f t="shared" ref="AR8" si="49">AR9/AR10*91.25</f>
        <v>0</v>
      </c>
      <c r="AS8" s="110">
        <f t="shared" ref="AS8" si="50">AS9/AS10*91.25</f>
        <v>0</v>
      </c>
      <c r="AT8" s="110">
        <f t="shared" ref="AT8" si="51">AT9/AT10*91.25</f>
        <v>0</v>
      </c>
      <c r="AU8" s="308">
        <f>AU9/AU10*365</f>
        <v>0</v>
      </c>
    </row>
    <row r="9" spans="2:47" x14ac:dyDescent="0.25">
      <c r="B9" s="303" t="s">
        <v>55</v>
      </c>
      <c r="C9" s="110">
        <f>'Balance Sheet'!C7</f>
        <v>3102</v>
      </c>
      <c r="D9" s="110">
        <f>'Balance Sheet'!D7</f>
        <v>3189</v>
      </c>
      <c r="E9" s="110">
        <f>'Balance Sheet'!E7</f>
        <v>3107</v>
      </c>
      <c r="F9" s="110">
        <f>'Balance Sheet'!F7</f>
        <v>3232</v>
      </c>
      <c r="G9" s="308">
        <f>'Balance Sheet'!G7</f>
        <v>3232</v>
      </c>
      <c r="H9" s="110">
        <f>'Balance Sheet'!H7</f>
        <v>3324</v>
      </c>
      <c r="I9" s="110">
        <f>'Balance Sheet'!I7</f>
        <v>3289</v>
      </c>
      <c r="J9" s="110">
        <f>'Balance Sheet'!J7</f>
        <v>3190</v>
      </c>
      <c r="K9" s="110">
        <f>'Balance Sheet'!K7</f>
        <v>3167</v>
      </c>
      <c r="L9" s="308">
        <f>'Balance Sheet'!L7</f>
        <v>3167</v>
      </c>
      <c r="M9" s="110">
        <f>'Balance Sheet'!M7</f>
        <v>3076</v>
      </c>
      <c r="N9" s="110">
        <f>'Balance Sheet'!N7</f>
        <v>3015</v>
      </c>
      <c r="O9" s="110">
        <f>'Balance Sheet'!O7</f>
        <v>2900</v>
      </c>
      <c r="P9" s="110">
        <f>'Balance Sheet'!P7</f>
        <v>3199</v>
      </c>
      <c r="Q9" s="308">
        <f>'Balance Sheet'!Q7</f>
        <v>3199</v>
      </c>
      <c r="R9" s="110">
        <f>'Balance Sheet'!R7</f>
        <v>3171</v>
      </c>
      <c r="S9" s="110">
        <f>'Balance Sheet'!S7</f>
        <v>3208</v>
      </c>
      <c r="T9" s="110">
        <f>'Balance Sheet'!T7</f>
        <v>3487</v>
      </c>
      <c r="U9" s="110">
        <f>'Balance Sheet'!U7</f>
        <v>0</v>
      </c>
      <c r="V9" s="308">
        <f>'Balance Sheet'!V7</f>
        <v>0</v>
      </c>
      <c r="W9" s="110">
        <f>'Balance Sheet'!W7</f>
        <v>0</v>
      </c>
      <c r="X9" s="110">
        <f>'Balance Sheet'!X7</f>
        <v>0</v>
      </c>
      <c r="Y9" s="110">
        <f>'Balance Sheet'!Y7</f>
        <v>0</v>
      </c>
      <c r="Z9" s="110">
        <f>'Balance Sheet'!Z7</f>
        <v>0</v>
      </c>
      <c r="AA9" s="308">
        <f>'Balance Sheet'!AA7</f>
        <v>0</v>
      </c>
      <c r="AB9" s="110">
        <f>'Balance Sheet'!AB7</f>
        <v>0</v>
      </c>
      <c r="AC9" s="110">
        <f>'Balance Sheet'!AC7</f>
        <v>0</v>
      </c>
      <c r="AD9" s="110">
        <f>'Balance Sheet'!AD7</f>
        <v>0</v>
      </c>
      <c r="AE9" s="110">
        <f>'Balance Sheet'!AE7</f>
        <v>0</v>
      </c>
      <c r="AF9" s="308">
        <f>'Balance Sheet'!AF7</f>
        <v>0</v>
      </c>
      <c r="AG9" s="110">
        <f>'Balance Sheet'!AG7</f>
        <v>0</v>
      </c>
      <c r="AH9" s="110">
        <f>'Balance Sheet'!AH7</f>
        <v>0</v>
      </c>
      <c r="AI9" s="110">
        <f>'Balance Sheet'!AI7</f>
        <v>0</v>
      </c>
      <c r="AJ9" s="110">
        <f>'Balance Sheet'!AJ7</f>
        <v>0</v>
      </c>
      <c r="AK9" s="308">
        <f>'Balance Sheet'!AK7</f>
        <v>0</v>
      </c>
      <c r="AL9" s="110">
        <f>'Balance Sheet'!AL7</f>
        <v>0</v>
      </c>
      <c r="AM9" s="110">
        <f>'Balance Sheet'!AM7</f>
        <v>0</v>
      </c>
      <c r="AN9" s="110">
        <f>'Balance Sheet'!AN7</f>
        <v>0</v>
      </c>
      <c r="AO9" s="110">
        <f>'Balance Sheet'!AO7</f>
        <v>0</v>
      </c>
      <c r="AP9" s="308">
        <f>'Balance Sheet'!AP7</f>
        <v>0</v>
      </c>
      <c r="AQ9" s="110">
        <f>'Balance Sheet'!AQ7</f>
        <v>0</v>
      </c>
      <c r="AR9" s="110">
        <f>'Balance Sheet'!AR7</f>
        <v>0</v>
      </c>
      <c r="AS9" s="110">
        <f>'Balance Sheet'!AS7</f>
        <v>0</v>
      </c>
      <c r="AT9" s="110">
        <f>'Balance Sheet'!AT7</f>
        <v>0</v>
      </c>
      <c r="AU9" s="308">
        <f>'Balance Sheet'!AU7</f>
        <v>0</v>
      </c>
    </row>
    <row r="10" spans="2:47" x14ac:dyDescent="0.25">
      <c r="B10" s="303" t="s">
        <v>289</v>
      </c>
      <c r="C10" s="110">
        <f>'Income Statement'!C6</f>
        <v>3355</v>
      </c>
      <c r="D10" s="110">
        <f>'Income Statement'!D6</f>
        <v>3151</v>
      </c>
      <c r="E10" s="110">
        <f>'Income Statement'!E6</f>
        <v>3510</v>
      </c>
      <c r="F10" s="110">
        <f>'Income Statement'!F6</f>
        <v>3503</v>
      </c>
      <c r="G10" s="308">
        <f>'Income Statement'!G6</f>
        <v>13519</v>
      </c>
      <c r="H10" s="110">
        <f>'Income Statement'!H6</f>
        <v>2985</v>
      </c>
      <c r="I10" s="110">
        <f>'Income Statement'!I6</f>
        <v>2761</v>
      </c>
      <c r="J10" s="110">
        <f>'Income Statement'!J6</f>
        <v>3340</v>
      </c>
      <c r="K10" s="110">
        <f>'Income Statement'!K6</f>
        <v>3213</v>
      </c>
      <c r="L10" s="308">
        <f>'Income Statement'!L6</f>
        <v>12299</v>
      </c>
      <c r="M10" s="110">
        <f>'Income Statement'!M6</f>
        <v>3121</v>
      </c>
      <c r="N10" s="110">
        <f>'Income Statement'!N6</f>
        <v>2904</v>
      </c>
      <c r="O10" s="110">
        <f>'Income Statement'!O6</f>
        <v>3426</v>
      </c>
      <c r="P10" s="110">
        <f>'Income Statement'!P6</f>
        <v>3551</v>
      </c>
      <c r="Q10" s="308">
        <f>'Income Statement'!Q6</f>
        <v>13002</v>
      </c>
      <c r="R10" s="110">
        <f>'Income Statement'!R6</f>
        <v>3928</v>
      </c>
      <c r="S10" s="110">
        <f>'Income Statement'!S6</f>
        <v>3608</v>
      </c>
      <c r="T10" s="110">
        <f>'Income Statement'!T6</f>
        <v>4212</v>
      </c>
      <c r="U10" s="110">
        <f>'Income Statement'!U6</f>
        <v>3233.0188945681971</v>
      </c>
      <c r="V10" s="308">
        <f>'Income Statement'!V6</f>
        <v>14981.018894568197</v>
      </c>
      <c r="W10" s="110">
        <f>'Income Statement'!W6</f>
        <v>3456.2200435534583</v>
      </c>
      <c r="X10" s="110">
        <f>'Income Statement'!X6</f>
        <v>3191.8278599999994</v>
      </c>
      <c r="Y10" s="110">
        <f>'Income Statement'!Y6</f>
        <v>3714.3211699950016</v>
      </c>
      <c r="Z10" s="110">
        <f>'Income Statement'!Z6</f>
        <v>3135.384161954606</v>
      </c>
      <c r="AA10" s="308">
        <f>'Income Statement'!AA6</f>
        <v>13497.753235503065</v>
      </c>
      <c r="AB10" s="110">
        <f>'Income Statement'!AB6</f>
        <v>3395.8264991807932</v>
      </c>
      <c r="AC10" s="110">
        <f>'Income Statement'!AC6</f>
        <v>3120.7317274054999</v>
      </c>
      <c r="AD10" s="110">
        <f>'Income Statement'!AD6</f>
        <v>3629.0721335544686</v>
      </c>
      <c r="AE10" s="110">
        <f>'Income Statement'!AE6</f>
        <v>2918.7960131281284</v>
      </c>
      <c r="AF10" s="308">
        <f>'Income Statement'!AF6</f>
        <v>13064.426373268891</v>
      </c>
      <c r="AG10" s="110">
        <f>'Income Statement'!AG6</f>
        <v>3118.6474998763724</v>
      </c>
      <c r="AH10" s="110">
        <f>'Income Statement'!AH6</f>
        <v>2866.9385337523918</v>
      </c>
      <c r="AI10" s="110">
        <f>'Income Statement'!AI6</f>
        <v>3325.4800803613184</v>
      </c>
      <c r="AJ10" s="110">
        <f>'Income Statement'!AJ6</f>
        <v>2754.9131348599317</v>
      </c>
      <c r="AK10" s="308">
        <f>'Income Statement'!AK6</f>
        <v>12065.979248850013</v>
      </c>
      <c r="AL10" s="110">
        <f>'Income Statement'!AL6</f>
        <v>2942.5907506533531</v>
      </c>
      <c r="AM10" s="110">
        <f>'Income Statement'!AM6</f>
        <v>2697.5292450472989</v>
      </c>
      <c r="AN10" s="110">
        <f>'Income Statement'!AN6</f>
        <v>3122.7496843185213</v>
      </c>
      <c r="AO10" s="110">
        <f>'Income Statement'!AO6</f>
        <v>2556.6678778454107</v>
      </c>
      <c r="AP10" s="308">
        <f>'Income Statement'!AP6</f>
        <v>11319.537557864584</v>
      </c>
      <c r="AQ10" s="110">
        <f>'Income Statement'!AQ6</f>
        <v>2706.5136881194703</v>
      </c>
      <c r="AR10" s="110">
        <f>'Income Statement'!AR6</f>
        <v>2477.1077861218955</v>
      </c>
      <c r="AS10" s="110">
        <f>'Income Statement'!AS6</f>
        <v>2859.0613006111389</v>
      </c>
      <c r="AT10" s="110">
        <f>'Income Statement'!AT6</f>
        <v>2367.996120907414</v>
      </c>
      <c r="AU10" s="308">
        <f>'Income Statement'!AU6</f>
        <v>10410.678895759918</v>
      </c>
    </row>
    <row r="11" spans="2:47" x14ac:dyDescent="0.25">
      <c r="B11" s="303"/>
      <c r="C11" s="110"/>
      <c r="D11" s="110"/>
      <c r="E11" s="110"/>
      <c r="F11" s="110"/>
      <c r="G11" s="308"/>
      <c r="H11" s="110"/>
      <c r="I11" s="110"/>
      <c r="J11" s="110"/>
      <c r="K11" s="110"/>
      <c r="L11" s="308"/>
      <c r="M11" s="110"/>
      <c r="N11" s="110"/>
      <c r="O11" s="110"/>
      <c r="P11" s="110"/>
      <c r="Q11" s="308"/>
      <c r="R11" s="110"/>
      <c r="S11" s="110"/>
      <c r="T11" s="110"/>
      <c r="U11" s="110"/>
      <c r="V11" s="308"/>
      <c r="W11" s="110"/>
      <c r="X11" s="110"/>
      <c r="Y11" s="110"/>
      <c r="Z11" s="110"/>
      <c r="AA11" s="308"/>
      <c r="AB11" s="110"/>
      <c r="AC11" s="110"/>
      <c r="AD11" s="110"/>
      <c r="AE11" s="110"/>
      <c r="AF11" s="308"/>
      <c r="AG11" s="110"/>
      <c r="AH11" s="110"/>
      <c r="AI11" s="110"/>
      <c r="AJ11" s="110"/>
      <c r="AK11" s="308"/>
      <c r="AL11" s="110"/>
      <c r="AM11" s="110"/>
      <c r="AN11" s="110"/>
      <c r="AO11" s="110"/>
      <c r="AP11" s="308"/>
      <c r="AQ11" s="110"/>
      <c r="AR11" s="110"/>
      <c r="AS11" s="110"/>
      <c r="AT11" s="110"/>
      <c r="AU11" s="308"/>
    </row>
    <row r="12" spans="2:47" x14ac:dyDescent="0.25">
      <c r="B12" s="322" t="s">
        <v>66</v>
      </c>
      <c r="C12" s="323">
        <f>C5+C8</f>
        <v>124.85259360518511</v>
      </c>
      <c r="D12" s="323">
        <f t="shared" ref="D12:T12" si="52">D5+D8</f>
        <v>135.46468299347003</v>
      </c>
      <c r="E12" s="323">
        <f t="shared" si="52"/>
        <v>120.94717161359385</v>
      </c>
      <c r="F12" s="323">
        <f t="shared" si="52"/>
        <v>129.56362186791748</v>
      </c>
      <c r="G12" s="324">
        <f t="shared" si="52"/>
        <v>131.44381070592669</v>
      </c>
      <c r="H12" s="323">
        <f t="shared" si="52"/>
        <v>141.79110005697211</v>
      </c>
      <c r="I12" s="323">
        <f t="shared" si="52"/>
        <v>155.42580227336271</v>
      </c>
      <c r="J12" s="323">
        <f t="shared" si="52"/>
        <v>128.11335674293954</v>
      </c>
      <c r="K12" s="323">
        <f t="shared" si="52"/>
        <v>139.24298025317813</v>
      </c>
      <c r="L12" s="324">
        <f t="shared" si="52"/>
        <v>141.80610459594104</v>
      </c>
      <c r="M12" s="323">
        <f t="shared" si="52"/>
        <v>130.90190179762948</v>
      </c>
      <c r="N12" s="323">
        <f t="shared" si="52"/>
        <v>143.25370179063361</v>
      </c>
      <c r="O12" s="323">
        <f t="shared" si="52"/>
        <v>121.920537412079</v>
      </c>
      <c r="P12" s="323">
        <f t="shared" si="52"/>
        <v>134.5754873680313</v>
      </c>
      <c r="Q12" s="324">
        <f t="shared" si="52"/>
        <v>141.8811717990742</v>
      </c>
      <c r="R12" s="323">
        <f t="shared" si="52"/>
        <v>121.13725676477216</v>
      </c>
      <c r="S12" s="323">
        <f t="shared" si="52"/>
        <v>134.32100854838089</v>
      </c>
      <c r="T12" s="323">
        <f t="shared" si="52"/>
        <v>123.4368458831465</v>
      </c>
      <c r="U12" s="323">
        <f t="shared" ref="U12:Y12" si="53">U5+U8</f>
        <v>50.835109207855197</v>
      </c>
      <c r="V12" s="324">
        <f t="shared" si="53"/>
        <v>49.94764646650134</v>
      </c>
      <c r="W12" s="323">
        <f t="shared" si="53"/>
        <v>40.895553402889782</v>
      </c>
      <c r="X12" s="323">
        <f t="shared" si="53"/>
        <v>46.904681519622891</v>
      </c>
      <c r="Y12" s="323">
        <f t="shared" si="53"/>
        <v>42.897030147039153</v>
      </c>
      <c r="Z12" s="323">
        <f t="shared" ref="Z12:AU12" si="54">Z5+Z8</f>
        <v>49.449394038870743</v>
      </c>
      <c r="AA12" s="324">
        <f t="shared" si="54"/>
        <v>44.491423542164995</v>
      </c>
      <c r="AB12" s="323">
        <f t="shared" si="54"/>
        <v>43.336165240971333</v>
      </c>
      <c r="AC12" s="323">
        <f t="shared" si="54"/>
        <v>49.089112707035106</v>
      </c>
      <c r="AD12" s="323">
        <f t="shared" si="54"/>
        <v>44.529410998845229</v>
      </c>
      <c r="AE12" s="323">
        <f t="shared" si="54"/>
        <v>48.031330170034977</v>
      </c>
      <c r="AF12" s="324">
        <f t="shared" si="54"/>
        <v>43.215539753809203</v>
      </c>
      <c r="AG12" s="323">
        <f t="shared" si="54"/>
        <v>41.334481307509883</v>
      </c>
      <c r="AH12" s="323">
        <f t="shared" si="54"/>
        <v>47.104559668997133</v>
      </c>
      <c r="AI12" s="323">
        <f t="shared" si="54"/>
        <v>42.899417871734272</v>
      </c>
      <c r="AJ12" s="323">
        <f t="shared" si="54"/>
        <v>47.822944888094</v>
      </c>
      <c r="AK12" s="324">
        <f t="shared" si="54"/>
        <v>43.028047914546185</v>
      </c>
      <c r="AL12" s="323">
        <f t="shared" si="54"/>
        <v>41.536081408204574</v>
      </c>
      <c r="AM12" s="323">
        <f t="shared" si="54"/>
        <v>47.189720023377888</v>
      </c>
      <c r="AN12" s="323">
        <f t="shared" si="54"/>
        <v>42.890489498463097</v>
      </c>
      <c r="AO12" s="323">
        <f t="shared" si="54"/>
        <v>47.028699015252315</v>
      </c>
      <c r="AP12" s="324">
        <f t="shared" si="54"/>
        <v>42.313435931688751</v>
      </c>
      <c r="AQ12" s="323">
        <f t="shared" si="54"/>
        <v>40.659720566090527</v>
      </c>
      <c r="AR12" s="323">
        <f t="shared" si="54"/>
        <v>46.264221388792834</v>
      </c>
      <c r="AS12" s="323">
        <f t="shared" si="54"/>
        <v>42.091397866054336</v>
      </c>
      <c r="AT12" s="323">
        <f t="shared" si="54"/>
        <v>46.534960568197747</v>
      </c>
      <c r="AU12" s="324">
        <f t="shared" si="54"/>
        <v>41.869201441177339</v>
      </c>
    </row>
    <row r="13" spans="2:47" x14ac:dyDescent="0.25">
      <c r="B13" s="303"/>
      <c r="C13" s="110"/>
      <c r="D13" s="110"/>
      <c r="E13" s="110"/>
      <c r="F13" s="24"/>
      <c r="G13" s="123"/>
      <c r="H13" s="24"/>
      <c r="I13" s="24"/>
      <c r="J13" s="24"/>
      <c r="K13" s="24"/>
      <c r="L13" s="123"/>
      <c r="M13" s="24"/>
      <c r="N13" s="24"/>
      <c r="O13" s="24"/>
      <c r="P13" s="24"/>
      <c r="Q13" s="123"/>
      <c r="R13" s="24"/>
      <c r="S13" s="24"/>
      <c r="T13" s="104"/>
      <c r="U13" s="24"/>
      <c r="V13" s="123"/>
      <c r="W13" s="24"/>
      <c r="X13" s="24"/>
      <c r="Y13" s="104"/>
      <c r="Z13" s="24"/>
      <c r="AA13" s="123"/>
      <c r="AB13" s="24"/>
      <c r="AC13" s="24"/>
      <c r="AD13" s="104"/>
      <c r="AE13" s="24"/>
      <c r="AF13" s="123"/>
      <c r="AG13" s="24"/>
      <c r="AH13" s="24"/>
      <c r="AI13" s="104"/>
      <c r="AJ13" s="24"/>
      <c r="AK13" s="123"/>
      <c r="AL13" s="24"/>
      <c r="AM13" s="24"/>
      <c r="AN13" s="104"/>
      <c r="AO13" s="24"/>
      <c r="AP13" s="123"/>
      <c r="AQ13" s="24"/>
      <c r="AR13" s="24"/>
      <c r="AS13" s="104"/>
      <c r="AT13" s="24"/>
      <c r="AU13" s="123"/>
    </row>
    <row r="14" spans="2:47" x14ac:dyDescent="0.25">
      <c r="B14" s="100" t="s">
        <v>77</v>
      </c>
      <c r="C14" s="111"/>
      <c r="D14" s="111"/>
      <c r="E14" s="111"/>
      <c r="F14" s="112"/>
      <c r="G14" s="307"/>
      <c r="H14" s="112"/>
      <c r="I14" s="112"/>
      <c r="J14" s="112"/>
      <c r="K14" s="112"/>
      <c r="L14" s="307"/>
      <c r="M14" s="112"/>
      <c r="N14" s="112"/>
      <c r="O14" s="112"/>
      <c r="P14" s="145"/>
      <c r="Q14" s="315"/>
      <c r="R14" s="112"/>
      <c r="S14" s="112"/>
      <c r="T14" s="112"/>
      <c r="U14" s="145"/>
      <c r="V14" s="315"/>
      <c r="W14" s="112"/>
      <c r="X14" s="112"/>
      <c r="Y14" s="112"/>
      <c r="Z14" s="145"/>
      <c r="AA14" s="315"/>
      <c r="AB14" s="112"/>
      <c r="AC14" s="112"/>
      <c r="AD14" s="112"/>
      <c r="AE14" s="145"/>
      <c r="AF14" s="315"/>
      <c r="AG14" s="112"/>
      <c r="AH14" s="112"/>
      <c r="AI14" s="112"/>
      <c r="AJ14" s="145"/>
      <c r="AK14" s="315"/>
      <c r="AL14" s="112"/>
      <c r="AM14" s="112"/>
      <c r="AN14" s="112"/>
      <c r="AO14" s="145"/>
      <c r="AP14" s="315"/>
      <c r="AQ14" s="112"/>
      <c r="AR14" s="112"/>
      <c r="AS14" s="112"/>
      <c r="AT14" s="145"/>
      <c r="AU14" s="315"/>
    </row>
    <row r="15" spans="2:47" x14ac:dyDescent="0.25">
      <c r="B15" s="95" t="s">
        <v>291</v>
      </c>
      <c r="C15" s="104">
        <f>C16/C17*91.25</f>
        <v>69.029061102831591</v>
      </c>
      <c r="D15" s="104">
        <f t="shared" ref="D15:F15" si="55">D16/D17*91.25</f>
        <v>72.745160266582033</v>
      </c>
      <c r="E15" s="104">
        <f t="shared" si="55"/>
        <v>76.587606837606842</v>
      </c>
      <c r="F15" s="104">
        <f t="shared" si="55"/>
        <v>90.833214387667709</v>
      </c>
      <c r="G15" s="325">
        <f>G16/G17*365</f>
        <v>94.145646867371852</v>
      </c>
      <c r="H15" s="104">
        <f>H16/H17*91.25</f>
        <v>72.266331658291463</v>
      </c>
      <c r="I15" s="104">
        <f t="shared" ref="I15" si="56">I16/I17*91.25</f>
        <v>79.25298804780877</v>
      </c>
      <c r="J15" s="104">
        <f t="shared" ref="J15" si="57">J16/J17*91.25</f>
        <v>67.918413173652695</v>
      </c>
      <c r="K15" s="104">
        <f t="shared" ref="K15" si="58">K16/K17*91.25</f>
        <v>89.290382819794587</v>
      </c>
      <c r="L15" s="325">
        <f>L16/L17*365</f>
        <v>93.305146759899174</v>
      </c>
      <c r="M15" s="104">
        <f>M16/M17*91.25</f>
        <v>73.005847484780517</v>
      </c>
      <c r="N15" s="104">
        <f t="shared" ref="N15" si="59">N16/N17*91.25</f>
        <v>85.342630853994493</v>
      </c>
      <c r="O15" s="104">
        <f t="shared" ref="O15" si="60">O16/O17*91.25</f>
        <v>76.920607122008164</v>
      </c>
      <c r="P15" s="104">
        <f t="shared" ref="P15" si="61">P16/P17*91.25</f>
        <v>93.254364967614748</v>
      </c>
      <c r="Q15" s="325">
        <f>Q16/Q17*365</f>
        <v>101.87548069527764</v>
      </c>
      <c r="R15" s="104">
        <f>R16/R17*91.25</f>
        <v>73.757319246435841</v>
      </c>
      <c r="S15" s="104">
        <f t="shared" ref="S15" si="62">S16/S17*91.25</f>
        <v>100.43064024390243</v>
      </c>
      <c r="T15" s="104">
        <f t="shared" ref="T15" si="63">T16/T17*91.25</f>
        <v>90.448421177587846</v>
      </c>
      <c r="U15" s="104">
        <f t="shared" ref="U15" si="64">U16/U17*91.25</f>
        <v>95.581911234475655</v>
      </c>
      <c r="V15" s="325">
        <f>V16/V17*365</f>
        <v>82.509241106969966</v>
      </c>
      <c r="W15" s="104">
        <f>W16/W17*91.25</f>
        <v>74.875151679849154</v>
      </c>
      <c r="X15" s="104">
        <f t="shared" ref="X15" si="65">X16/X17*91.25</f>
        <v>95.586099370659696</v>
      </c>
      <c r="Y15" s="104">
        <f t="shared" ref="Y15" si="66">Y16/Y17*91.25</f>
        <v>86.758618937746206</v>
      </c>
      <c r="Z15" s="104">
        <f t="shared" ref="Z15" si="67">Z16/Z17*91.25</f>
        <v>102.08707162074199</v>
      </c>
      <c r="AA15" s="325">
        <f>AA16/AA17*365</f>
        <v>94.854953091923363</v>
      </c>
      <c r="AB15" s="104">
        <f>AB16/AB17*91.25</f>
        <v>80.761450876880886</v>
      </c>
      <c r="AC15" s="104">
        <f t="shared" ref="AC15" si="68">AC16/AC17*91.25</f>
        <v>106.93776064418392</v>
      </c>
      <c r="AD15" s="104">
        <f t="shared" ref="AD15" si="69">AD16/AD17*91.25</f>
        <v>96.886765972220857</v>
      </c>
      <c r="AE15" s="104">
        <f t="shared" ref="AE15" si="70">AE16/AE17*91.25</f>
        <v>107.7670912373526</v>
      </c>
      <c r="AF15" s="325">
        <f>AF16/AF17*365</f>
        <v>96.307376156553119</v>
      </c>
      <c r="AG15" s="104">
        <f>AG16/AG17*91.25</f>
        <v>85.459622323640346</v>
      </c>
      <c r="AH15" s="104">
        <f t="shared" ref="AH15" si="71">AH16/AH17*91.25</f>
        <v>111.41125454543364</v>
      </c>
      <c r="AI15" s="104">
        <f t="shared" ref="AI15" si="72">AI16/AI17*91.25</f>
        <v>101.31746713496841</v>
      </c>
      <c r="AJ15" s="104">
        <f t="shared" ref="AJ15" si="73">AJ16/AJ17*91.25</f>
        <v>115.18191548755796</v>
      </c>
      <c r="AK15" s="325">
        <f>AK16/AK17*365</f>
        <v>105.1936739921852</v>
      </c>
      <c r="AL15" s="104">
        <f>AL16/AL17*91.25</f>
        <v>91.88676889233254</v>
      </c>
      <c r="AM15" s="104">
        <f t="shared" ref="AM15" si="74">AM16/AM17*91.25</f>
        <v>121.06139024241568</v>
      </c>
      <c r="AN15" s="104">
        <f t="shared" ref="AN15" si="75">AN16/AN17*91.25</f>
        <v>110.24551290608167</v>
      </c>
      <c r="AO15" s="104">
        <f t="shared" ref="AO15" si="76">AO16/AO17*91.25</f>
        <v>123.57223509560711</v>
      </c>
      <c r="AP15" s="325">
        <f>AP16/AP17*365</f>
        <v>111.64172120900685</v>
      </c>
      <c r="AQ15" s="104">
        <f>AQ16/AQ17*91.25</f>
        <v>99.187304336718384</v>
      </c>
      <c r="AR15" s="104">
        <f t="shared" ref="AR15" si="77">AR16/AR17*91.25</f>
        <v>130.38913021752785</v>
      </c>
      <c r="AS15" s="104">
        <f t="shared" ref="AS15" si="78">AS16/AS17*91.25</f>
        <v>119.12972261724336</v>
      </c>
      <c r="AT15" s="104">
        <f t="shared" ref="AT15" si="79">AT16/AT17*91.25</f>
        <v>133.7099605751971</v>
      </c>
      <c r="AU15" s="325">
        <f>AU16/AU17*365</f>
        <v>121.65380226940071</v>
      </c>
    </row>
    <row r="16" spans="2:47" x14ac:dyDescent="0.25">
      <c r="B16" s="303" t="s">
        <v>78</v>
      </c>
      <c r="C16" s="110">
        <f>'Balance Sheet'!C26</f>
        <v>2538</v>
      </c>
      <c r="D16" s="110">
        <f>'Balance Sheet'!D26</f>
        <v>2512</v>
      </c>
      <c r="E16" s="110">
        <f>'Balance Sheet'!E26</f>
        <v>2946</v>
      </c>
      <c r="F16" s="110">
        <f>'Balance Sheet'!F26</f>
        <v>3487</v>
      </c>
      <c r="G16" s="308">
        <f>'Balance Sheet'!G26</f>
        <v>3487</v>
      </c>
      <c r="H16" s="110">
        <f>'Balance Sheet'!H26</f>
        <v>2364</v>
      </c>
      <c r="I16" s="110">
        <f>'Balance Sheet'!I26</f>
        <v>2398</v>
      </c>
      <c r="J16" s="110">
        <f>'Balance Sheet'!J26</f>
        <v>2486</v>
      </c>
      <c r="K16" s="110">
        <f>'Balance Sheet'!K26</f>
        <v>3144</v>
      </c>
      <c r="L16" s="308">
        <f>'Balance Sheet'!L26</f>
        <v>3144</v>
      </c>
      <c r="M16" s="110">
        <f>'Balance Sheet'!M26</f>
        <v>2497</v>
      </c>
      <c r="N16" s="110">
        <f>'Balance Sheet'!N26</f>
        <v>2716</v>
      </c>
      <c r="O16" s="110">
        <f>'Balance Sheet'!O26</f>
        <v>2888</v>
      </c>
      <c r="P16" s="110">
        <f>'Balance Sheet'!P26</f>
        <v>3629</v>
      </c>
      <c r="Q16" s="308">
        <f>'Balance Sheet'!Q26</f>
        <v>3629</v>
      </c>
      <c r="R16" s="110">
        <f>'Balance Sheet'!R26</f>
        <v>3175</v>
      </c>
      <c r="S16" s="110">
        <f>'Balance Sheet'!S26</f>
        <v>3971</v>
      </c>
      <c r="T16" s="110">
        <f>'Balance Sheet'!T26</f>
        <v>4175</v>
      </c>
      <c r="U16" s="110">
        <f>AVERAGE(K16,P16)</f>
        <v>3386.5</v>
      </c>
      <c r="V16" s="308">
        <f t="shared" ref="V16:AU16" si="80">AVERAGE(L16,Q16)</f>
        <v>3386.5</v>
      </c>
      <c r="W16" s="110">
        <f t="shared" si="80"/>
        <v>2836</v>
      </c>
      <c r="X16" s="110">
        <f t="shared" si="80"/>
        <v>3343.5</v>
      </c>
      <c r="Y16" s="110">
        <f t="shared" si="80"/>
        <v>3531.5</v>
      </c>
      <c r="Z16" s="110">
        <f t="shared" si="80"/>
        <v>3507.75</v>
      </c>
      <c r="AA16" s="308">
        <f t="shared" si="80"/>
        <v>3507.75</v>
      </c>
      <c r="AB16" s="110">
        <f t="shared" si="80"/>
        <v>3005.5</v>
      </c>
      <c r="AC16" s="110">
        <f t="shared" si="80"/>
        <v>3657.25</v>
      </c>
      <c r="AD16" s="110">
        <f t="shared" si="80"/>
        <v>3853.25</v>
      </c>
      <c r="AE16" s="110">
        <f t="shared" si="80"/>
        <v>3447.125</v>
      </c>
      <c r="AF16" s="308">
        <f t="shared" si="80"/>
        <v>3447.125</v>
      </c>
      <c r="AG16" s="110">
        <f t="shared" si="80"/>
        <v>2920.75</v>
      </c>
      <c r="AH16" s="110">
        <f t="shared" si="80"/>
        <v>3500.375</v>
      </c>
      <c r="AI16" s="110">
        <f t="shared" si="80"/>
        <v>3692.375</v>
      </c>
      <c r="AJ16" s="110">
        <f t="shared" si="80"/>
        <v>3477.4375</v>
      </c>
      <c r="AK16" s="308">
        <f t="shared" si="80"/>
        <v>3477.4375</v>
      </c>
      <c r="AL16" s="110">
        <f t="shared" si="80"/>
        <v>2963.125</v>
      </c>
      <c r="AM16" s="110">
        <f t="shared" si="80"/>
        <v>3578.8125</v>
      </c>
      <c r="AN16" s="110">
        <f t="shared" si="80"/>
        <v>3772.8125</v>
      </c>
      <c r="AO16" s="110">
        <f t="shared" si="80"/>
        <v>3462.28125</v>
      </c>
      <c r="AP16" s="308">
        <f t="shared" si="80"/>
        <v>3462.28125</v>
      </c>
      <c r="AQ16" s="110">
        <f t="shared" si="80"/>
        <v>2941.9375</v>
      </c>
      <c r="AR16" s="110">
        <f t="shared" si="80"/>
        <v>3539.59375</v>
      </c>
      <c r="AS16" s="110">
        <f t="shared" si="80"/>
        <v>3732.59375</v>
      </c>
      <c r="AT16" s="110">
        <f t="shared" si="80"/>
        <v>3469.859375</v>
      </c>
      <c r="AU16" s="308">
        <f t="shared" si="80"/>
        <v>3469.859375</v>
      </c>
    </row>
    <row r="17" spans="2:47" x14ac:dyDescent="0.25">
      <c r="B17" s="303" t="s">
        <v>289</v>
      </c>
      <c r="C17" s="110">
        <f>'Income Statement'!C6</f>
        <v>3355</v>
      </c>
      <c r="D17" s="110">
        <f>'Income Statement'!D6</f>
        <v>3151</v>
      </c>
      <c r="E17" s="110">
        <f>'Income Statement'!E6</f>
        <v>3510</v>
      </c>
      <c r="F17" s="110">
        <f>'Income Statement'!F6</f>
        <v>3503</v>
      </c>
      <c r="G17" s="308">
        <f>'Income Statement'!G6</f>
        <v>13519</v>
      </c>
      <c r="H17" s="110">
        <f>'Income Statement'!H6</f>
        <v>2985</v>
      </c>
      <c r="I17" s="110">
        <f>'Income Statement'!I6</f>
        <v>2761</v>
      </c>
      <c r="J17" s="110">
        <f>'Income Statement'!J6</f>
        <v>3340</v>
      </c>
      <c r="K17" s="110">
        <f>'Income Statement'!K6</f>
        <v>3213</v>
      </c>
      <c r="L17" s="308">
        <f>'Income Statement'!L6</f>
        <v>12299</v>
      </c>
      <c r="M17" s="110">
        <f>'Income Statement'!M6</f>
        <v>3121</v>
      </c>
      <c r="N17" s="110">
        <f>'Income Statement'!N6</f>
        <v>2904</v>
      </c>
      <c r="O17" s="110">
        <f>'Income Statement'!O6</f>
        <v>3426</v>
      </c>
      <c r="P17" s="110">
        <f>'Income Statement'!P6</f>
        <v>3551</v>
      </c>
      <c r="Q17" s="308">
        <f>'Income Statement'!Q6</f>
        <v>13002</v>
      </c>
      <c r="R17" s="110">
        <f>'Income Statement'!R6</f>
        <v>3928</v>
      </c>
      <c r="S17" s="110">
        <f>'Income Statement'!S6</f>
        <v>3608</v>
      </c>
      <c r="T17" s="110">
        <f>'Income Statement'!T6</f>
        <v>4212</v>
      </c>
      <c r="U17" s="110">
        <f>'Income Statement'!U6</f>
        <v>3233.0188945681971</v>
      </c>
      <c r="V17" s="308">
        <f>'Income Statement'!V6</f>
        <v>14981.018894568197</v>
      </c>
      <c r="W17" s="110">
        <f>'Income Statement'!W6</f>
        <v>3456.2200435534583</v>
      </c>
      <c r="X17" s="110">
        <f>'Income Statement'!X6</f>
        <v>3191.8278599999994</v>
      </c>
      <c r="Y17" s="110">
        <f>'Income Statement'!Y6</f>
        <v>3714.3211699950016</v>
      </c>
      <c r="Z17" s="110">
        <f>'Income Statement'!Z6</f>
        <v>3135.384161954606</v>
      </c>
      <c r="AA17" s="308">
        <f>'Income Statement'!AA6</f>
        <v>13497.753235503065</v>
      </c>
      <c r="AB17" s="110">
        <f>'Income Statement'!AB6</f>
        <v>3395.8264991807932</v>
      </c>
      <c r="AC17" s="110">
        <f>'Income Statement'!AC6</f>
        <v>3120.7317274054999</v>
      </c>
      <c r="AD17" s="110">
        <f>'Income Statement'!AD6</f>
        <v>3629.0721335544686</v>
      </c>
      <c r="AE17" s="110">
        <f>'Income Statement'!AE6</f>
        <v>2918.7960131281284</v>
      </c>
      <c r="AF17" s="308">
        <f>'Income Statement'!AF6</f>
        <v>13064.426373268891</v>
      </c>
      <c r="AG17" s="110">
        <f>'Income Statement'!AG6</f>
        <v>3118.6474998763724</v>
      </c>
      <c r="AH17" s="110">
        <f>'Income Statement'!AH6</f>
        <v>2866.9385337523918</v>
      </c>
      <c r="AI17" s="110">
        <f>'Income Statement'!AI6</f>
        <v>3325.4800803613184</v>
      </c>
      <c r="AJ17" s="110">
        <f>'Income Statement'!AJ6</f>
        <v>2754.9131348599317</v>
      </c>
      <c r="AK17" s="308">
        <f>'Income Statement'!AK6</f>
        <v>12065.979248850013</v>
      </c>
      <c r="AL17" s="110">
        <f>'Income Statement'!AL6</f>
        <v>2942.5907506533531</v>
      </c>
      <c r="AM17" s="110">
        <f>'Income Statement'!AM6</f>
        <v>2697.5292450472989</v>
      </c>
      <c r="AN17" s="110">
        <f>'Income Statement'!AN6</f>
        <v>3122.7496843185213</v>
      </c>
      <c r="AO17" s="110">
        <f>'Income Statement'!AO6</f>
        <v>2556.6678778454107</v>
      </c>
      <c r="AP17" s="308">
        <f>'Income Statement'!AP6</f>
        <v>11319.537557864584</v>
      </c>
      <c r="AQ17" s="110">
        <f>'Income Statement'!AQ6</f>
        <v>2706.5136881194703</v>
      </c>
      <c r="AR17" s="110">
        <f>'Income Statement'!AR6</f>
        <v>2477.1077861218955</v>
      </c>
      <c r="AS17" s="110">
        <f>'Income Statement'!AS6</f>
        <v>2859.0613006111389</v>
      </c>
      <c r="AT17" s="110">
        <f>'Income Statement'!AT6</f>
        <v>2367.996120907414</v>
      </c>
      <c r="AU17" s="308">
        <f>'Income Statement'!AU6</f>
        <v>10410.678895759918</v>
      </c>
    </row>
    <row r="18" spans="2:47" x14ac:dyDescent="0.25">
      <c r="B18" s="305" t="s">
        <v>292</v>
      </c>
      <c r="C18" s="110">
        <f>'Cash Flow Statement'!C22</f>
        <v>-107</v>
      </c>
      <c r="D18" s="110">
        <f>'Cash Flow Statement'!D22</f>
        <v>51</v>
      </c>
      <c r="E18" s="110">
        <f>'Cash Flow Statement'!E22</f>
        <v>181</v>
      </c>
      <c r="F18" s="110">
        <f>'Cash Flow Statement'!F22</f>
        <v>-349</v>
      </c>
      <c r="G18" s="308">
        <f>'Cash Flow Statement'!G22</f>
        <v>-224</v>
      </c>
      <c r="H18" s="110">
        <f>'Cash Flow Statement'!H22</f>
        <v>113</v>
      </c>
      <c r="I18" s="110">
        <f>'Cash Flow Statement'!I22</f>
        <v>160</v>
      </c>
      <c r="J18" s="110">
        <f>'Cash Flow Statement'!J22</f>
        <v>113</v>
      </c>
      <c r="K18" s="110">
        <f>'Cash Flow Statement'!K22</f>
        <v>-451</v>
      </c>
      <c r="L18" s="308">
        <f>'Cash Flow Statement'!L22</f>
        <v>-65</v>
      </c>
      <c r="M18" s="110">
        <f>'Cash Flow Statement'!M22</f>
        <v>104</v>
      </c>
      <c r="N18" s="110">
        <f>'Cash Flow Statement'!N22</f>
        <v>115</v>
      </c>
      <c r="O18" s="110">
        <f>'Cash Flow Statement'!O22</f>
        <v>212</v>
      </c>
      <c r="P18" s="110">
        <f>'Cash Flow Statement'!P22</f>
        <v>-147</v>
      </c>
      <c r="Q18" s="308">
        <f>'Cash Flow Statement'!Q22</f>
        <v>284</v>
      </c>
      <c r="R18" s="110">
        <f>'Cash Flow Statement'!R22</f>
        <v>-90</v>
      </c>
      <c r="S18" s="110">
        <f>'Cash Flow Statement'!S22</f>
        <v>41</v>
      </c>
      <c r="T18" s="110">
        <f>'Cash Flow Statement'!T22</f>
        <v>255</v>
      </c>
      <c r="U18" s="110">
        <f>'Cash Flow Statement'!U22</f>
        <v>0</v>
      </c>
      <c r="V18" s="308">
        <f>'Cash Flow Statement'!V22</f>
        <v>0</v>
      </c>
      <c r="W18" s="110">
        <f>'Cash Flow Statement'!W22</f>
        <v>0</v>
      </c>
      <c r="X18" s="110">
        <f>'Cash Flow Statement'!X22</f>
        <v>0</v>
      </c>
      <c r="Y18" s="110">
        <f>'Cash Flow Statement'!Y22</f>
        <v>0</v>
      </c>
      <c r="Z18" s="110">
        <f>'Cash Flow Statement'!Z22</f>
        <v>0</v>
      </c>
      <c r="AA18" s="308">
        <f>'Cash Flow Statement'!AA22</f>
        <v>0</v>
      </c>
      <c r="AB18" s="110">
        <f>'Cash Flow Statement'!AB22</f>
        <v>0</v>
      </c>
      <c r="AC18" s="110">
        <f>'Cash Flow Statement'!AC22</f>
        <v>0</v>
      </c>
      <c r="AD18" s="110">
        <f>'Cash Flow Statement'!AD22</f>
        <v>0</v>
      </c>
      <c r="AE18" s="110">
        <f>'Cash Flow Statement'!AE22</f>
        <v>0</v>
      </c>
      <c r="AF18" s="308">
        <f>'Cash Flow Statement'!AF22</f>
        <v>0</v>
      </c>
      <c r="AG18" s="110">
        <f>'Cash Flow Statement'!AG22</f>
        <v>0</v>
      </c>
      <c r="AH18" s="110">
        <f>'Cash Flow Statement'!AH22</f>
        <v>0</v>
      </c>
      <c r="AI18" s="110">
        <f>'Cash Flow Statement'!AI22</f>
        <v>0</v>
      </c>
      <c r="AJ18" s="110">
        <f>'Cash Flow Statement'!AJ22</f>
        <v>0</v>
      </c>
      <c r="AK18" s="308">
        <f>'Cash Flow Statement'!AK22</f>
        <v>0</v>
      </c>
      <c r="AL18" s="110">
        <f>'Cash Flow Statement'!AL22</f>
        <v>0</v>
      </c>
      <c r="AM18" s="110">
        <f>'Cash Flow Statement'!AM22</f>
        <v>0</v>
      </c>
      <c r="AN18" s="110">
        <f>'Cash Flow Statement'!AN22</f>
        <v>0</v>
      </c>
      <c r="AO18" s="110">
        <f>'Cash Flow Statement'!AO22</f>
        <v>0</v>
      </c>
      <c r="AP18" s="308">
        <f>'Cash Flow Statement'!AP22</f>
        <v>0</v>
      </c>
      <c r="AQ18" s="110">
        <f>'Cash Flow Statement'!AQ22</f>
        <v>0</v>
      </c>
      <c r="AR18" s="110">
        <f>'Cash Flow Statement'!AR22</f>
        <v>0</v>
      </c>
      <c r="AS18" s="110">
        <f>'Cash Flow Statement'!AS22</f>
        <v>0</v>
      </c>
      <c r="AT18" s="110">
        <f>'Cash Flow Statement'!AT22</f>
        <v>0</v>
      </c>
      <c r="AU18" s="308">
        <f>'Cash Flow Statement'!AU22</f>
        <v>0</v>
      </c>
    </row>
    <row r="19" spans="2:47" x14ac:dyDescent="0.25">
      <c r="B19" s="303" t="s">
        <v>151</v>
      </c>
      <c r="C19" s="104">
        <f>'Income Statement'!C4</f>
        <v>6212</v>
      </c>
      <c r="D19" s="104">
        <f>'Income Statement'!D4</f>
        <v>5924</v>
      </c>
      <c r="E19" s="104">
        <f>'Income Statement'!E4</f>
        <v>6989</v>
      </c>
      <c r="F19" s="104">
        <f>'Income Statement'!F4</f>
        <v>6154</v>
      </c>
      <c r="G19" s="325">
        <f>'Income Statement'!G4</f>
        <v>25279</v>
      </c>
      <c r="H19" s="104">
        <f>'Income Statement'!H4</f>
        <v>5989</v>
      </c>
      <c r="I19" s="104">
        <f>'Income Statement'!I4</f>
        <v>5472</v>
      </c>
      <c r="J19" s="104">
        <f>'Income Statement'!J4</f>
        <v>6770</v>
      </c>
      <c r="K19" s="104">
        <f>'Income Statement'!K4</f>
        <v>5836</v>
      </c>
      <c r="L19" s="325">
        <f>'Income Statement'!L4</f>
        <v>24067</v>
      </c>
      <c r="M19" s="104">
        <f>'Income Statement'!M4</f>
        <v>6201</v>
      </c>
      <c r="N19" s="104">
        <f>'Income Statement'!N4</f>
        <v>5808</v>
      </c>
      <c r="O19" s="104">
        <f>'Income Statement'!O4</f>
        <v>7003</v>
      </c>
      <c r="P19" s="104">
        <f>'Income Statement'!P4</f>
        <v>6290</v>
      </c>
      <c r="Q19" s="325">
        <f>'Income Statement'!Q4</f>
        <v>25302</v>
      </c>
      <c r="R19" s="104">
        <f>'Income Statement'!R4</f>
        <v>7185</v>
      </c>
      <c r="S19" s="104">
        <f>'Income Statement'!S4</f>
        <v>6739</v>
      </c>
      <c r="T19" s="104">
        <f>'Income Statement'!T4</f>
        <v>8025</v>
      </c>
      <c r="U19" s="104">
        <f>'Income Statement'!U4</f>
        <v>6369.8829999999998</v>
      </c>
      <c r="V19" s="325">
        <f>'Income Statement'!V4</f>
        <v>26528.917700000002</v>
      </c>
      <c r="W19" s="104">
        <f>'Income Statement'!W4</f>
        <v>7276.249499999999</v>
      </c>
      <c r="X19" s="104">
        <f>'Income Statement'!X4</f>
        <v>6824.5852999999997</v>
      </c>
      <c r="Y19" s="104">
        <f>'Income Statement'!Y4</f>
        <v>8126.9174999999987</v>
      </c>
      <c r="Z19" s="104">
        <f>'Income Statement'!Z4</f>
        <v>6450.780514099999</v>
      </c>
      <c r="AA19" s="325">
        <f>'Income Statement'!AA4</f>
        <v>28678.532814099995</v>
      </c>
      <c r="AB19" s="104">
        <f>'Income Statement'!AB4</f>
        <v>7368.6578686499988</v>
      </c>
      <c r="AC19" s="104">
        <f>'Income Statement'!AC4</f>
        <v>6911.2575333099994</v>
      </c>
      <c r="AD19" s="104">
        <f>'Income Statement'!AD4</f>
        <v>8230.1293522499982</v>
      </c>
      <c r="AE19" s="104">
        <f>'Income Statement'!AE4</f>
        <v>6532.7054266290688</v>
      </c>
      <c r="AF19" s="325">
        <f>'Income Statement'!AF4</f>
        <v>29042.750180839066</v>
      </c>
      <c r="AG19" s="104">
        <f>'Income Statement'!AG4</f>
        <v>7462.2398235818537</v>
      </c>
      <c r="AH19" s="104">
        <f>'Income Statement'!AH4</f>
        <v>6999.0305039830355</v>
      </c>
      <c r="AI19" s="104">
        <f>'Income Statement'!AI4</f>
        <v>8334.6519950235743</v>
      </c>
      <c r="AJ19" s="104">
        <f>'Income Statement'!AJ4</f>
        <v>6615.6707855472569</v>
      </c>
      <c r="AK19" s="325">
        <f>'Income Statement'!AK4</f>
        <v>29411.593108135719</v>
      </c>
      <c r="AL19" s="104">
        <f>'Income Statement'!AL4</f>
        <v>7557.0102693413428</v>
      </c>
      <c r="AM19" s="104">
        <f>'Income Statement'!AM4</f>
        <v>7087.9181913836201</v>
      </c>
      <c r="AN19" s="104">
        <f>'Income Statement'!AN4</f>
        <v>8440.5020753603712</v>
      </c>
      <c r="AO19" s="104">
        <f>'Income Statement'!AO4</f>
        <v>6699.6898045237067</v>
      </c>
      <c r="AP19" s="325">
        <f>'Income Statement'!AP4</f>
        <v>29785.120340609039</v>
      </c>
      <c r="AQ19" s="104">
        <f>'Income Statement'!AQ4</f>
        <v>7652.9842997619771</v>
      </c>
      <c r="AR19" s="104">
        <f>'Income Statement'!AR4</f>
        <v>7177.9347524141913</v>
      </c>
      <c r="AS19" s="104">
        <f>'Income Statement'!AS4</f>
        <v>8547.6964517174474</v>
      </c>
      <c r="AT19" s="104">
        <f>'Income Statement'!AT4</f>
        <v>6784.7758650411579</v>
      </c>
      <c r="AU19" s="325">
        <f>'Income Statement'!AU4</f>
        <v>30163.391368934776</v>
      </c>
    </row>
    <row r="20" spans="2:47" x14ac:dyDescent="0.25">
      <c r="B20" s="316" t="s">
        <v>155</v>
      </c>
      <c r="C20" s="317">
        <f>C18/C19</f>
        <v>-1.7224726336123632E-2</v>
      </c>
      <c r="D20" s="317">
        <f t="shared" ref="D20:T20" si="81">D18/D19</f>
        <v>8.6090479405806879E-3</v>
      </c>
      <c r="E20" s="317">
        <f t="shared" si="81"/>
        <v>2.5897839462011733E-2</v>
      </c>
      <c r="F20" s="317">
        <f t="shared" si="81"/>
        <v>-5.671108222294443E-2</v>
      </c>
      <c r="G20" s="326">
        <f t="shared" si="81"/>
        <v>-8.8611100122631438E-3</v>
      </c>
      <c r="H20" s="317">
        <f t="shared" si="81"/>
        <v>1.8867924528301886E-2</v>
      </c>
      <c r="I20" s="317">
        <f t="shared" si="81"/>
        <v>2.9239766081871343E-2</v>
      </c>
      <c r="J20" s="317">
        <f t="shared" si="81"/>
        <v>1.6691285081240768E-2</v>
      </c>
      <c r="K20" s="317">
        <f t="shared" si="81"/>
        <v>-7.7278958190541466E-2</v>
      </c>
      <c r="L20" s="326">
        <f t="shared" si="81"/>
        <v>-2.7007936178169278E-3</v>
      </c>
      <c r="M20" s="317">
        <f t="shared" si="81"/>
        <v>1.6771488469601678E-2</v>
      </c>
      <c r="N20" s="317">
        <f t="shared" si="81"/>
        <v>1.9800275482093663E-2</v>
      </c>
      <c r="O20" s="317">
        <f t="shared" si="81"/>
        <v>3.027274025417678E-2</v>
      </c>
      <c r="P20" s="317">
        <f t="shared" si="81"/>
        <v>-2.3370429252782193E-2</v>
      </c>
      <c r="Q20" s="326">
        <f t="shared" si="81"/>
        <v>1.122440913761758E-2</v>
      </c>
      <c r="R20" s="317">
        <f t="shared" si="81"/>
        <v>-1.2526096033402923E-2</v>
      </c>
      <c r="S20" s="317">
        <f t="shared" si="81"/>
        <v>6.0839887223623681E-3</v>
      </c>
      <c r="T20" s="317">
        <f t="shared" si="81"/>
        <v>3.1775700934579439E-2</v>
      </c>
      <c r="U20" s="317">
        <f t="shared" ref="U20" si="82">U18/U19</f>
        <v>0</v>
      </c>
      <c r="V20" s="326">
        <f t="shared" ref="V20" si="83">V18/V19</f>
        <v>0</v>
      </c>
      <c r="W20" s="317">
        <f t="shared" ref="W20" si="84">W18/W19</f>
        <v>0</v>
      </c>
      <c r="X20" s="317">
        <f t="shared" ref="X20" si="85">X18/X19</f>
        <v>0</v>
      </c>
      <c r="Y20" s="317">
        <f t="shared" ref="Y20" si="86">Y18/Y19</f>
        <v>0</v>
      </c>
      <c r="Z20" s="317">
        <f t="shared" ref="Z20" si="87">Z18/Z19</f>
        <v>0</v>
      </c>
      <c r="AA20" s="326">
        <f t="shared" ref="AA20" si="88">AA18/AA19</f>
        <v>0</v>
      </c>
      <c r="AB20" s="317">
        <f t="shared" ref="AB20" si="89">AB18/AB19</f>
        <v>0</v>
      </c>
      <c r="AC20" s="317">
        <f t="shared" ref="AC20" si="90">AC18/AC19</f>
        <v>0</v>
      </c>
      <c r="AD20" s="317">
        <f t="shared" ref="AD20" si="91">AD18/AD19</f>
        <v>0</v>
      </c>
      <c r="AE20" s="317">
        <f t="shared" ref="AE20" si="92">AE18/AE19</f>
        <v>0</v>
      </c>
      <c r="AF20" s="326">
        <f t="shared" ref="AF20" si="93">AF18/AF19</f>
        <v>0</v>
      </c>
      <c r="AG20" s="317">
        <f t="shared" ref="AG20" si="94">AG18/AG19</f>
        <v>0</v>
      </c>
      <c r="AH20" s="317">
        <f t="shared" ref="AH20" si="95">AH18/AH19</f>
        <v>0</v>
      </c>
      <c r="AI20" s="317">
        <f t="shared" ref="AI20" si="96">AI18/AI19</f>
        <v>0</v>
      </c>
      <c r="AJ20" s="317">
        <f t="shared" ref="AJ20" si="97">AJ18/AJ19</f>
        <v>0</v>
      </c>
      <c r="AK20" s="326">
        <f t="shared" ref="AK20" si="98">AK18/AK19</f>
        <v>0</v>
      </c>
      <c r="AL20" s="317">
        <f t="shared" ref="AL20" si="99">AL18/AL19</f>
        <v>0</v>
      </c>
      <c r="AM20" s="317">
        <f t="shared" ref="AM20" si="100">AM18/AM19</f>
        <v>0</v>
      </c>
      <c r="AN20" s="317">
        <f t="shared" ref="AN20" si="101">AN18/AN19</f>
        <v>0</v>
      </c>
      <c r="AO20" s="317">
        <f t="shared" ref="AO20" si="102">AO18/AO19</f>
        <v>0</v>
      </c>
      <c r="AP20" s="326">
        <f t="shared" ref="AP20" si="103">AP18/AP19</f>
        <v>0</v>
      </c>
      <c r="AQ20" s="317">
        <f t="shared" ref="AQ20" si="104">AQ18/AQ19</f>
        <v>0</v>
      </c>
      <c r="AR20" s="317">
        <f t="shared" ref="AR20" si="105">AR18/AR19</f>
        <v>0</v>
      </c>
      <c r="AS20" s="317">
        <f t="shared" ref="AS20" si="106">AS18/AS19</f>
        <v>0</v>
      </c>
      <c r="AT20" s="317">
        <f t="shared" ref="AT20" si="107">AT18/AT19</f>
        <v>0</v>
      </c>
      <c r="AU20" s="326">
        <f t="shared" ref="AU20" si="108">AU18/AU19</f>
        <v>0</v>
      </c>
    </row>
    <row r="21" spans="2:47" x14ac:dyDescent="0.25">
      <c r="B21" s="95"/>
      <c r="C21" s="104"/>
      <c r="D21" s="104"/>
      <c r="E21" s="104"/>
      <c r="F21" s="24"/>
      <c r="G21" s="123"/>
      <c r="H21" s="24"/>
      <c r="I21" s="24"/>
      <c r="J21" s="24"/>
      <c r="K21" s="24"/>
      <c r="L21" s="123"/>
      <c r="M21" s="24"/>
      <c r="N21" s="24"/>
      <c r="O21" s="24"/>
      <c r="P21" s="24"/>
      <c r="Q21" s="123"/>
      <c r="R21" s="104"/>
      <c r="S21" s="24"/>
      <c r="T21" s="104"/>
      <c r="U21" s="24"/>
      <c r="V21" s="123"/>
      <c r="W21" s="104"/>
      <c r="X21" s="24"/>
      <c r="Y21" s="104"/>
      <c r="Z21" s="24"/>
      <c r="AA21" s="123"/>
      <c r="AB21" s="104"/>
      <c r="AC21" s="24"/>
      <c r="AD21" s="104"/>
      <c r="AE21" s="24"/>
      <c r="AF21" s="123"/>
      <c r="AG21" s="104"/>
      <c r="AH21" s="24"/>
      <c r="AI21" s="104"/>
      <c r="AJ21" s="24"/>
      <c r="AK21" s="123"/>
      <c r="AL21" s="104"/>
      <c r="AM21" s="24"/>
      <c r="AN21" s="104"/>
      <c r="AO21" s="24"/>
      <c r="AP21" s="123"/>
      <c r="AQ21" s="104"/>
      <c r="AR21" s="24"/>
      <c r="AS21" s="104"/>
      <c r="AT21" s="24"/>
      <c r="AU21" s="123"/>
    </row>
    <row r="22" spans="2:47" x14ac:dyDescent="0.25">
      <c r="B22" s="322" t="s">
        <v>86</v>
      </c>
      <c r="C22" s="323">
        <f>C15+C18</f>
        <v>-37.970938897168409</v>
      </c>
      <c r="D22" s="323">
        <f t="shared" ref="D22:T22" si="109">D15+D18</f>
        <v>123.74516026658203</v>
      </c>
      <c r="E22" s="323">
        <f t="shared" si="109"/>
        <v>257.58760683760681</v>
      </c>
      <c r="F22" s="323">
        <f t="shared" si="109"/>
        <v>-258.16678561233232</v>
      </c>
      <c r="G22" s="324">
        <f t="shared" si="109"/>
        <v>-129.85435313262815</v>
      </c>
      <c r="H22" s="323">
        <f t="shared" si="109"/>
        <v>185.26633165829145</v>
      </c>
      <c r="I22" s="323">
        <f t="shared" si="109"/>
        <v>239.25298804780877</v>
      </c>
      <c r="J22" s="323">
        <f t="shared" si="109"/>
        <v>180.91841317365271</v>
      </c>
      <c r="K22" s="323">
        <f t="shared" si="109"/>
        <v>-361.70961718020544</v>
      </c>
      <c r="L22" s="324">
        <f t="shared" si="109"/>
        <v>28.305146759899174</v>
      </c>
      <c r="M22" s="323">
        <f t="shared" si="109"/>
        <v>177.00584748478053</v>
      </c>
      <c r="N22" s="323">
        <f t="shared" si="109"/>
        <v>200.34263085399448</v>
      </c>
      <c r="O22" s="323">
        <f t="shared" si="109"/>
        <v>288.92060712200816</v>
      </c>
      <c r="P22" s="323">
        <f t="shared" si="109"/>
        <v>-53.745635032385252</v>
      </c>
      <c r="Q22" s="324">
        <f t="shared" si="109"/>
        <v>385.87548069527764</v>
      </c>
      <c r="R22" s="323">
        <f t="shared" si="109"/>
        <v>-16.242680753564159</v>
      </c>
      <c r="S22" s="323">
        <f t="shared" si="109"/>
        <v>141.43064024390242</v>
      </c>
      <c r="T22" s="323">
        <f t="shared" si="109"/>
        <v>345.44842117758787</v>
      </c>
      <c r="U22" s="323">
        <f t="shared" ref="U22:Y22" si="110">U15+U18</f>
        <v>95.581911234475655</v>
      </c>
      <c r="V22" s="324">
        <f t="shared" si="110"/>
        <v>82.509241106969966</v>
      </c>
      <c r="W22" s="323">
        <f t="shared" si="110"/>
        <v>74.875151679849154</v>
      </c>
      <c r="X22" s="323">
        <f t="shared" si="110"/>
        <v>95.586099370659696</v>
      </c>
      <c r="Y22" s="323">
        <f t="shared" si="110"/>
        <v>86.758618937746206</v>
      </c>
      <c r="Z22" s="323">
        <f t="shared" ref="Z22:AU22" si="111">Z15+Z18</f>
        <v>102.08707162074199</v>
      </c>
      <c r="AA22" s="324">
        <f t="shared" si="111"/>
        <v>94.854953091923363</v>
      </c>
      <c r="AB22" s="323">
        <f t="shared" si="111"/>
        <v>80.761450876880886</v>
      </c>
      <c r="AC22" s="323">
        <f t="shared" si="111"/>
        <v>106.93776064418392</v>
      </c>
      <c r="AD22" s="323">
        <f t="shared" si="111"/>
        <v>96.886765972220857</v>
      </c>
      <c r="AE22" s="323">
        <f t="shared" si="111"/>
        <v>107.7670912373526</v>
      </c>
      <c r="AF22" s="324">
        <f t="shared" si="111"/>
        <v>96.307376156553119</v>
      </c>
      <c r="AG22" s="323">
        <f t="shared" si="111"/>
        <v>85.459622323640346</v>
      </c>
      <c r="AH22" s="323">
        <f t="shared" si="111"/>
        <v>111.41125454543364</v>
      </c>
      <c r="AI22" s="323">
        <f t="shared" si="111"/>
        <v>101.31746713496841</v>
      </c>
      <c r="AJ22" s="323">
        <f t="shared" si="111"/>
        <v>115.18191548755796</v>
      </c>
      <c r="AK22" s="324">
        <f t="shared" si="111"/>
        <v>105.1936739921852</v>
      </c>
      <c r="AL22" s="323">
        <f t="shared" si="111"/>
        <v>91.88676889233254</v>
      </c>
      <c r="AM22" s="323">
        <f t="shared" si="111"/>
        <v>121.06139024241568</v>
      </c>
      <c r="AN22" s="323">
        <f t="shared" si="111"/>
        <v>110.24551290608167</v>
      </c>
      <c r="AO22" s="323">
        <f t="shared" si="111"/>
        <v>123.57223509560711</v>
      </c>
      <c r="AP22" s="324">
        <f t="shared" si="111"/>
        <v>111.64172120900685</v>
      </c>
      <c r="AQ22" s="323">
        <f t="shared" si="111"/>
        <v>99.187304336718384</v>
      </c>
      <c r="AR22" s="323">
        <f t="shared" si="111"/>
        <v>130.38913021752785</v>
      </c>
      <c r="AS22" s="323">
        <f t="shared" si="111"/>
        <v>119.12972261724336</v>
      </c>
      <c r="AT22" s="323">
        <f t="shared" si="111"/>
        <v>133.7099605751971</v>
      </c>
      <c r="AU22" s="324">
        <f t="shared" si="111"/>
        <v>121.65380226940071</v>
      </c>
    </row>
    <row r="23" spans="2:47" x14ac:dyDescent="0.25">
      <c r="B23" s="318"/>
      <c r="C23" s="110"/>
      <c r="D23" s="110"/>
      <c r="E23" s="110"/>
      <c r="F23" s="24"/>
      <c r="G23" s="123"/>
      <c r="H23" s="24"/>
      <c r="I23" s="24"/>
      <c r="J23" s="24"/>
      <c r="K23" s="24"/>
      <c r="L23" s="123"/>
      <c r="M23" s="24"/>
      <c r="N23" s="24"/>
      <c r="O23" s="24"/>
      <c r="P23" s="24"/>
      <c r="Q23" s="123"/>
      <c r="R23" s="104"/>
      <c r="S23" s="24"/>
      <c r="T23" s="104"/>
      <c r="U23" s="24"/>
      <c r="V23" s="123"/>
      <c r="W23" s="104"/>
      <c r="X23" s="24"/>
      <c r="Y23" s="104"/>
      <c r="Z23" s="24"/>
      <c r="AA23" s="123"/>
      <c r="AB23" s="104"/>
      <c r="AC23" s="24"/>
      <c r="AD23" s="104"/>
      <c r="AE23" s="24"/>
      <c r="AF23" s="123"/>
      <c r="AG23" s="104"/>
      <c r="AH23" s="24"/>
      <c r="AI23" s="104"/>
      <c r="AJ23" s="24"/>
      <c r="AK23" s="123"/>
      <c r="AL23" s="104"/>
      <c r="AM23" s="24"/>
      <c r="AN23" s="104"/>
      <c r="AO23" s="24"/>
      <c r="AP23" s="123"/>
      <c r="AQ23" s="104"/>
      <c r="AR23" s="24"/>
      <c r="AS23" s="104"/>
      <c r="AT23" s="24"/>
      <c r="AU23" s="123"/>
    </row>
    <row r="24" spans="2:47" x14ac:dyDescent="0.25">
      <c r="B24" s="197" t="s">
        <v>293</v>
      </c>
      <c r="C24" s="199">
        <f>C12-C22</f>
        <v>162.82353250235352</v>
      </c>
      <c r="D24" s="199">
        <f t="shared" ref="D24:T24" si="112">D12-D22</f>
        <v>11.719522726888002</v>
      </c>
      <c r="E24" s="199">
        <f t="shared" si="112"/>
        <v>-136.64043522401295</v>
      </c>
      <c r="F24" s="199">
        <f t="shared" si="112"/>
        <v>387.73040748024982</v>
      </c>
      <c r="G24" s="327">
        <f t="shared" si="112"/>
        <v>261.29816383855484</v>
      </c>
      <c r="H24" s="199">
        <f t="shared" si="112"/>
        <v>-43.475231601319337</v>
      </c>
      <c r="I24" s="199">
        <f t="shared" si="112"/>
        <v>-83.827185774446065</v>
      </c>
      <c r="J24" s="199">
        <f t="shared" si="112"/>
        <v>-52.805056430713165</v>
      </c>
      <c r="K24" s="199">
        <f t="shared" si="112"/>
        <v>500.95259743338357</v>
      </c>
      <c r="L24" s="327">
        <f t="shared" si="112"/>
        <v>113.50095783604186</v>
      </c>
      <c r="M24" s="199">
        <f t="shared" si="112"/>
        <v>-46.103945687151054</v>
      </c>
      <c r="N24" s="199">
        <f t="shared" si="112"/>
        <v>-57.088929063360865</v>
      </c>
      <c r="O24" s="199">
        <f t="shared" si="112"/>
        <v>-167.00006970992916</v>
      </c>
      <c r="P24" s="199">
        <f t="shared" si="112"/>
        <v>188.32112240041656</v>
      </c>
      <c r="Q24" s="327">
        <f t="shared" si="112"/>
        <v>-243.99430889620345</v>
      </c>
      <c r="R24" s="199">
        <f t="shared" si="112"/>
        <v>137.37993751833631</v>
      </c>
      <c r="S24" s="199">
        <f t="shared" si="112"/>
        <v>-7.1096316955215286</v>
      </c>
      <c r="T24" s="199">
        <f t="shared" si="112"/>
        <v>-222.01157529444137</v>
      </c>
      <c r="U24" s="199">
        <f t="shared" ref="U24:Y24" si="113">U12-U22</f>
        <v>-44.746802026620458</v>
      </c>
      <c r="V24" s="327">
        <f t="shared" si="113"/>
        <v>-32.561594640468627</v>
      </c>
      <c r="W24" s="199">
        <f t="shared" si="113"/>
        <v>-33.979598276959372</v>
      </c>
      <c r="X24" s="199">
        <f t="shared" si="113"/>
        <v>-48.681417851036805</v>
      </c>
      <c r="Y24" s="199">
        <f t="shared" si="113"/>
        <v>-43.861588790707053</v>
      </c>
      <c r="Z24" s="199">
        <f t="shared" ref="Z24:AU24" si="114">Z12-Z22</f>
        <v>-52.637677581871252</v>
      </c>
      <c r="AA24" s="327">
        <f t="shared" si="114"/>
        <v>-50.363529549758368</v>
      </c>
      <c r="AB24" s="199">
        <f t="shared" si="114"/>
        <v>-37.425285635909553</v>
      </c>
      <c r="AC24" s="199">
        <f t="shared" si="114"/>
        <v>-57.848647937148819</v>
      </c>
      <c r="AD24" s="199">
        <f t="shared" si="114"/>
        <v>-52.357354973375628</v>
      </c>
      <c r="AE24" s="199">
        <f t="shared" si="114"/>
        <v>-59.735761067317625</v>
      </c>
      <c r="AF24" s="327">
        <f t="shared" si="114"/>
        <v>-53.091836402743915</v>
      </c>
      <c r="AG24" s="199">
        <f t="shared" si="114"/>
        <v>-44.125141016130463</v>
      </c>
      <c r="AH24" s="199">
        <f t="shared" si="114"/>
        <v>-64.306694876436495</v>
      </c>
      <c r="AI24" s="199">
        <f t="shared" si="114"/>
        <v>-58.418049263234138</v>
      </c>
      <c r="AJ24" s="199">
        <f t="shared" si="114"/>
        <v>-67.358970599463959</v>
      </c>
      <c r="AK24" s="327">
        <f t="shared" si="114"/>
        <v>-62.165626077639011</v>
      </c>
      <c r="AL24" s="199">
        <f t="shared" si="114"/>
        <v>-50.350687484127967</v>
      </c>
      <c r="AM24" s="199">
        <f t="shared" si="114"/>
        <v>-73.871670219037796</v>
      </c>
      <c r="AN24" s="199">
        <f t="shared" si="114"/>
        <v>-67.355023407618575</v>
      </c>
      <c r="AO24" s="199">
        <f t="shared" si="114"/>
        <v>-76.543536080354798</v>
      </c>
      <c r="AP24" s="327">
        <f t="shared" si="114"/>
        <v>-69.328285277318088</v>
      </c>
      <c r="AQ24" s="199">
        <f t="shared" si="114"/>
        <v>-58.527583770627857</v>
      </c>
      <c r="AR24" s="199">
        <f t="shared" si="114"/>
        <v>-84.124908828735016</v>
      </c>
      <c r="AS24" s="199">
        <f t="shared" si="114"/>
        <v>-77.038324751189023</v>
      </c>
      <c r="AT24" s="199">
        <f t="shared" si="114"/>
        <v>-87.175000006999355</v>
      </c>
      <c r="AU24" s="327">
        <f t="shared" si="114"/>
        <v>-79.784600828223375</v>
      </c>
    </row>
    <row r="25" spans="2:47" x14ac:dyDescent="0.25">
      <c r="B25" s="319" t="s">
        <v>294</v>
      </c>
      <c r="C25" s="320"/>
      <c r="D25" s="321">
        <f>D24-C24</f>
        <v>-151.1040097754655</v>
      </c>
      <c r="E25" s="321">
        <f t="shared" ref="E25:AU25" si="115">E24-D24</f>
        <v>-148.35995795090093</v>
      </c>
      <c r="F25" s="321">
        <f t="shared" si="115"/>
        <v>524.37084270426271</v>
      </c>
      <c r="G25" s="328">
        <f t="shared" si="115"/>
        <v>-126.43224364169498</v>
      </c>
      <c r="H25" s="321">
        <f t="shared" si="115"/>
        <v>-304.77339543987421</v>
      </c>
      <c r="I25" s="321">
        <f t="shared" si="115"/>
        <v>-40.351954173126728</v>
      </c>
      <c r="J25" s="321">
        <f t="shared" si="115"/>
        <v>31.0221293437329</v>
      </c>
      <c r="K25" s="321">
        <f t="shared" si="115"/>
        <v>553.75765386409671</v>
      </c>
      <c r="L25" s="328">
        <f t="shared" si="115"/>
        <v>-387.45163959734168</v>
      </c>
      <c r="M25" s="321">
        <f t="shared" si="115"/>
        <v>-159.60490352319292</v>
      </c>
      <c r="N25" s="321">
        <f t="shared" si="115"/>
        <v>-10.984983376209811</v>
      </c>
      <c r="O25" s="321">
        <f t="shared" si="115"/>
        <v>-109.9111406465683</v>
      </c>
      <c r="P25" s="321">
        <f t="shared" si="115"/>
        <v>355.32119211034569</v>
      </c>
      <c r="Q25" s="328">
        <f t="shared" si="115"/>
        <v>-432.31543129661998</v>
      </c>
      <c r="R25" s="321">
        <f t="shared" si="115"/>
        <v>381.37424641453975</v>
      </c>
      <c r="S25" s="321">
        <f t="shared" si="115"/>
        <v>-144.48956921385783</v>
      </c>
      <c r="T25" s="321">
        <f t="shared" si="115"/>
        <v>-214.90194359891984</v>
      </c>
      <c r="U25" s="321">
        <f t="shared" si="115"/>
        <v>177.26477326782091</v>
      </c>
      <c r="V25" s="328">
        <f t="shared" si="115"/>
        <v>12.185207386151831</v>
      </c>
      <c r="W25" s="321">
        <f t="shared" si="115"/>
        <v>-1.4180036364907451</v>
      </c>
      <c r="X25" s="321">
        <f t="shared" si="115"/>
        <v>-14.701819574077433</v>
      </c>
      <c r="Y25" s="321">
        <f t="shared" si="115"/>
        <v>4.8198290603297522</v>
      </c>
      <c r="Z25" s="321">
        <f t="shared" si="115"/>
        <v>-8.7760887911641987</v>
      </c>
      <c r="AA25" s="328">
        <f t="shared" si="115"/>
        <v>2.2741480321128833</v>
      </c>
      <c r="AB25" s="321">
        <f t="shared" si="115"/>
        <v>12.938243913848815</v>
      </c>
      <c r="AC25" s="321">
        <f t="shared" si="115"/>
        <v>-20.423362301239266</v>
      </c>
      <c r="AD25" s="321">
        <f t="shared" si="115"/>
        <v>5.4912929637731906</v>
      </c>
      <c r="AE25" s="321">
        <f t="shared" si="115"/>
        <v>-7.3784060939419973</v>
      </c>
      <c r="AF25" s="328">
        <f t="shared" si="115"/>
        <v>6.64392466457371</v>
      </c>
      <c r="AG25" s="321">
        <f t="shared" si="115"/>
        <v>8.966695386613452</v>
      </c>
      <c r="AH25" s="321">
        <f t="shared" si="115"/>
        <v>-20.181553860306032</v>
      </c>
      <c r="AI25" s="321">
        <f t="shared" si="115"/>
        <v>5.8886456132023568</v>
      </c>
      <c r="AJ25" s="321">
        <f t="shared" si="115"/>
        <v>-8.9409213362298203</v>
      </c>
      <c r="AK25" s="328">
        <f t="shared" si="115"/>
        <v>5.1933445218249474</v>
      </c>
      <c r="AL25" s="321">
        <f t="shared" si="115"/>
        <v>11.814938593511044</v>
      </c>
      <c r="AM25" s="321">
        <f t="shared" si="115"/>
        <v>-23.520982734909829</v>
      </c>
      <c r="AN25" s="321">
        <f t="shared" si="115"/>
        <v>6.5166468114192213</v>
      </c>
      <c r="AO25" s="321">
        <f t="shared" si="115"/>
        <v>-9.1885126727362234</v>
      </c>
      <c r="AP25" s="328">
        <f t="shared" si="115"/>
        <v>7.2152508030367102</v>
      </c>
      <c r="AQ25" s="321">
        <f t="shared" si="115"/>
        <v>10.800701506690231</v>
      </c>
      <c r="AR25" s="321">
        <f t="shared" si="115"/>
        <v>-25.59732505810716</v>
      </c>
      <c r="AS25" s="321">
        <f t="shared" si="115"/>
        <v>7.086584077545993</v>
      </c>
      <c r="AT25" s="321">
        <f t="shared" si="115"/>
        <v>-10.136675255810331</v>
      </c>
      <c r="AU25" s="328">
        <f t="shared" si="115"/>
        <v>7.3903991787759793</v>
      </c>
    </row>
  </sheetData>
  <pageMargins left="0.7" right="0.7" top="0.75" bottom="0.75" header="0.3" footer="0.3"/>
  <pageSetup paperSize="11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C9ECA-2B5D-4246-A599-7F562A143A17}">
  <dimension ref="B1:I1261"/>
  <sheetViews>
    <sheetView showGridLines="0" zoomScaleNormal="100" workbookViewId="0"/>
  </sheetViews>
  <sheetFormatPr defaultColWidth="10.875" defaultRowHeight="15.75" x14ac:dyDescent="0.25"/>
  <cols>
    <col min="1" max="1" width="3.125" style="1" customWidth="1"/>
    <col min="2" max="3" width="16.625" style="206" customWidth="1"/>
    <col min="4" max="4" width="16.625" style="207" customWidth="1"/>
    <col min="5" max="5" width="16.625" style="206" customWidth="1"/>
    <col min="6" max="6" width="16.625" style="207" customWidth="1"/>
    <col min="7" max="7" width="16.625" style="1" customWidth="1"/>
    <col min="8" max="8" width="14.125" style="1" customWidth="1"/>
    <col min="9" max="9" width="14" style="206" customWidth="1"/>
    <col min="10" max="16384" width="10.875" style="1"/>
  </cols>
  <sheetData>
    <row r="1" spans="2:9" ht="18.95" customHeight="1" x14ac:dyDescent="0.25"/>
    <row r="2" spans="2:9" s="208" customFormat="1" x14ac:dyDescent="0.25">
      <c r="B2" s="230" t="s">
        <v>231</v>
      </c>
      <c r="C2" s="231" t="s">
        <v>232</v>
      </c>
      <c r="D2" s="232" t="s">
        <v>233</v>
      </c>
      <c r="E2" s="231" t="s">
        <v>7</v>
      </c>
      <c r="F2" s="233" t="s">
        <v>233</v>
      </c>
      <c r="H2" s="1"/>
      <c r="I2" s="206"/>
    </row>
    <row r="3" spans="2:9" x14ac:dyDescent="0.25">
      <c r="B3" s="210">
        <v>43066</v>
      </c>
      <c r="C3" s="206">
        <v>260.23001099999999</v>
      </c>
      <c r="E3" s="206">
        <v>88.879997000000003</v>
      </c>
      <c r="F3" s="10"/>
    </row>
    <row r="4" spans="2:9" x14ac:dyDescent="0.25">
      <c r="B4" s="210">
        <v>43067</v>
      </c>
      <c r="C4" s="206">
        <v>262.86999500000002</v>
      </c>
      <c r="D4" s="207">
        <f>C4/C3-1</f>
        <v>1.0144809931242005E-2</v>
      </c>
      <c r="E4" s="206">
        <v>88.980002999999996</v>
      </c>
      <c r="F4" s="10">
        <f>E4/E3-1</f>
        <v>1.1251800559803904E-3</v>
      </c>
      <c r="H4" s="214" t="s">
        <v>234</v>
      </c>
      <c r="I4" s="215">
        <f>_xlfn.COVARIANCE.P(D4:D1261,F4:F1261)</f>
        <v>1.1085953106220424E-4</v>
      </c>
    </row>
    <row r="5" spans="2:9" x14ac:dyDescent="0.25">
      <c r="B5" s="210">
        <v>43068</v>
      </c>
      <c r="C5" s="206">
        <v>262.709991</v>
      </c>
      <c r="D5" s="207">
        <f t="shared" ref="D5:D68" si="0">C5/C4-1</f>
        <v>-6.0868110869793934E-4</v>
      </c>
      <c r="E5" s="206">
        <v>89</v>
      </c>
      <c r="F5" s="10">
        <f t="shared" ref="F5:F68" si="1">E5/E4-1</f>
        <v>2.2473588812976786E-4</v>
      </c>
      <c r="H5" s="216" t="s">
        <v>235</v>
      </c>
      <c r="I5" s="217">
        <f>_xlfn.VAR.P(F4:F1261)</f>
        <v>2.2914033508118279E-4</v>
      </c>
    </row>
    <row r="6" spans="2:9" ht="16.5" thickBot="1" x14ac:dyDescent="0.3">
      <c r="B6" s="210">
        <v>43069</v>
      </c>
      <c r="C6" s="206">
        <v>265.01001000000002</v>
      </c>
      <c r="D6" s="207">
        <f t="shared" si="0"/>
        <v>8.7549734642562438E-3</v>
      </c>
      <c r="E6" s="206">
        <v>89.18</v>
      </c>
      <c r="F6" s="10">
        <f t="shared" si="1"/>
        <v>2.022471910112511E-3</v>
      </c>
      <c r="H6" s="218" t="s">
        <v>236</v>
      </c>
      <c r="I6" s="219">
        <f>I4/I5</f>
        <v>0.48380627104751112</v>
      </c>
    </row>
    <row r="7" spans="2:9" x14ac:dyDescent="0.25">
      <c r="B7" s="210">
        <v>43070</v>
      </c>
      <c r="C7" s="206">
        <v>264.459991</v>
      </c>
      <c r="D7" s="207">
        <f t="shared" si="0"/>
        <v>-2.0754649984731088E-3</v>
      </c>
      <c r="E7" s="206">
        <v>88.730002999999996</v>
      </c>
      <c r="F7" s="10">
        <f t="shared" si="1"/>
        <v>-5.0459407939000833E-3</v>
      </c>
    </row>
    <row r="8" spans="2:9" x14ac:dyDescent="0.25">
      <c r="B8" s="210">
        <v>43073</v>
      </c>
      <c r="C8" s="206">
        <v>264.14001500000001</v>
      </c>
      <c r="D8" s="207">
        <f t="shared" si="0"/>
        <v>-1.2099221465979859E-3</v>
      </c>
      <c r="E8" s="206">
        <v>88.620002999999997</v>
      </c>
      <c r="F8" s="10">
        <f t="shared" si="1"/>
        <v>-1.2397159504209387E-3</v>
      </c>
    </row>
    <row r="9" spans="2:9" x14ac:dyDescent="0.25">
      <c r="B9" s="210">
        <v>43074</v>
      </c>
      <c r="C9" s="206">
        <v>263.19000199999999</v>
      </c>
      <c r="D9" s="207">
        <f t="shared" si="0"/>
        <v>-3.5966265845787104E-3</v>
      </c>
      <c r="E9" s="206">
        <v>87.959998999999996</v>
      </c>
      <c r="F9" s="10">
        <f t="shared" si="1"/>
        <v>-7.4475736589627584E-3</v>
      </c>
    </row>
    <row r="10" spans="2:9" x14ac:dyDescent="0.25">
      <c r="B10" s="210">
        <v>43075</v>
      </c>
      <c r="C10" s="206">
        <v>263.23998999999998</v>
      </c>
      <c r="D10" s="207">
        <f t="shared" si="0"/>
        <v>1.8993122694688225E-4</v>
      </c>
      <c r="E10" s="206">
        <v>88.309997999999993</v>
      </c>
      <c r="F10" s="10">
        <f t="shared" si="1"/>
        <v>3.9790700770698795E-3</v>
      </c>
    </row>
    <row r="11" spans="2:9" x14ac:dyDescent="0.25">
      <c r="B11" s="210">
        <v>43076</v>
      </c>
      <c r="C11" s="206">
        <v>264.07000699999998</v>
      </c>
      <c r="D11" s="207">
        <f t="shared" si="0"/>
        <v>3.153080958558041E-3</v>
      </c>
      <c r="E11" s="206">
        <v>87.900002000000001</v>
      </c>
      <c r="F11" s="10">
        <f t="shared" si="1"/>
        <v>-4.642690627169932E-3</v>
      </c>
    </row>
    <row r="12" spans="2:9" x14ac:dyDescent="0.25">
      <c r="B12" s="210">
        <v>43077</v>
      </c>
      <c r="C12" s="206">
        <v>265.51001000000002</v>
      </c>
      <c r="D12" s="207">
        <f t="shared" si="0"/>
        <v>5.4531107730082518E-3</v>
      </c>
      <c r="E12" s="206">
        <v>88.050003000000004</v>
      </c>
      <c r="F12" s="10">
        <f t="shared" si="1"/>
        <v>1.706495979374445E-3</v>
      </c>
    </row>
    <row r="13" spans="2:9" x14ac:dyDescent="0.25">
      <c r="B13" s="210">
        <v>43080</v>
      </c>
      <c r="C13" s="206">
        <v>266.30999800000001</v>
      </c>
      <c r="D13" s="207">
        <f t="shared" si="0"/>
        <v>3.0130238780827767E-3</v>
      </c>
      <c r="E13" s="206">
        <v>88.370002999999997</v>
      </c>
      <c r="F13" s="10">
        <f t="shared" si="1"/>
        <v>3.6342985700976715E-3</v>
      </c>
    </row>
    <row r="14" spans="2:9" x14ac:dyDescent="0.25">
      <c r="B14" s="210">
        <v>43081</v>
      </c>
      <c r="C14" s="206">
        <v>266.77999899999998</v>
      </c>
      <c r="D14" s="207">
        <f t="shared" si="0"/>
        <v>1.764864269196309E-3</v>
      </c>
      <c r="E14" s="206">
        <v>87.129997000000003</v>
      </c>
      <c r="F14" s="10">
        <f t="shared" si="1"/>
        <v>-1.4031978702094161E-2</v>
      </c>
    </row>
    <row r="15" spans="2:9" x14ac:dyDescent="0.25">
      <c r="B15" s="210">
        <v>43082</v>
      </c>
      <c r="C15" s="206">
        <v>266.75</v>
      </c>
      <c r="D15" s="207">
        <f t="shared" si="0"/>
        <v>-1.1244845982616436E-4</v>
      </c>
      <c r="E15" s="206">
        <v>87.559997999999993</v>
      </c>
      <c r="F15" s="10">
        <f t="shared" si="1"/>
        <v>4.9351660140650733E-3</v>
      </c>
    </row>
    <row r="16" spans="2:9" x14ac:dyDescent="0.25">
      <c r="B16" s="210">
        <v>43083</v>
      </c>
      <c r="C16" s="206">
        <v>265.66000400000001</v>
      </c>
      <c r="D16" s="207">
        <f t="shared" si="0"/>
        <v>-4.0862080599811668E-3</v>
      </c>
      <c r="E16" s="206">
        <v>87.559997999999993</v>
      </c>
      <c r="F16" s="10">
        <f t="shared" si="1"/>
        <v>0</v>
      </c>
    </row>
    <row r="17" spans="2:6" x14ac:dyDescent="0.25">
      <c r="B17" s="210">
        <v>43084</v>
      </c>
      <c r="C17" s="206">
        <v>266.51001000000002</v>
      </c>
      <c r="D17" s="207">
        <f t="shared" si="0"/>
        <v>3.1996009455754759E-3</v>
      </c>
      <c r="E17" s="206">
        <v>87.839995999999999</v>
      </c>
      <c r="F17" s="10">
        <f t="shared" si="1"/>
        <v>3.1977844494697205E-3</v>
      </c>
    </row>
    <row r="18" spans="2:6" x14ac:dyDescent="0.25">
      <c r="B18" s="210">
        <v>43087</v>
      </c>
      <c r="C18" s="206">
        <v>268.20001200000002</v>
      </c>
      <c r="D18" s="207">
        <f t="shared" si="0"/>
        <v>6.3412327364364973E-3</v>
      </c>
      <c r="E18" s="206">
        <v>86.540001000000004</v>
      </c>
      <c r="F18" s="10">
        <f t="shared" si="1"/>
        <v>-1.4799579453532719E-2</v>
      </c>
    </row>
    <row r="19" spans="2:6" x14ac:dyDescent="0.25">
      <c r="B19" s="210">
        <v>43088</v>
      </c>
      <c r="C19" s="206">
        <v>267.17001299999998</v>
      </c>
      <c r="D19" s="207">
        <f t="shared" si="0"/>
        <v>-3.8404136984155901E-3</v>
      </c>
      <c r="E19" s="206">
        <v>85.010002</v>
      </c>
      <c r="F19" s="10">
        <f t="shared" si="1"/>
        <v>-1.7679673934831608E-2</v>
      </c>
    </row>
    <row r="20" spans="2:6" x14ac:dyDescent="0.25">
      <c r="B20" s="210">
        <v>43089</v>
      </c>
      <c r="C20" s="206">
        <v>267.02999899999998</v>
      </c>
      <c r="D20" s="207">
        <f t="shared" si="0"/>
        <v>-5.240633049637955E-4</v>
      </c>
      <c r="E20" s="206">
        <v>84.489998</v>
      </c>
      <c r="F20" s="10">
        <f t="shared" si="1"/>
        <v>-6.1169743296795032E-3</v>
      </c>
    </row>
    <row r="21" spans="2:6" x14ac:dyDescent="0.25">
      <c r="B21" s="210">
        <v>43090</v>
      </c>
      <c r="C21" s="206">
        <v>267.57998700000002</v>
      </c>
      <c r="D21" s="207">
        <f t="shared" si="0"/>
        <v>2.0596487363206961E-3</v>
      </c>
      <c r="E21" s="206">
        <v>84.300003000000004</v>
      </c>
      <c r="F21" s="10">
        <f t="shared" si="1"/>
        <v>-2.2487277133086403E-3</v>
      </c>
    </row>
    <row r="22" spans="2:6" x14ac:dyDescent="0.25">
      <c r="B22" s="210">
        <v>43091</v>
      </c>
      <c r="C22" s="206">
        <v>267.51001000000002</v>
      </c>
      <c r="D22" s="207">
        <f t="shared" si="0"/>
        <v>-2.6151806338192696E-4</v>
      </c>
      <c r="E22" s="206">
        <v>84.169998000000007</v>
      </c>
      <c r="F22" s="10">
        <f t="shared" si="1"/>
        <v>-1.5421707636237292E-3</v>
      </c>
    </row>
    <row r="23" spans="2:6" x14ac:dyDescent="0.25">
      <c r="B23" s="210">
        <v>43095</v>
      </c>
      <c r="C23" s="206">
        <v>267.19000199999999</v>
      </c>
      <c r="D23" s="207">
        <f t="shared" si="0"/>
        <v>-1.1962468245582114E-3</v>
      </c>
      <c r="E23" s="206">
        <v>83.599997999999999</v>
      </c>
      <c r="F23" s="10">
        <f t="shared" si="1"/>
        <v>-6.7720091902581103E-3</v>
      </c>
    </row>
    <row r="24" spans="2:6" x14ac:dyDescent="0.25">
      <c r="B24" s="210">
        <v>43096</v>
      </c>
      <c r="C24" s="206">
        <v>267.32000699999998</v>
      </c>
      <c r="D24" s="207">
        <f t="shared" si="0"/>
        <v>4.8656386476619851E-4</v>
      </c>
      <c r="E24" s="206">
        <v>83.980002999999996</v>
      </c>
      <c r="F24" s="10">
        <f t="shared" si="1"/>
        <v>4.545514462811262E-3</v>
      </c>
    </row>
    <row r="25" spans="2:6" x14ac:dyDescent="0.25">
      <c r="B25" s="210">
        <v>43097</v>
      </c>
      <c r="C25" s="206">
        <v>267.86999500000002</v>
      </c>
      <c r="D25" s="207">
        <f t="shared" si="0"/>
        <v>2.0574142810045881E-3</v>
      </c>
      <c r="E25" s="206">
        <v>83.989998</v>
      </c>
      <c r="F25" s="10">
        <f t="shared" si="1"/>
        <v>1.1901642823231029E-4</v>
      </c>
    </row>
    <row r="26" spans="2:6" x14ac:dyDescent="0.25">
      <c r="B26" s="210">
        <v>43098</v>
      </c>
      <c r="C26" s="206">
        <v>266.85998499999999</v>
      </c>
      <c r="D26" s="207">
        <f t="shared" si="0"/>
        <v>-3.7705230852750349E-3</v>
      </c>
      <c r="E26" s="206">
        <v>84.110000999999997</v>
      </c>
      <c r="F26" s="10">
        <f t="shared" si="1"/>
        <v>1.4287772694077105E-3</v>
      </c>
    </row>
    <row r="27" spans="2:6" x14ac:dyDescent="0.25">
      <c r="B27" s="210">
        <v>43102</v>
      </c>
      <c r="C27" s="206">
        <v>268.76998900000001</v>
      </c>
      <c r="D27" s="207">
        <f t="shared" si="0"/>
        <v>7.1573263410025234E-3</v>
      </c>
      <c r="E27" s="206">
        <v>83.230002999999996</v>
      </c>
      <c r="F27" s="10">
        <f t="shared" si="1"/>
        <v>-1.0462465694180634E-2</v>
      </c>
    </row>
    <row r="28" spans="2:6" x14ac:dyDescent="0.25">
      <c r="B28" s="210">
        <v>43103</v>
      </c>
      <c r="C28" s="206">
        <v>270.47000100000002</v>
      </c>
      <c r="D28" s="207">
        <f t="shared" si="0"/>
        <v>6.3251555961481021E-3</v>
      </c>
      <c r="E28" s="206">
        <v>82.970000999999996</v>
      </c>
      <c r="F28" s="10">
        <f t="shared" si="1"/>
        <v>-3.1238975204650465E-3</v>
      </c>
    </row>
    <row r="29" spans="2:6" x14ac:dyDescent="0.25">
      <c r="B29" s="210">
        <v>43104</v>
      </c>
      <c r="C29" s="206">
        <v>271.60998499999999</v>
      </c>
      <c r="D29" s="207">
        <f t="shared" si="0"/>
        <v>4.2148260279704086E-3</v>
      </c>
      <c r="E29" s="206">
        <v>82.32</v>
      </c>
      <c r="F29" s="10">
        <f t="shared" si="1"/>
        <v>-7.8341688823169164E-3</v>
      </c>
    </row>
    <row r="30" spans="2:6" x14ac:dyDescent="0.25">
      <c r="B30" s="210">
        <v>43105</v>
      </c>
      <c r="C30" s="206">
        <v>273.42001299999998</v>
      </c>
      <c r="D30" s="207">
        <f t="shared" si="0"/>
        <v>6.6640701740032782E-3</v>
      </c>
      <c r="E30" s="206">
        <v>81.940002000000007</v>
      </c>
      <c r="F30" s="10">
        <f t="shared" si="1"/>
        <v>-4.6161078717199544E-3</v>
      </c>
    </row>
    <row r="31" spans="2:6" x14ac:dyDescent="0.25">
      <c r="B31" s="210">
        <v>43108</v>
      </c>
      <c r="C31" s="206">
        <v>273.92001299999998</v>
      </c>
      <c r="D31" s="207">
        <f t="shared" si="0"/>
        <v>1.8286883776865714E-3</v>
      </c>
      <c r="E31" s="206">
        <v>82.199996999999996</v>
      </c>
      <c r="F31" s="10">
        <f t="shared" si="1"/>
        <v>3.1729923560410711E-3</v>
      </c>
    </row>
    <row r="32" spans="2:6" x14ac:dyDescent="0.25">
      <c r="B32" s="210">
        <v>43109</v>
      </c>
      <c r="C32" s="206">
        <v>274.540009</v>
      </c>
      <c r="D32" s="207">
        <f t="shared" si="0"/>
        <v>2.2634198692157437E-3</v>
      </c>
      <c r="E32" s="206">
        <v>81.239998</v>
      </c>
      <c r="F32" s="10">
        <f t="shared" si="1"/>
        <v>-1.1678820377572507E-2</v>
      </c>
    </row>
    <row r="33" spans="2:6" x14ac:dyDescent="0.25">
      <c r="B33" s="210">
        <v>43110</v>
      </c>
      <c r="C33" s="206">
        <v>274.11999500000002</v>
      </c>
      <c r="D33" s="207">
        <f t="shared" si="0"/>
        <v>-1.5298826627487827E-3</v>
      </c>
      <c r="E33" s="206">
        <v>80.110000999999997</v>
      </c>
      <c r="F33" s="10">
        <f t="shared" si="1"/>
        <v>-1.3909367649172055E-2</v>
      </c>
    </row>
    <row r="34" spans="2:6" x14ac:dyDescent="0.25">
      <c r="B34" s="210">
        <v>43111</v>
      </c>
      <c r="C34" s="206">
        <v>276.11999500000002</v>
      </c>
      <c r="D34" s="207">
        <f t="shared" si="0"/>
        <v>7.2960748448869239E-3</v>
      </c>
      <c r="E34" s="206">
        <v>79.279999000000004</v>
      </c>
      <c r="F34" s="10">
        <f t="shared" si="1"/>
        <v>-1.0360778799640702E-2</v>
      </c>
    </row>
    <row r="35" spans="2:6" x14ac:dyDescent="0.25">
      <c r="B35" s="210">
        <v>43112</v>
      </c>
      <c r="C35" s="206">
        <v>277.92001299999998</v>
      </c>
      <c r="D35" s="207">
        <f t="shared" si="0"/>
        <v>6.5189701310837123E-3</v>
      </c>
      <c r="E35" s="206">
        <v>78.900002000000001</v>
      </c>
      <c r="F35" s="10">
        <f t="shared" si="1"/>
        <v>-4.7931004640906494E-3</v>
      </c>
    </row>
    <row r="36" spans="2:6" x14ac:dyDescent="0.25">
      <c r="B36" s="210">
        <v>43116</v>
      </c>
      <c r="C36" s="206">
        <v>276.97000100000002</v>
      </c>
      <c r="D36" s="207">
        <f t="shared" si="0"/>
        <v>-3.4182928740722485E-3</v>
      </c>
      <c r="E36" s="206">
        <v>78.419998000000007</v>
      </c>
      <c r="F36" s="10">
        <f t="shared" si="1"/>
        <v>-6.0837007329859194E-3</v>
      </c>
    </row>
    <row r="37" spans="2:6" x14ac:dyDescent="0.25">
      <c r="B37" s="210">
        <v>43117</v>
      </c>
      <c r="C37" s="206">
        <v>279.60998499999999</v>
      </c>
      <c r="D37" s="207">
        <f t="shared" si="0"/>
        <v>9.5316604342285949E-3</v>
      </c>
      <c r="E37" s="206">
        <v>78.410004000000001</v>
      </c>
      <c r="F37" s="10">
        <f t="shared" si="1"/>
        <v>-1.27441982337273E-4</v>
      </c>
    </row>
    <row r="38" spans="2:6" x14ac:dyDescent="0.25">
      <c r="B38" s="210">
        <v>43118</v>
      </c>
      <c r="C38" s="206">
        <v>279.14001500000001</v>
      </c>
      <c r="D38" s="207">
        <f t="shared" si="0"/>
        <v>-1.6808054977006659E-3</v>
      </c>
      <c r="E38" s="206">
        <v>77.339995999999999</v>
      </c>
      <c r="F38" s="10">
        <f t="shared" si="1"/>
        <v>-1.3646319926217565E-2</v>
      </c>
    </row>
    <row r="39" spans="2:6" x14ac:dyDescent="0.25">
      <c r="B39" s="210">
        <v>43119</v>
      </c>
      <c r="C39" s="206">
        <v>280.41000400000001</v>
      </c>
      <c r="D39" s="207">
        <f t="shared" si="0"/>
        <v>4.5496486772060862E-3</v>
      </c>
      <c r="E39" s="206">
        <v>76.819999999999993</v>
      </c>
      <c r="F39" s="10">
        <f t="shared" si="1"/>
        <v>-6.7235069419968596E-3</v>
      </c>
    </row>
    <row r="40" spans="2:6" x14ac:dyDescent="0.25">
      <c r="B40" s="210">
        <v>43122</v>
      </c>
      <c r="C40" s="206">
        <v>282.69000199999999</v>
      </c>
      <c r="D40" s="207">
        <f t="shared" si="0"/>
        <v>8.1309438589072247E-3</v>
      </c>
      <c r="E40" s="206">
        <v>76.949996999999996</v>
      </c>
      <c r="F40" s="10">
        <f t="shared" si="1"/>
        <v>1.6922285863056885E-3</v>
      </c>
    </row>
    <row r="41" spans="2:6" x14ac:dyDescent="0.25">
      <c r="B41" s="210">
        <v>43123</v>
      </c>
      <c r="C41" s="206">
        <v>283.290009</v>
      </c>
      <c r="D41" s="207">
        <f t="shared" si="0"/>
        <v>2.1224910529378249E-3</v>
      </c>
      <c r="E41" s="206">
        <v>77.709998999999996</v>
      </c>
      <c r="F41" s="10">
        <f t="shared" si="1"/>
        <v>9.8765695858311631E-3</v>
      </c>
    </row>
    <row r="42" spans="2:6" x14ac:dyDescent="0.25">
      <c r="B42" s="210">
        <v>43124</v>
      </c>
      <c r="C42" s="206">
        <v>283.17999300000002</v>
      </c>
      <c r="D42" s="207">
        <f t="shared" si="0"/>
        <v>-3.8835114725122022E-4</v>
      </c>
      <c r="E42" s="206">
        <v>77.239998</v>
      </c>
      <c r="F42" s="10">
        <f t="shared" si="1"/>
        <v>-6.0481406002849125E-3</v>
      </c>
    </row>
    <row r="43" spans="2:6" x14ac:dyDescent="0.25">
      <c r="B43" s="210">
        <v>43125</v>
      </c>
      <c r="C43" s="206">
        <v>283.29998799999998</v>
      </c>
      <c r="D43" s="207">
        <f t="shared" si="0"/>
        <v>4.2374109388432224E-4</v>
      </c>
      <c r="E43" s="206">
        <v>78.900002000000001</v>
      </c>
      <c r="F43" s="10">
        <f t="shared" si="1"/>
        <v>2.1491507547682698E-2</v>
      </c>
    </row>
    <row r="44" spans="2:6" x14ac:dyDescent="0.25">
      <c r="B44" s="210">
        <v>43126</v>
      </c>
      <c r="C44" s="206">
        <v>286.57998700000002</v>
      </c>
      <c r="D44" s="207">
        <f t="shared" si="0"/>
        <v>1.1577829646784332E-2</v>
      </c>
      <c r="E44" s="206">
        <v>78.830001999999993</v>
      </c>
      <c r="F44" s="10">
        <f t="shared" si="1"/>
        <v>-8.8719896356914685E-4</v>
      </c>
    </row>
    <row r="45" spans="2:6" x14ac:dyDescent="0.25">
      <c r="B45" s="210">
        <v>43129</v>
      </c>
      <c r="C45" s="206">
        <v>284.67999300000002</v>
      </c>
      <c r="D45" s="207">
        <f t="shared" si="0"/>
        <v>-6.6298907327397849E-3</v>
      </c>
      <c r="E45" s="206">
        <v>77.290001000000004</v>
      </c>
      <c r="F45" s="10">
        <f t="shared" si="1"/>
        <v>-1.9535721945053264E-2</v>
      </c>
    </row>
    <row r="46" spans="2:6" x14ac:dyDescent="0.25">
      <c r="B46" s="210">
        <v>43130</v>
      </c>
      <c r="C46" s="206">
        <v>281.76001000000002</v>
      </c>
      <c r="D46" s="207">
        <f t="shared" si="0"/>
        <v>-1.0257071349583757E-2</v>
      </c>
      <c r="E46" s="206">
        <v>77.660004000000001</v>
      </c>
      <c r="F46" s="10">
        <f t="shared" si="1"/>
        <v>4.7872039748064754E-3</v>
      </c>
    </row>
    <row r="47" spans="2:6" x14ac:dyDescent="0.25">
      <c r="B47" s="210">
        <v>43131</v>
      </c>
      <c r="C47" s="206">
        <v>281.89999399999999</v>
      </c>
      <c r="D47" s="207">
        <f t="shared" si="0"/>
        <v>4.9681997101003184E-4</v>
      </c>
      <c r="E47" s="206">
        <v>78.5</v>
      </c>
      <c r="F47" s="10">
        <f t="shared" si="1"/>
        <v>1.0816327024654848E-2</v>
      </c>
    </row>
    <row r="48" spans="2:6" x14ac:dyDescent="0.25">
      <c r="B48" s="210">
        <v>43132</v>
      </c>
      <c r="C48" s="206">
        <v>281.57998700000002</v>
      </c>
      <c r="D48" s="207">
        <f t="shared" si="0"/>
        <v>-1.1351791657008281E-3</v>
      </c>
      <c r="E48" s="206">
        <v>76.839995999999999</v>
      </c>
      <c r="F48" s="10">
        <f t="shared" si="1"/>
        <v>-2.1146547770700685E-2</v>
      </c>
    </row>
    <row r="49" spans="2:6" x14ac:dyDescent="0.25">
      <c r="B49" s="210">
        <v>43133</v>
      </c>
      <c r="C49" s="206">
        <v>275.45001200000002</v>
      </c>
      <c r="D49" s="207">
        <f t="shared" si="0"/>
        <v>-2.17699242950814E-2</v>
      </c>
      <c r="E49" s="206">
        <v>76.529999000000004</v>
      </c>
      <c r="F49" s="10">
        <f t="shared" si="1"/>
        <v>-4.0343182735198546E-3</v>
      </c>
    </row>
    <row r="50" spans="2:6" x14ac:dyDescent="0.25">
      <c r="B50" s="210">
        <v>43136</v>
      </c>
      <c r="C50" s="206">
        <v>263.92999300000002</v>
      </c>
      <c r="D50" s="207">
        <f t="shared" si="0"/>
        <v>-4.1822539474058895E-2</v>
      </c>
      <c r="E50" s="206">
        <v>75.809997999999993</v>
      </c>
      <c r="F50" s="10">
        <f t="shared" si="1"/>
        <v>-9.40808845430674E-3</v>
      </c>
    </row>
    <row r="51" spans="2:6" x14ac:dyDescent="0.25">
      <c r="B51" s="210">
        <v>43137</v>
      </c>
      <c r="C51" s="206">
        <v>269.13000499999998</v>
      </c>
      <c r="D51" s="207">
        <f t="shared" si="0"/>
        <v>1.9702239752645179E-2</v>
      </c>
      <c r="E51" s="206">
        <v>74.489998</v>
      </c>
      <c r="F51" s="10">
        <f t="shared" si="1"/>
        <v>-1.7411951389314062E-2</v>
      </c>
    </row>
    <row r="52" spans="2:6" x14ac:dyDescent="0.25">
      <c r="B52" s="210">
        <v>43138</v>
      </c>
      <c r="C52" s="206">
        <v>267.67001299999998</v>
      </c>
      <c r="D52" s="207">
        <f t="shared" si="0"/>
        <v>-5.4248577745911186E-3</v>
      </c>
      <c r="E52" s="206">
        <v>74.400002000000001</v>
      </c>
      <c r="F52" s="10">
        <f t="shared" si="1"/>
        <v>-1.2081622018569327E-3</v>
      </c>
    </row>
    <row r="53" spans="2:6" x14ac:dyDescent="0.25">
      <c r="B53" s="210">
        <v>43139</v>
      </c>
      <c r="C53" s="206">
        <v>257.63000499999998</v>
      </c>
      <c r="D53" s="207">
        <f t="shared" si="0"/>
        <v>-3.7508900931685574E-2</v>
      </c>
      <c r="E53" s="206">
        <v>74.319999999999993</v>
      </c>
      <c r="F53" s="10">
        <f t="shared" si="1"/>
        <v>-1.0752956700190719E-3</v>
      </c>
    </row>
    <row r="54" spans="2:6" x14ac:dyDescent="0.25">
      <c r="B54" s="210">
        <v>43140</v>
      </c>
      <c r="C54" s="206">
        <v>261.5</v>
      </c>
      <c r="D54" s="207">
        <f t="shared" si="0"/>
        <v>1.502152282301128E-2</v>
      </c>
      <c r="E54" s="206">
        <v>76.099997999999999</v>
      </c>
      <c r="F54" s="10">
        <f t="shared" si="1"/>
        <v>2.3950457481162646E-2</v>
      </c>
    </row>
    <row r="55" spans="2:6" x14ac:dyDescent="0.25">
      <c r="B55" s="210">
        <v>43143</v>
      </c>
      <c r="C55" s="206">
        <v>265.33999599999999</v>
      </c>
      <c r="D55" s="207">
        <f t="shared" si="0"/>
        <v>1.4684497131931096E-2</v>
      </c>
      <c r="E55" s="206">
        <v>76.809997999999993</v>
      </c>
      <c r="F55" s="10">
        <f t="shared" si="1"/>
        <v>9.3298294173409513E-3</v>
      </c>
    </row>
    <row r="56" spans="2:6" x14ac:dyDescent="0.25">
      <c r="B56" s="210">
        <v>43144</v>
      </c>
      <c r="C56" s="206">
        <v>266</v>
      </c>
      <c r="D56" s="207">
        <f t="shared" si="0"/>
        <v>2.4873898015738138E-3</v>
      </c>
      <c r="E56" s="206">
        <v>77.080001999999993</v>
      </c>
      <c r="F56" s="10">
        <f t="shared" si="1"/>
        <v>3.5152194640077905E-3</v>
      </c>
    </row>
    <row r="57" spans="2:6" x14ac:dyDescent="0.25">
      <c r="B57" s="210">
        <v>43145</v>
      </c>
      <c r="C57" s="206">
        <v>269.58999599999999</v>
      </c>
      <c r="D57" s="207">
        <f t="shared" si="0"/>
        <v>1.3496225563909725E-2</v>
      </c>
      <c r="E57" s="206">
        <v>75.480002999999996</v>
      </c>
      <c r="F57" s="10">
        <f t="shared" si="1"/>
        <v>-2.0757640872920535E-2</v>
      </c>
    </row>
    <row r="58" spans="2:6" x14ac:dyDescent="0.25">
      <c r="B58" s="210">
        <v>43146</v>
      </c>
      <c r="C58" s="206">
        <v>273.02999899999998</v>
      </c>
      <c r="D58" s="207">
        <f t="shared" si="0"/>
        <v>1.2760128532365744E-2</v>
      </c>
      <c r="E58" s="206">
        <v>76.199996999999996</v>
      </c>
      <c r="F58" s="10">
        <f t="shared" si="1"/>
        <v>9.5388708450370174E-3</v>
      </c>
    </row>
    <row r="59" spans="2:6" x14ac:dyDescent="0.25">
      <c r="B59" s="210">
        <v>43147</v>
      </c>
      <c r="C59" s="206">
        <v>273.10998499999999</v>
      </c>
      <c r="D59" s="207">
        <f t="shared" si="0"/>
        <v>2.9295681900509685E-4</v>
      </c>
      <c r="E59" s="206">
        <v>76.699996999999996</v>
      </c>
      <c r="F59" s="10">
        <f t="shared" si="1"/>
        <v>6.5616800483601079E-3</v>
      </c>
    </row>
    <row r="60" spans="2:6" x14ac:dyDescent="0.25">
      <c r="B60" s="210">
        <v>43151</v>
      </c>
      <c r="C60" s="206">
        <v>271.39999399999999</v>
      </c>
      <c r="D60" s="207">
        <f t="shared" si="0"/>
        <v>-6.2611808206133324E-3</v>
      </c>
      <c r="E60" s="206">
        <v>75.690002000000007</v>
      </c>
      <c r="F60" s="10">
        <f t="shared" si="1"/>
        <v>-1.3168123070461002E-2</v>
      </c>
    </row>
    <row r="61" spans="2:6" x14ac:dyDescent="0.25">
      <c r="B61" s="210">
        <v>43152</v>
      </c>
      <c r="C61" s="206">
        <v>270.04998799999998</v>
      </c>
      <c r="D61" s="207">
        <f t="shared" si="0"/>
        <v>-4.9742300289070673E-3</v>
      </c>
      <c r="E61" s="206">
        <v>75.330001999999993</v>
      </c>
      <c r="F61" s="10">
        <f t="shared" si="1"/>
        <v>-4.7562424426942362E-3</v>
      </c>
    </row>
    <row r="62" spans="2:6" x14ac:dyDescent="0.25">
      <c r="B62" s="210">
        <v>43153</v>
      </c>
      <c r="C62" s="206">
        <v>270.39999399999999</v>
      </c>
      <c r="D62" s="207">
        <f t="shared" si="0"/>
        <v>1.2960785615736548E-3</v>
      </c>
      <c r="E62" s="206">
        <v>75.540001000000004</v>
      </c>
      <c r="F62" s="10">
        <f t="shared" si="1"/>
        <v>2.7877206215924932E-3</v>
      </c>
    </row>
    <row r="63" spans="2:6" x14ac:dyDescent="0.25">
      <c r="B63" s="210">
        <v>43154</v>
      </c>
      <c r="C63" s="206">
        <v>274.709991</v>
      </c>
      <c r="D63" s="207">
        <f t="shared" si="0"/>
        <v>1.5939338371435019E-2</v>
      </c>
      <c r="E63" s="206">
        <v>77.220000999999996</v>
      </c>
      <c r="F63" s="10">
        <f t="shared" si="1"/>
        <v>2.2239872620599899E-2</v>
      </c>
    </row>
    <row r="64" spans="2:6" x14ac:dyDescent="0.25">
      <c r="B64" s="210">
        <v>43157</v>
      </c>
      <c r="C64" s="206">
        <v>277.89999399999999</v>
      </c>
      <c r="D64" s="207">
        <f t="shared" si="0"/>
        <v>1.1612256941903487E-2</v>
      </c>
      <c r="E64" s="206">
        <v>77.919998000000007</v>
      </c>
      <c r="F64" s="10">
        <f t="shared" si="1"/>
        <v>9.0649700975788949E-3</v>
      </c>
    </row>
    <row r="65" spans="2:6" x14ac:dyDescent="0.25">
      <c r="B65" s="210">
        <v>43158</v>
      </c>
      <c r="C65" s="206">
        <v>274.42999300000002</v>
      </c>
      <c r="D65" s="207">
        <f t="shared" si="0"/>
        <v>-1.2486509805394119E-2</v>
      </c>
      <c r="E65" s="206">
        <v>76.330001999999993</v>
      </c>
      <c r="F65" s="10">
        <f t="shared" si="1"/>
        <v>-2.0405493336896785E-2</v>
      </c>
    </row>
    <row r="66" spans="2:6" x14ac:dyDescent="0.25">
      <c r="B66" s="210">
        <v>43159</v>
      </c>
      <c r="C66" s="206">
        <v>271.64999399999999</v>
      </c>
      <c r="D66" s="207">
        <f t="shared" si="0"/>
        <v>-1.0130084432863118E-2</v>
      </c>
      <c r="E66" s="206">
        <v>75.339995999999999</v>
      </c>
      <c r="F66" s="10">
        <f t="shared" si="1"/>
        <v>-1.2970076956109522E-2</v>
      </c>
    </row>
    <row r="67" spans="2:6" x14ac:dyDescent="0.25">
      <c r="B67" s="210">
        <v>43160</v>
      </c>
      <c r="C67" s="206">
        <v>267.70001200000002</v>
      </c>
      <c r="D67" s="207">
        <f t="shared" si="0"/>
        <v>-1.4540703431784263E-2</v>
      </c>
      <c r="E67" s="206">
        <v>75.559997999999993</v>
      </c>
      <c r="F67" s="10">
        <f t="shared" si="1"/>
        <v>2.9201222681243255E-3</v>
      </c>
    </row>
    <row r="68" spans="2:6" x14ac:dyDescent="0.25">
      <c r="B68" s="210">
        <v>43161</v>
      </c>
      <c r="C68" s="206">
        <v>269.07998700000002</v>
      </c>
      <c r="D68" s="207">
        <f t="shared" si="0"/>
        <v>5.1549306617140189E-3</v>
      </c>
      <c r="E68" s="206">
        <v>75.349997999999999</v>
      </c>
      <c r="F68" s="10">
        <f t="shared" si="1"/>
        <v>-2.7792483530768575E-3</v>
      </c>
    </row>
    <row r="69" spans="2:6" x14ac:dyDescent="0.25">
      <c r="B69" s="210">
        <v>43164</v>
      </c>
      <c r="C69" s="206">
        <v>272.19000199999999</v>
      </c>
      <c r="D69" s="207">
        <f t="shared" ref="D69:D132" si="2">C69/C68-1</f>
        <v>1.155795729988629E-2</v>
      </c>
      <c r="E69" s="206">
        <v>77.489998</v>
      </c>
      <c r="F69" s="10">
        <f t="shared" ref="F69:F132" si="3">E69/E68-1</f>
        <v>2.8400797037844594E-2</v>
      </c>
    </row>
    <row r="70" spans="2:6" x14ac:dyDescent="0.25">
      <c r="B70" s="210">
        <v>43165</v>
      </c>
      <c r="C70" s="206">
        <v>272.88000499999998</v>
      </c>
      <c r="D70" s="207">
        <f t="shared" si="2"/>
        <v>2.5350049411438924E-3</v>
      </c>
      <c r="E70" s="206">
        <v>75.860000999999997</v>
      </c>
      <c r="F70" s="10">
        <f t="shared" si="3"/>
        <v>-2.1034934082718726E-2</v>
      </c>
    </row>
    <row r="71" spans="2:6" x14ac:dyDescent="0.25">
      <c r="B71" s="210">
        <v>43166</v>
      </c>
      <c r="C71" s="206">
        <v>272.77999899999998</v>
      </c>
      <c r="D71" s="207">
        <f t="shared" si="2"/>
        <v>-3.6648342922751542E-4</v>
      </c>
      <c r="E71" s="206">
        <v>75.25</v>
      </c>
      <c r="F71" s="10">
        <f t="shared" si="3"/>
        <v>-8.041141470588653E-3</v>
      </c>
    </row>
    <row r="72" spans="2:6" x14ac:dyDescent="0.25">
      <c r="B72" s="210">
        <v>43167</v>
      </c>
      <c r="C72" s="206">
        <v>274.10000600000001</v>
      </c>
      <c r="D72" s="207">
        <f t="shared" si="2"/>
        <v>4.839090126985468E-3</v>
      </c>
      <c r="E72" s="206">
        <v>75.989998</v>
      </c>
      <c r="F72" s="10">
        <f t="shared" si="3"/>
        <v>9.8338604651162509E-3</v>
      </c>
    </row>
    <row r="73" spans="2:6" x14ac:dyDescent="0.25">
      <c r="B73" s="210">
        <v>43168</v>
      </c>
      <c r="C73" s="206">
        <v>278.86999500000002</v>
      </c>
      <c r="D73" s="207">
        <f t="shared" si="2"/>
        <v>1.740236736806211E-2</v>
      </c>
      <c r="E73" s="206">
        <v>76.129997000000003</v>
      </c>
      <c r="F73" s="10">
        <f t="shared" si="3"/>
        <v>1.8423345661886525E-3</v>
      </c>
    </row>
    <row r="74" spans="2:6" x14ac:dyDescent="0.25">
      <c r="B74" s="210">
        <v>43171</v>
      </c>
      <c r="C74" s="206">
        <v>278.51998900000001</v>
      </c>
      <c r="D74" s="207">
        <f t="shared" si="2"/>
        <v>-1.2550866219939172E-3</v>
      </c>
      <c r="E74" s="206">
        <v>76.550003000000004</v>
      </c>
      <c r="F74" s="10">
        <f t="shared" si="3"/>
        <v>5.5169580526845952E-3</v>
      </c>
    </row>
    <row r="75" spans="2:6" x14ac:dyDescent="0.25">
      <c r="B75" s="210">
        <v>43172</v>
      </c>
      <c r="C75" s="206">
        <v>276.72000100000002</v>
      </c>
      <c r="D75" s="207">
        <f t="shared" si="2"/>
        <v>-6.4626887515781828E-3</v>
      </c>
      <c r="E75" s="206">
        <v>76.470000999999996</v>
      </c>
      <c r="F75" s="10">
        <f t="shared" si="3"/>
        <v>-1.0450946683830953E-3</v>
      </c>
    </row>
    <row r="76" spans="2:6" x14ac:dyDescent="0.25">
      <c r="B76" s="210">
        <v>43173</v>
      </c>
      <c r="C76" s="206">
        <v>275.29998799999998</v>
      </c>
      <c r="D76" s="207">
        <f t="shared" si="2"/>
        <v>-5.1315878681282845E-3</v>
      </c>
      <c r="E76" s="206">
        <v>77</v>
      </c>
      <c r="F76" s="10">
        <f t="shared" si="3"/>
        <v>6.9308093771307533E-3</v>
      </c>
    </row>
    <row r="77" spans="2:6" x14ac:dyDescent="0.25">
      <c r="B77" s="210">
        <v>43174</v>
      </c>
      <c r="C77" s="206">
        <v>275</v>
      </c>
      <c r="D77" s="207">
        <f t="shared" si="2"/>
        <v>-1.0896767638071125E-3</v>
      </c>
      <c r="E77" s="206">
        <v>76.739998</v>
      </c>
      <c r="F77" s="10">
        <f t="shared" si="3"/>
        <v>-3.3766493506492967E-3</v>
      </c>
    </row>
    <row r="78" spans="2:6" x14ac:dyDescent="0.25">
      <c r="B78" s="210">
        <v>43175</v>
      </c>
      <c r="C78" s="206">
        <v>274.20001200000002</v>
      </c>
      <c r="D78" s="207">
        <f t="shared" si="2"/>
        <v>-2.9090472727272276E-3</v>
      </c>
      <c r="E78" s="206">
        <v>77.589995999999999</v>
      </c>
      <c r="F78" s="10">
        <f t="shared" si="3"/>
        <v>1.1076335967587614E-2</v>
      </c>
    </row>
    <row r="79" spans="2:6" x14ac:dyDescent="0.25">
      <c r="B79" s="210">
        <v>43178</v>
      </c>
      <c r="C79" s="206">
        <v>270.48998999999998</v>
      </c>
      <c r="D79" s="207">
        <f t="shared" si="2"/>
        <v>-1.35303495172715E-2</v>
      </c>
      <c r="E79" s="206">
        <v>77.040001000000004</v>
      </c>
      <c r="F79" s="10">
        <f t="shared" si="3"/>
        <v>-7.0884782620687092E-3</v>
      </c>
    </row>
    <row r="80" spans="2:6" x14ac:dyDescent="0.25">
      <c r="B80" s="210">
        <v>43179</v>
      </c>
      <c r="C80" s="206">
        <v>270.95001200000002</v>
      </c>
      <c r="D80" s="207">
        <f t="shared" si="2"/>
        <v>1.7006987948058327E-3</v>
      </c>
      <c r="E80" s="206">
        <v>76.430000000000007</v>
      </c>
      <c r="F80" s="10">
        <f t="shared" si="3"/>
        <v>-7.9179775711580858E-3</v>
      </c>
    </row>
    <row r="81" spans="2:6" x14ac:dyDescent="0.25">
      <c r="B81" s="210">
        <v>43180</v>
      </c>
      <c r="C81" s="206">
        <v>270.42999300000002</v>
      </c>
      <c r="D81" s="207">
        <f t="shared" si="2"/>
        <v>-1.9192433178412127E-3</v>
      </c>
      <c r="E81" s="206">
        <v>76.180000000000007</v>
      </c>
      <c r="F81" s="10">
        <f t="shared" si="3"/>
        <v>-3.2709668978150308E-3</v>
      </c>
    </row>
    <row r="82" spans="2:6" x14ac:dyDescent="0.25">
      <c r="B82" s="210">
        <v>43181</v>
      </c>
      <c r="C82" s="206">
        <v>263.67001299999998</v>
      </c>
      <c r="D82" s="207">
        <f t="shared" si="2"/>
        <v>-2.4997153329808453E-2</v>
      </c>
      <c r="E82" s="206">
        <v>76.190002000000007</v>
      </c>
      <c r="F82" s="10">
        <f t="shared" si="3"/>
        <v>1.3129430296676681E-4</v>
      </c>
    </row>
    <row r="83" spans="2:6" x14ac:dyDescent="0.25">
      <c r="B83" s="210">
        <v>43182</v>
      </c>
      <c r="C83" s="206">
        <v>258.04998799999998</v>
      </c>
      <c r="D83" s="207">
        <f t="shared" si="2"/>
        <v>-2.1314615704896234E-2</v>
      </c>
      <c r="E83" s="206">
        <v>75.169998000000007</v>
      </c>
      <c r="F83" s="10">
        <f t="shared" si="3"/>
        <v>-1.3387635821298427E-2</v>
      </c>
    </row>
    <row r="84" spans="2:6" x14ac:dyDescent="0.25">
      <c r="B84" s="210">
        <v>43185</v>
      </c>
      <c r="C84" s="206">
        <v>265.10998499999999</v>
      </c>
      <c r="D84" s="207">
        <f t="shared" si="2"/>
        <v>2.7359028592553125E-2</v>
      </c>
      <c r="E84" s="206">
        <v>75.919998000000007</v>
      </c>
      <c r="F84" s="10">
        <f t="shared" si="3"/>
        <v>9.9773848603801341E-3</v>
      </c>
    </row>
    <row r="85" spans="2:6" x14ac:dyDescent="0.25">
      <c r="B85" s="210">
        <v>43186</v>
      </c>
      <c r="C85" s="206">
        <v>260.60000600000001</v>
      </c>
      <c r="D85" s="207">
        <f t="shared" si="2"/>
        <v>-1.7011728170102658E-2</v>
      </c>
      <c r="E85" s="206">
        <v>77.099997999999999</v>
      </c>
      <c r="F85" s="10">
        <f t="shared" si="3"/>
        <v>1.5542676911029396E-2</v>
      </c>
    </row>
    <row r="86" spans="2:6" x14ac:dyDescent="0.25">
      <c r="B86" s="210">
        <v>43187</v>
      </c>
      <c r="C86" s="206">
        <v>259.82998700000002</v>
      </c>
      <c r="D86" s="207">
        <f t="shared" si="2"/>
        <v>-2.9547927178481537E-3</v>
      </c>
      <c r="E86" s="206">
        <v>77.419998000000007</v>
      </c>
      <c r="F86" s="10">
        <f t="shared" si="3"/>
        <v>4.1504540635657339E-3</v>
      </c>
    </row>
    <row r="87" spans="2:6" x14ac:dyDescent="0.25">
      <c r="B87" s="210">
        <v>43188</v>
      </c>
      <c r="C87" s="206">
        <v>263.14999399999999</v>
      </c>
      <c r="D87" s="207">
        <f t="shared" si="2"/>
        <v>1.2777612924254056E-2</v>
      </c>
      <c r="E87" s="206">
        <v>77.470000999999996</v>
      </c>
      <c r="F87" s="10">
        <f t="shared" si="3"/>
        <v>6.4586671779554017E-4</v>
      </c>
    </row>
    <row r="88" spans="2:6" x14ac:dyDescent="0.25">
      <c r="B88" s="210">
        <v>43192</v>
      </c>
      <c r="C88" s="206">
        <v>257.47000100000002</v>
      </c>
      <c r="D88" s="207">
        <f t="shared" si="2"/>
        <v>-2.1584621430772222E-2</v>
      </c>
      <c r="E88" s="206">
        <v>77.099997999999999</v>
      </c>
      <c r="F88" s="10">
        <f t="shared" si="3"/>
        <v>-4.7760810019867872E-3</v>
      </c>
    </row>
    <row r="89" spans="2:6" x14ac:dyDescent="0.25">
      <c r="B89" s="210">
        <v>43193</v>
      </c>
      <c r="C89" s="206">
        <v>260.76998900000001</v>
      </c>
      <c r="D89" s="207">
        <f t="shared" si="2"/>
        <v>1.2816980569320791E-2</v>
      </c>
      <c r="E89" s="206">
        <v>77.260002</v>
      </c>
      <c r="F89" s="10">
        <f t="shared" si="3"/>
        <v>2.0752789124585114E-3</v>
      </c>
    </row>
    <row r="90" spans="2:6" x14ac:dyDescent="0.25">
      <c r="B90" s="210">
        <v>43194</v>
      </c>
      <c r="C90" s="206">
        <v>263.55999800000001</v>
      </c>
      <c r="D90" s="207">
        <f t="shared" si="2"/>
        <v>1.0699118448020517E-2</v>
      </c>
      <c r="E90" s="206">
        <v>77.709998999999996</v>
      </c>
      <c r="F90" s="10">
        <f t="shared" si="3"/>
        <v>5.8244497586215083E-3</v>
      </c>
    </row>
    <row r="91" spans="2:6" x14ac:dyDescent="0.25">
      <c r="B91" s="210">
        <v>43195</v>
      </c>
      <c r="C91" s="206">
        <v>265.64001500000001</v>
      </c>
      <c r="D91" s="207">
        <f t="shared" si="2"/>
        <v>7.8920056753073453E-3</v>
      </c>
      <c r="E91" s="206">
        <v>78.599997999999999</v>
      </c>
      <c r="F91" s="10">
        <f t="shared" si="3"/>
        <v>1.1452824751677193E-2</v>
      </c>
    </row>
    <row r="92" spans="2:6" x14ac:dyDescent="0.25">
      <c r="B92" s="210">
        <v>43196</v>
      </c>
      <c r="C92" s="206">
        <v>259.72000100000002</v>
      </c>
      <c r="D92" s="207">
        <f t="shared" si="2"/>
        <v>-2.2285851775757481E-2</v>
      </c>
      <c r="E92" s="206">
        <v>78.160004000000001</v>
      </c>
      <c r="F92" s="10">
        <f t="shared" si="3"/>
        <v>-5.597888183152322E-3</v>
      </c>
    </row>
    <row r="93" spans="2:6" x14ac:dyDescent="0.25">
      <c r="B93" s="210">
        <v>43199</v>
      </c>
      <c r="C93" s="206">
        <v>261</v>
      </c>
      <c r="D93" s="207">
        <f t="shared" si="2"/>
        <v>4.9283805447082329E-3</v>
      </c>
      <c r="E93" s="206">
        <v>78.470000999999996</v>
      </c>
      <c r="F93" s="10">
        <f t="shared" si="3"/>
        <v>3.9661845462546363E-3</v>
      </c>
    </row>
    <row r="94" spans="2:6" x14ac:dyDescent="0.25">
      <c r="B94" s="210">
        <v>43200</v>
      </c>
      <c r="C94" s="206">
        <v>265.14999399999999</v>
      </c>
      <c r="D94" s="207">
        <f t="shared" si="2"/>
        <v>1.5900360153256576E-2</v>
      </c>
      <c r="E94" s="206">
        <v>77.519997000000004</v>
      </c>
      <c r="F94" s="10">
        <f t="shared" si="3"/>
        <v>-1.2106588350878078E-2</v>
      </c>
    </row>
    <row r="95" spans="2:6" x14ac:dyDescent="0.25">
      <c r="B95" s="210">
        <v>43201</v>
      </c>
      <c r="C95" s="206">
        <v>263.76001000000002</v>
      </c>
      <c r="D95" s="207">
        <f t="shared" si="2"/>
        <v>-5.2422554457985937E-3</v>
      </c>
      <c r="E95" s="206">
        <v>77.080001999999993</v>
      </c>
      <c r="F95" s="10">
        <f t="shared" si="3"/>
        <v>-5.6758903125345705E-3</v>
      </c>
    </row>
    <row r="96" spans="2:6" x14ac:dyDescent="0.25">
      <c r="B96" s="210">
        <v>43202</v>
      </c>
      <c r="C96" s="206">
        <v>265.92999300000002</v>
      </c>
      <c r="D96" s="207">
        <f t="shared" si="2"/>
        <v>8.227111456357683E-3</v>
      </c>
      <c r="E96" s="206">
        <v>76.139999000000003</v>
      </c>
      <c r="F96" s="10">
        <f t="shared" si="3"/>
        <v>-1.2195160555392714E-2</v>
      </c>
    </row>
    <row r="97" spans="2:6" x14ac:dyDescent="0.25">
      <c r="B97" s="210">
        <v>43203</v>
      </c>
      <c r="C97" s="206">
        <v>265.14999399999999</v>
      </c>
      <c r="D97" s="207">
        <f t="shared" si="2"/>
        <v>-2.933099013017415E-3</v>
      </c>
      <c r="E97" s="206">
        <v>76.669998000000007</v>
      </c>
      <c r="F97" s="10">
        <f t="shared" si="3"/>
        <v>6.9608485285113098E-3</v>
      </c>
    </row>
    <row r="98" spans="2:6" x14ac:dyDescent="0.25">
      <c r="B98" s="210">
        <v>43206</v>
      </c>
      <c r="C98" s="206">
        <v>267.32998700000002</v>
      </c>
      <c r="D98" s="207">
        <f t="shared" si="2"/>
        <v>8.2217350531037514E-3</v>
      </c>
      <c r="E98" s="206">
        <v>77.959998999999996</v>
      </c>
      <c r="F98" s="10">
        <f t="shared" si="3"/>
        <v>1.6825368901144167E-2</v>
      </c>
    </row>
    <row r="99" spans="2:6" x14ac:dyDescent="0.25">
      <c r="B99" s="210">
        <v>43207</v>
      </c>
      <c r="C99" s="206">
        <v>270.19000199999999</v>
      </c>
      <c r="D99" s="207">
        <f t="shared" si="2"/>
        <v>1.0698444391126216E-2</v>
      </c>
      <c r="E99" s="206">
        <v>78.5</v>
      </c>
      <c r="F99" s="10">
        <f t="shared" si="3"/>
        <v>6.9266419564730786E-3</v>
      </c>
    </row>
    <row r="100" spans="2:6" x14ac:dyDescent="0.25">
      <c r="B100" s="210">
        <v>43208</v>
      </c>
      <c r="C100" s="206">
        <v>270.39001500000001</v>
      </c>
      <c r="D100" s="207">
        <f t="shared" si="2"/>
        <v>7.4026795410442325E-4</v>
      </c>
      <c r="E100" s="206">
        <v>78.279999000000004</v>
      </c>
      <c r="F100" s="10">
        <f t="shared" si="3"/>
        <v>-2.8025605095540751E-3</v>
      </c>
    </row>
    <row r="101" spans="2:6" x14ac:dyDescent="0.25">
      <c r="B101" s="210">
        <v>43209</v>
      </c>
      <c r="C101" s="206">
        <v>268.89001500000001</v>
      </c>
      <c r="D101" s="207">
        <f t="shared" si="2"/>
        <v>-5.547542130947436E-3</v>
      </c>
      <c r="E101" s="206">
        <v>78.519997000000004</v>
      </c>
      <c r="F101" s="10">
        <f t="shared" si="3"/>
        <v>3.0658917100905292E-3</v>
      </c>
    </row>
    <row r="102" spans="2:6" x14ac:dyDescent="0.25">
      <c r="B102" s="210">
        <v>43210</v>
      </c>
      <c r="C102" s="206">
        <v>266.60998499999999</v>
      </c>
      <c r="D102" s="207">
        <f t="shared" si="2"/>
        <v>-8.4794149012934472E-3</v>
      </c>
      <c r="E102" s="206">
        <v>77.680000000000007</v>
      </c>
      <c r="F102" s="10">
        <f t="shared" si="3"/>
        <v>-1.0697873562068527E-2</v>
      </c>
    </row>
    <row r="103" spans="2:6" x14ac:dyDescent="0.25">
      <c r="B103" s="210">
        <v>43213</v>
      </c>
      <c r="C103" s="206">
        <v>266.57000699999998</v>
      </c>
      <c r="D103" s="207">
        <f t="shared" si="2"/>
        <v>-1.4994937267642783E-4</v>
      </c>
      <c r="E103" s="206">
        <v>77.989998</v>
      </c>
      <c r="F103" s="10">
        <f t="shared" si="3"/>
        <v>3.9907054582903889E-3</v>
      </c>
    </row>
    <row r="104" spans="2:6" x14ac:dyDescent="0.25">
      <c r="B104" s="210">
        <v>43214</v>
      </c>
      <c r="C104" s="206">
        <v>262.98001099999999</v>
      </c>
      <c r="D104" s="207">
        <f t="shared" si="2"/>
        <v>-1.3467366566862093E-2</v>
      </c>
      <c r="E104" s="206">
        <v>78.220000999999996</v>
      </c>
      <c r="F104" s="10">
        <f t="shared" si="3"/>
        <v>2.9491345800520818E-3</v>
      </c>
    </row>
    <row r="105" spans="2:6" x14ac:dyDescent="0.25">
      <c r="B105" s="210">
        <v>43215</v>
      </c>
      <c r="C105" s="206">
        <v>263.63000499999998</v>
      </c>
      <c r="D105" s="207">
        <f t="shared" si="2"/>
        <v>2.471647930686327E-3</v>
      </c>
      <c r="E105" s="206">
        <v>78.889999000000003</v>
      </c>
      <c r="F105" s="10">
        <f t="shared" si="3"/>
        <v>8.5655585711383875E-3</v>
      </c>
    </row>
    <row r="106" spans="2:6" x14ac:dyDescent="0.25">
      <c r="B106" s="210">
        <v>43216</v>
      </c>
      <c r="C106" s="206">
        <v>266.30999800000001</v>
      </c>
      <c r="D106" s="207">
        <f t="shared" si="2"/>
        <v>1.0165735876688231E-2</v>
      </c>
      <c r="E106" s="206">
        <v>79.839995999999999</v>
      </c>
      <c r="F106" s="10">
        <f t="shared" si="3"/>
        <v>1.204204603932113E-2</v>
      </c>
    </row>
    <row r="107" spans="2:6" x14ac:dyDescent="0.25">
      <c r="B107" s="210">
        <v>43217</v>
      </c>
      <c r="C107" s="206">
        <v>266.55999800000001</v>
      </c>
      <c r="D107" s="207">
        <f t="shared" si="2"/>
        <v>9.3875559264589015E-4</v>
      </c>
      <c r="E107" s="206">
        <v>80.5</v>
      </c>
      <c r="F107" s="10">
        <f t="shared" si="3"/>
        <v>8.266583580490261E-3</v>
      </c>
    </row>
    <row r="108" spans="2:6" x14ac:dyDescent="0.25">
      <c r="B108" s="210">
        <v>43220</v>
      </c>
      <c r="C108" s="206">
        <v>264.51001000000002</v>
      </c>
      <c r="D108" s="207">
        <f t="shared" si="2"/>
        <v>-7.6905312701870399E-3</v>
      </c>
      <c r="E108" s="206">
        <v>80.160004000000001</v>
      </c>
      <c r="F108" s="10">
        <f t="shared" si="3"/>
        <v>-4.2235527950310603E-3</v>
      </c>
    </row>
    <row r="109" spans="2:6" x14ac:dyDescent="0.25">
      <c r="B109" s="210">
        <v>43221</v>
      </c>
      <c r="C109" s="206">
        <v>264.98001099999999</v>
      </c>
      <c r="D109" s="207">
        <f t="shared" si="2"/>
        <v>1.7768741530801435E-3</v>
      </c>
      <c r="E109" s="206">
        <v>79.830001999999993</v>
      </c>
      <c r="F109" s="10">
        <f t="shared" si="3"/>
        <v>-4.1167912117370253E-3</v>
      </c>
    </row>
    <row r="110" spans="2:6" x14ac:dyDescent="0.25">
      <c r="B110" s="210">
        <v>43222</v>
      </c>
      <c r="C110" s="206">
        <v>263.20001200000002</v>
      </c>
      <c r="D110" s="207">
        <f t="shared" si="2"/>
        <v>-6.717484059580503E-3</v>
      </c>
      <c r="E110" s="206">
        <v>79.980002999999996</v>
      </c>
      <c r="F110" s="10">
        <f t="shared" si="3"/>
        <v>1.8790053393711315E-3</v>
      </c>
    </row>
    <row r="111" spans="2:6" x14ac:dyDescent="0.25">
      <c r="B111" s="210">
        <v>43223</v>
      </c>
      <c r="C111" s="206">
        <v>262.61999500000002</v>
      </c>
      <c r="D111" s="207">
        <f t="shared" si="2"/>
        <v>-2.2037119056058652E-3</v>
      </c>
      <c r="E111" s="206">
        <v>79.760002</v>
      </c>
      <c r="F111" s="10">
        <f t="shared" si="3"/>
        <v>-2.7507000718666186E-3</v>
      </c>
    </row>
    <row r="112" spans="2:6" x14ac:dyDescent="0.25">
      <c r="B112" s="210">
        <v>43224</v>
      </c>
      <c r="C112" s="206">
        <v>266.01998900000001</v>
      </c>
      <c r="D112" s="207">
        <f t="shared" si="2"/>
        <v>1.2946439969279577E-2</v>
      </c>
      <c r="E112" s="206">
        <v>79.879997000000003</v>
      </c>
      <c r="F112" s="10">
        <f t="shared" si="3"/>
        <v>1.5044508148331914E-3</v>
      </c>
    </row>
    <row r="113" spans="2:6" x14ac:dyDescent="0.25">
      <c r="B113" s="210">
        <v>43227</v>
      </c>
      <c r="C113" s="206">
        <v>266.92001299999998</v>
      </c>
      <c r="D113" s="207">
        <f t="shared" si="2"/>
        <v>3.3832946290361932E-3</v>
      </c>
      <c r="E113" s="206">
        <v>79.5</v>
      </c>
      <c r="F113" s="10">
        <f t="shared" si="3"/>
        <v>-4.7570983258800048E-3</v>
      </c>
    </row>
    <row r="114" spans="2:6" x14ac:dyDescent="0.25">
      <c r="B114" s="210">
        <v>43228</v>
      </c>
      <c r="C114" s="206">
        <v>266.92001299999998</v>
      </c>
      <c r="D114" s="207">
        <f t="shared" si="2"/>
        <v>0</v>
      </c>
      <c r="E114" s="206">
        <v>77.879997000000003</v>
      </c>
      <c r="F114" s="10">
        <f t="shared" si="3"/>
        <v>-2.0377396226415101E-2</v>
      </c>
    </row>
    <row r="115" spans="2:6" x14ac:dyDescent="0.25">
      <c r="B115" s="210">
        <v>43229</v>
      </c>
      <c r="C115" s="206">
        <v>269.5</v>
      </c>
      <c r="D115" s="207">
        <f t="shared" si="2"/>
        <v>9.6657682989098603E-3</v>
      </c>
      <c r="E115" s="206">
        <v>77.639999000000003</v>
      </c>
      <c r="F115" s="10">
        <f t="shared" si="3"/>
        <v>-3.0816385367863353E-3</v>
      </c>
    </row>
    <row r="116" spans="2:6" x14ac:dyDescent="0.25">
      <c r="B116" s="210">
        <v>43230</v>
      </c>
      <c r="C116" s="206">
        <v>272.01998900000001</v>
      </c>
      <c r="D116" s="207">
        <f t="shared" si="2"/>
        <v>9.3506085343229017E-3</v>
      </c>
      <c r="E116" s="206">
        <v>78.160004000000001</v>
      </c>
      <c r="F116" s="10">
        <f t="shared" si="3"/>
        <v>6.6976430538079335E-3</v>
      </c>
    </row>
    <row r="117" spans="2:6" x14ac:dyDescent="0.25">
      <c r="B117" s="210">
        <v>43231</v>
      </c>
      <c r="C117" s="206">
        <v>272.85000600000001</v>
      </c>
      <c r="D117" s="207">
        <f t="shared" si="2"/>
        <v>3.0513088506889385E-3</v>
      </c>
      <c r="E117" s="206">
        <v>77.910004000000001</v>
      </c>
      <c r="F117" s="10">
        <f t="shared" si="3"/>
        <v>-3.1985668782719134E-3</v>
      </c>
    </row>
    <row r="118" spans="2:6" x14ac:dyDescent="0.25">
      <c r="B118" s="210">
        <v>43234</v>
      </c>
      <c r="C118" s="206">
        <v>272.98001099999999</v>
      </c>
      <c r="D118" s="207">
        <f t="shared" si="2"/>
        <v>4.7647057775757062E-4</v>
      </c>
      <c r="E118" s="206">
        <v>77.830001999999993</v>
      </c>
      <c r="F118" s="10">
        <f t="shared" si="3"/>
        <v>-1.026851442595289E-3</v>
      </c>
    </row>
    <row r="119" spans="2:6" x14ac:dyDescent="0.25">
      <c r="B119" s="210">
        <v>43235</v>
      </c>
      <c r="C119" s="206">
        <v>271.10000600000001</v>
      </c>
      <c r="D119" s="207">
        <f t="shared" si="2"/>
        <v>-6.8869694638556966E-3</v>
      </c>
      <c r="E119" s="206">
        <v>76.930000000000007</v>
      </c>
      <c r="F119" s="10">
        <f t="shared" si="3"/>
        <v>-1.1563689796641463E-2</v>
      </c>
    </row>
    <row r="120" spans="2:6" x14ac:dyDescent="0.25">
      <c r="B120" s="210">
        <v>43236</v>
      </c>
      <c r="C120" s="206">
        <v>272.23998999999998</v>
      </c>
      <c r="D120" s="207">
        <f t="shared" si="2"/>
        <v>4.2050312606778384E-3</v>
      </c>
      <c r="E120" s="206">
        <v>76.029999000000004</v>
      </c>
      <c r="F120" s="10">
        <f t="shared" si="3"/>
        <v>-1.1698960093591615E-2</v>
      </c>
    </row>
    <row r="121" spans="2:6" x14ac:dyDescent="0.25">
      <c r="B121" s="210">
        <v>43237</v>
      </c>
      <c r="C121" s="206">
        <v>272.01001000000002</v>
      </c>
      <c r="D121" s="207">
        <f t="shared" si="2"/>
        <v>-8.4476935221733385E-4</v>
      </c>
      <c r="E121" s="206">
        <v>74.150002000000001</v>
      </c>
      <c r="F121" s="10">
        <f t="shared" si="3"/>
        <v>-2.4727042282349676E-2</v>
      </c>
    </row>
    <row r="122" spans="2:6" x14ac:dyDescent="0.25">
      <c r="B122" s="210">
        <v>43238</v>
      </c>
      <c r="C122" s="206">
        <v>271.32998700000002</v>
      </c>
      <c r="D122" s="207">
        <f t="shared" si="2"/>
        <v>-2.4999925554211044E-3</v>
      </c>
      <c r="E122" s="206">
        <v>73.800003000000004</v>
      </c>
      <c r="F122" s="10">
        <f t="shared" si="3"/>
        <v>-4.7201482206298273E-3</v>
      </c>
    </row>
    <row r="123" spans="2:6" x14ac:dyDescent="0.25">
      <c r="B123" s="210">
        <v>43241</v>
      </c>
      <c r="C123" s="206">
        <v>273.36999500000002</v>
      </c>
      <c r="D123" s="207">
        <f t="shared" si="2"/>
        <v>7.5185497281582414E-3</v>
      </c>
      <c r="E123" s="206">
        <v>73.680000000000007</v>
      </c>
      <c r="F123" s="10">
        <f t="shared" si="3"/>
        <v>-1.6260568444691481E-3</v>
      </c>
    </row>
    <row r="124" spans="2:6" x14ac:dyDescent="0.25">
      <c r="B124" s="210">
        <v>43242</v>
      </c>
      <c r="C124" s="206">
        <v>272.60998499999999</v>
      </c>
      <c r="D124" s="207">
        <f t="shared" si="2"/>
        <v>-2.7801514939488348E-3</v>
      </c>
      <c r="E124" s="206">
        <v>74.069999999999993</v>
      </c>
      <c r="F124" s="10">
        <f t="shared" si="3"/>
        <v>5.293159609120357E-3</v>
      </c>
    </row>
    <row r="125" spans="2:6" x14ac:dyDescent="0.25">
      <c r="B125" s="210">
        <v>43243</v>
      </c>
      <c r="C125" s="206">
        <v>273.35998499999999</v>
      </c>
      <c r="D125" s="207">
        <f t="shared" si="2"/>
        <v>2.7511831600739445E-3</v>
      </c>
      <c r="E125" s="206">
        <v>74.870002999999997</v>
      </c>
      <c r="F125" s="10">
        <f t="shared" si="3"/>
        <v>1.0800634534899434E-2</v>
      </c>
    </row>
    <row r="126" spans="2:6" x14ac:dyDescent="0.25">
      <c r="B126" s="210">
        <v>43244</v>
      </c>
      <c r="C126" s="206">
        <v>272.79998799999998</v>
      </c>
      <c r="D126" s="207">
        <f t="shared" si="2"/>
        <v>-2.0485697641519085E-3</v>
      </c>
      <c r="E126" s="206">
        <v>75.739998</v>
      </c>
      <c r="F126" s="10">
        <f t="shared" si="3"/>
        <v>1.1620074330703556E-2</v>
      </c>
    </row>
    <row r="127" spans="2:6" x14ac:dyDescent="0.25">
      <c r="B127" s="210">
        <v>43245</v>
      </c>
      <c r="C127" s="206">
        <v>272.14999399999999</v>
      </c>
      <c r="D127" s="207">
        <f t="shared" si="2"/>
        <v>-2.3826760578889994E-3</v>
      </c>
      <c r="E127" s="206">
        <v>75.809997999999993</v>
      </c>
      <c r="F127" s="10">
        <f t="shared" si="3"/>
        <v>9.2421444214974002E-4</v>
      </c>
    </row>
    <row r="128" spans="2:6" x14ac:dyDescent="0.25">
      <c r="B128" s="210">
        <v>43249</v>
      </c>
      <c r="C128" s="206">
        <v>269.01998900000001</v>
      </c>
      <c r="D128" s="207">
        <f t="shared" si="2"/>
        <v>-1.1501029097946591E-2</v>
      </c>
      <c r="E128" s="206">
        <v>76.599997999999999</v>
      </c>
      <c r="F128" s="10">
        <f t="shared" si="3"/>
        <v>1.0420789089059301E-2</v>
      </c>
    </row>
    <row r="129" spans="2:6" x14ac:dyDescent="0.25">
      <c r="B129" s="210">
        <v>43250</v>
      </c>
      <c r="C129" s="206">
        <v>272.60998499999999</v>
      </c>
      <c r="D129" s="207">
        <f t="shared" si="2"/>
        <v>1.3344718410496892E-2</v>
      </c>
      <c r="E129" s="206">
        <v>76.980002999999996</v>
      </c>
      <c r="F129" s="10">
        <f t="shared" si="3"/>
        <v>4.960900912817312E-3</v>
      </c>
    </row>
    <row r="130" spans="2:6" x14ac:dyDescent="0.25">
      <c r="B130" s="210">
        <v>43251</v>
      </c>
      <c r="C130" s="206">
        <v>270.94000199999999</v>
      </c>
      <c r="D130" s="207">
        <f t="shared" si="2"/>
        <v>-6.1259054762795584E-3</v>
      </c>
      <c r="E130" s="206">
        <v>77.160004000000001</v>
      </c>
      <c r="F130" s="10">
        <f t="shared" si="3"/>
        <v>2.3382825796980367E-3</v>
      </c>
    </row>
    <row r="131" spans="2:6" x14ac:dyDescent="0.25">
      <c r="B131" s="210">
        <v>43252</v>
      </c>
      <c r="C131" s="206">
        <v>273.60000600000001</v>
      </c>
      <c r="D131" s="207">
        <f t="shared" si="2"/>
        <v>9.817686500201761E-3</v>
      </c>
      <c r="E131" s="206">
        <v>76.080001999999993</v>
      </c>
      <c r="F131" s="10">
        <f t="shared" si="3"/>
        <v>-1.399691477465459E-2</v>
      </c>
    </row>
    <row r="132" spans="2:6" x14ac:dyDescent="0.25">
      <c r="B132" s="210">
        <v>43255</v>
      </c>
      <c r="C132" s="206">
        <v>274.89999399999999</v>
      </c>
      <c r="D132" s="207">
        <f t="shared" si="2"/>
        <v>4.7514180244572213E-3</v>
      </c>
      <c r="E132" s="206">
        <v>75.370002999999997</v>
      </c>
      <c r="F132" s="10">
        <f t="shared" si="3"/>
        <v>-9.3322684192358452E-3</v>
      </c>
    </row>
    <row r="133" spans="2:6" x14ac:dyDescent="0.25">
      <c r="B133" s="210">
        <v>43256</v>
      </c>
      <c r="C133" s="206">
        <v>275.10000600000001</v>
      </c>
      <c r="D133" s="207">
        <f t="shared" ref="D133:D196" si="4">C133/C132-1</f>
        <v>7.275809544033951E-4</v>
      </c>
      <c r="E133" s="206">
        <v>74.75</v>
      </c>
      <c r="F133" s="10">
        <f t="shared" ref="F133:F196" si="5">E133/E132-1</f>
        <v>-8.226124125270351E-3</v>
      </c>
    </row>
    <row r="134" spans="2:6" x14ac:dyDescent="0.25">
      <c r="B134" s="210">
        <v>43257</v>
      </c>
      <c r="C134" s="206">
        <v>277.39999399999999</v>
      </c>
      <c r="D134" s="207">
        <f t="shared" si="4"/>
        <v>8.3605523440082319E-3</v>
      </c>
      <c r="E134" s="206">
        <v>73.139999000000003</v>
      </c>
      <c r="F134" s="10">
        <f t="shared" si="5"/>
        <v>-2.153847491638794E-2</v>
      </c>
    </row>
    <row r="135" spans="2:6" x14ac:dyDescent="0.25">
      <c r="B135" s="210">
        <v>43258</v>
      </c>
      <c r="C135" s="206">
        <v>277.36999500000002</v>
      </c>
      <c r="D135" s="207">
        <f t="shared" si="4"/>
        <v>-1.0814347746512798E-4</v>
      </c>
      <c r="E135" s="206">
        <v>73.480002999999996</v>
      </c>
      <c r="F135" s="10">
        <f t="shared" si="5"/>
        <v>4.6486738398778815E-3</v>
      </c>
    </row>
    <row r="136" spans="2:6" x14ac:dyDescent="0.25">
      <c r="B136" s="210">
        <v>43259</v>
      </c>
      <c r="C136" s="206">
        <v>278.19000199999999</v>
      </c>
      <c r="D136" s="207">
        <f t="shared" si="4"/>
        <v>2.9563651973241178E-3</v>
      </c>
      <c r="E136" s="206">
        <v>73.120002999999997</v>
      </c>
      <c r="F136" s="10">
        <f t="shared" si="5"/>
        <v>-4.8992921244165322E-3</v>
      </c>
    </row>
    <row r="137" spans="2:6" x14ac:dyDescent="0.25">
      <c r="B137" s="210">
        <v>43262</v>
      </c>
      <c r="C137" s="206">
        <v>278.55999800000001</v>
      </c>
      <c r="D137" s="207">
        <f t="shared" si="4"/>
        <v>1.330011852834323E-3</v>
      </c>
      <c r="E137" s="206">
        <v>72.120002999999997</v>
      </c>
      <c r="F137" s="10">
        <f t="shared" si="5"/>
        <v>-1.3676148235387764E-2</v>
      </c>
    </row>
    <row r="138" spans="2:6" x14ac:dyDescent="0.25">
      <c r="B138" s="210">
        <v>43263</v>
      </c>
      <c r="C138" s="206">
        <v>278.92001299999998</v>
      </c>
      <c r="D138" s="207">
        <f t="shared" si="4"/>
        <v>1.2924145698764988E-3</v>
      </c>
      <c r="E138" s="206">
        <v>72.480002999999996</v>
      </c>
      <c r="F138" s="10">
        <f t="shared" si="5"/>
        <v>4.9916803248053476E-3</v>
      </c>
    </row>
    <row r="139" spans="2:6" x14ac:dyDescent="0.25">
      <c r="B139" s="210">
        <v>43264</v>
      </c>
      <c r="C139" s="206">
        <v>278.02999899999998</v>
      </c>
      <c r="D139" s="207">
        <f t="shared" si="4"/>
        <v>-3.1909291499997439E-3</v>
      </c>
      <c r="E139" s="206">
        <v>72.25</v>
      </c>
      <c r="F139" s="10">
        <f t="shared" si="5"/>
        <v>-3.1733304426049269E-3</v>
      </c>
    </row>
    <row r="140" spans="2:6" x14ac:dyDescent="0.25">
      <c r="B140" s="210">
        <v>43265</v>
      </c>
      <c r="C140" s="206">
        <v>278.73001099999999</v>
      </c>
      <c r="D140" s="207">
        <f t="shared" si="4"/>
        <v>2.51775708563029E-3</v>
      </c>
      <c r="E140" s="206">
        <v>73.459998999999996</v>
      </c>
      <c r="F140" s="10">
        <f t="shared" si="5"/>
        <v>1.6747391003460121E-2</v>
      </c>
    </row>
    <row r="141" spans="2:6" x14ac:dyDescent="0.25">
      <c r="B141" s="210">
        <v>43266</v>
      </c>
      <c r="C141" s="206">
        <v>277.13000499999998</v>
      </c>
      <c r="D141" s="207">
        <f t="shared" si="4"/>
        <v>-5.740343475249321E-3</v>
      </c>
      <c r="E141" s="206">
        <v>74.300003000000004</v>
      </c>
      <c r="F141" s="10">
        <f t="shared" si="5"/>
        <v>1.1434849053020057E-2</v>
      </c>
    </row>
    <row r="142" spans="2:6" x14ac:dyDescent="0.25">
      <c r="B142" s="210">
        <v>43269</v>
      </c>
      <c r="C142" s="206">
        <v>276.55999800000001</v>
      </c>
      <c r="D142" s="207">
        <f t="shared" si="4"/>
        <v>-2.0568216711142062E-3</v>
      </c>
      <c r="E142" s="206">
        <v>74.410004000000001</v>
      </c>
      <c r="F142" s="10">
        <f t="shared" si="5"/>
        <v>1.4804979213796088E-3</v>
      </c>
    </row>
    <row r="143" spans="2:6" x14ac:dyDescent="0.25">
      <c r="B143" s="210">
        <v>43270</v>
      </c>
      <c r="C143" s="206">
        <v>275.5</v>
      </c>
      <c r="D143" s="207">
        <f t="shared" si="4"/>
        <v>-3.8327958044026555E-3</v>
      </c>
      <c r="E143" s="206">
        <v>75.669998000000007</v>
      </c>
      <c r="F143" s="10">
        <f t="shared" si="5"/>
        <v>1.6933126357579598E-2</v>
      </c>
    </row>
    <row r="144" spans="2:6" x14ac:dyDescent="0.25">
      <c r="B144" s="210">
        <v>43271</v>
      </c>
      <c r="C144" s="206">
        <v>275.97000100000002</v>
      </c>
      <c r="D144" s="207">
        <f t="shared" si="4"/>
        <v>1.7059927404718955E-3</v>
      </c>
      <c r="E144" s="206">
        <v>76.190002000000007</v>
      </c>
      <c r="F144" s="10">
        <f t="shared" si="5"/>
        <v>6.8719970099642147E-3</v>
      </c>
    </row>
    <row r="145" spans="2:6" x14ac:dyDescent="0.25">
      <c r="B145" s="210">
        <v>43272</v>
      </c>
      <c r="C145" s="206">
        <v>274.23998999999998</v>
      </c>
      <c r="D145" s="207">
        <f t="shared" si="4"/>
        <v>-6.2688371697330325E-3</v>
      </c>
      <c r="E145" s="206">
        <v>76.910004000000001</v>
      </c>
      <c r="F145" s="10">
        <f t="shared" si="5"/>
        <v>9.4500850649668067E-3</v>
      </c>
    </row>
    <row r="146" spans="2:6" x14ac:dyDescent="0.25">
      <c r="B146" s="210">
        <v>43273</v>
      </c>
      <c r="C146" s="206">
        <v>274.73998999999998</v>
      </c>
      <c r="D146" s="207">
        <f t="shared" si="4"/>
        <v>1.8232206032386955E-3</v>
      </c>
      <c r="E146" s="206">
        <v>77.430000000000007</v>
      </c>
      <c r="F146" s="10">
        <f t="shared" si="5"/>
        <v>6.7610970349190058E-3</v>
      </c>
    </row>
    <row r="147" spans="2:6" x14ac:dyDescent="0.25">
      <c r="B147" s="210">
        <v>43276</v>
      </c>
      <c r="C147" s="206">
        <v>271</v>
      </c>
      <c r="D147" s="207">
        <f t="shared" si="4"/>
        <v>-1.3612834447580657E-2</v>
      </c>
      <c r="E147" s="206">
        <v>79.080001999999993</v>
      </c>
      <c r="F147" s="10">
        <f t="shared" si="5"/>
        <v>2.1309595763915556E-2</v>
      </c>
    </row>
    <row r="148" spans="2:6" x14ac:dyDescent="0.25">
      <c r="B148" s="210">
        <v>43277</v>
      </c>
      <c r="C148" s="206">
        <v>271.60000600000001</v>
      </c>
      <c r="D148" s="207">
        <f t="shared" si="4"/>
        <v>2.2140442804428062E-3</v>
      </c>
      <c r="E148" s="206">
        <v>78.790001000000004</v>
      </c>
      <c r="F148" s="10">
        <f t="shared" si="5"/>
        <v>-3.6671850362369751E-3</v>
      </c>
    </row>
    <row r="149" spans="2:6" x14ac:dyDescent="0.25">
      <c r="B149" s="210">
        <v>43278</v>
      </c>
      <c r="C149" s="206">
        <v>269.35000600000001</v>
      </c>
      <c r="D149" s="207">
        <f t="shared" si="4"/>
        <v>-8.2842413486544642E-3</v>
      </c>
      <c r="E149" s="206">
        <v>79.519997000000004</v>
      </c>
      <c r="F149" s="10">
        <f t="shared" si="5"/>
        <v>9.2650842839816505E-3</v>
      </c>
    </row>
    <row r="150" spans="2:6" x14ac:dyDescent="0.25">
      <c r="B150" s="210">
        <v>43279</v>
      </c>
      <c r="C150" s="206">
        <v>270.89001500000001</v>
      </c>
      <c r="D150" s="207">
        <f t="shared" si="4"/>
        <v>5.7175012648784662E-3</v>
      </c>
      <c r="E150" s="206">
        <v>79.230002999999996</v>
      </c>
      <c r="F150" s="10">
        <f t="shared" si="5"/>
        <v>-3.6468059725908164E-3</v>
      </c>
    </row>
    <row r="151" spans="2:6" x14ac:dyDescent="0.25">
      <c r="B151" s="210">
        <v>43280</v>
      </c>
      <c r="C151" s="206">
        <v>271.27999899999998</v>
      </c>
      <c r="D151" s="207">
        <f t="shared" si="4"/>
        <v>1.4396396264364508E-3</v>
      </c>
      <c r="E151" s="206">
        <v>79.080001999999993</v>
      </c>
      <c r="F151" s="10">
        <f t="shared" si="5"/>
        <v>-1.8932348140893174E-3</v>
      </c>
    </row>
    <row r="152" spans="2:6" x14ac:dyDescent="0.25">
      <c r="B152" s="210">
        <v>43283</v>
      </c>
      <c r="C152" s="206">
        <v>271.85998499999999</v>
      </c>
      <c r="D152" s="207">
        <f t="shared" si="4"/>
        <v>2.137960786412485E-3</v>
      </c>
      <c r="E152" s="206">
        <v>79.760002</v>
      </c>
      <c r="F152" s="10">
        <f t="shared" si="5"/>
        <v>8.5988869853594885E-3</v>
      </c>
    </row>
    <row r="153" spans="2:6" x14ac:dyDescent="0.25">
      <c r="B153" s="210">
        <v>43284</v>
      </c>
      <c r="C153" s="206">
        <v>270.89999399999999</v>
      </c>
      <c r="D153" s="207">
        <f t="shared" si="4"/>
        <v>-3.5311963987638695E-3</v>
      </c>
      <c r="E153" s="206">
        <v>79.809997999999993</v>
      </c>
      <c r="F153" s="10">
        <f t="shared" si="5"/>
        <v>6.2683047575640138E-4</v>
      </c>
    </row>
    <row r="154" spans="2:6" x14ac:dyDescent="0.25">
      <c r="B154" s="210">
        <v>43286</v>
      </c>
      <c r="C154" s="206">
        <v>273.10998499999999</v>
      </c>
      <c r="D154" s="207">
        <f t="shared" si="4"/>
        <v>8.1579588370164213E-3</v>
      </c>
      <c r="E154" s="206">
        <v>80.610000999999997</v>
      </c>
      <c r="F154" s="10">
        <f t="shared" si="5"/>
        <v>1.0023844381001012E-2</v>
      </c>
    </row>
    <row r="155" spans="2:6" x14ac:dyDescent="0.25">
      <c r="B155" s="210">
        <v>43287</v>
      </c>
      <c r="C155" s="206">
        <v>275.42001299999998</v>
      </c>
      <c r="D155" s="207">
        <f t="shared" si="4"/>
        <v>8.4582334109826185E-3</v>
      </c>
      <c r="E155" s="206">
        <v>81.620002999999997</v>
      </c>
      <c r="F155" s="10">
        <f t="shared" si="5"/>
        <v>1.2529487501184766E-2</v>
      </c>
    </row>
    <row r="156" spans="2:6" x14ac:dyDescent="0.25">
      <c r="B156" s="210">
        <v>43290</v>
      </c>
      <c r="C156" s="206">
        <v>277.89999399999999</v>
      </c>
      <c r="D156" s="207">
        <f t="shared" si="4"/>
        <v>9.0043601878706525E-3</v>
      </c>
      <c r="E156" s="206">
        <v>78.639999000000003</v>
      </c>
      <c r="F156" s="10">
        <f t="shared" si="5"/>
        <v>-3.651070681778823E-2</v>
      </c>
    </row>
    <row r="157" spans="2:6" x14ac:dyDescent="0.25">
      <c r="B157" s="210">
        <v>43291</v>
      </c>
      <c r="C157" s="206">
        <v>278.89999399999999</v>
      </c>
      <c r="D157" s="207">
        <f t="shared" si="4"/>
        <v>3.5984167743450257E-3</v>
      </c>
      <c r="E157" s="206">
        <v>79.519997000000004</v>
      </c>
      <c r="F157" s="10">
        <f t="shared" si="5"/>
        <v>1.119020868756615E-2</v>
      </c>
    </row>
    <row r="158" spans="2:6" x14ac:dyDescent="0.25">
      <c r="B158" s="210">
        <v>43292</v>
      </c>
      <c r="C158" s="206">
        <v>276.85998499999999</v>
      </c>
      <c r="D158" s="207">
        <f t="shared" si="4"/>
        <v>-7.3144820505087749E-3</v>
      </c>
      <c r="E158" s="206">
        <v>80.379997000000003</v>
      </c>
      <c r="F158" s="10">
        <f t="shared" si="5"/>
        <v>1.081488974402256E-2</v>
      </c>
    </row>
    <row r="159" spans="2:6" x14ac:dyDescent="0.25">
      <c r="B159" s="210">
        <v>43293</v>
      </c>
      <c r="C159" s="206">
        <v>279.36999500000002</v>
      </c>
      <c r="D159" s="207">
        <f t="shared" si="4"/>
        <v>9.06599052224899E-3</v>
      </c>
      <c r="E159" s="206">
        <v>80.5</v>
      </c>
      <c r="F159" s="10">
        <f t="shared" si="5"/>
        <v>1.4929460621899704E-3</v>
      </c>
    </row>
    <row r="160" spans="2:6" x14ac:dyDescent="0.25">
      <c r="B160" s="210">
        <v>43294</v>
      </c>
      <c r="C160" s="206">
        <v>279.58999599999999</v>
      </c>
      <c r="D160" s="207">
        <f t="shared" si="4"/>
        <v>7.8748972308195775E-4</v>
      </c>
      <c r="E160" s="206">
        <v>80.620002999999997</v>
      </c>
      <c r="F160" s="10">
        <f t="shared" si="5"/>
        <v>1.4907204968943599E-3</v>
      </c>
    </row>
    <row r="161" spans="2:6" x14ac:dyDescent="0.25">
      <c r="B161" s="210">
        <v>43297</v>
      </c>
      <c r="C161" s="206">
        <v>279.33999599999999</v>
      </c>
      <c r="D161" s="207">
        <f t="shared" si="4"/>
        <v>-8.9416647082041223E-4</v>
      </c>
      <c r="E161" s="206">
        <v>80.779999000000004</v>
      </c>
      <c r="F161" s="10">
        <f t="shared" si="5"/>
        <v>1.9845695118618778E-3</v>
      </c>
    </row>
    <row r="162" spans="2:6" x14ac:dyDescent="0.25">
      <c r="B162" s="210">
        <v>43298</v>
      </c>
      <c r="C162" s="206">
        <v>280.47000100000002</v>
      </c>
      <c r="D162" s="207">
        <f t="shared" si="4"/>
        <v>4.0452674739783756E-3</v>
      </c>
      <c r="E162" s="206">
        <v>80.650002000000001</v>
      </c>
      <c r="F162" s="10">
        <f t="shared" si="5"/>
        <v>-1.6092721169754798E-3</v>
      </c>
    </row>
    <row r="163" spans="2:6" x14ac:dyDescent="0.25">
      <c r="B163" s="210">
        <v>43299</v>
      </c>
      <c r="C163" s="206">
        <v>281.05999800000001</v>
      </c>
      <c r="D163" s="207">
        <f t="shared" si="4"/>
        <v>2.1036010906563263E-3</v>
      </c>
      <c r="E163" s="206">
        <v>80.440002000000007</v>
      </c>
      <c r="F163" s="10">
        <f t="shared" si="5"/>
        <v>-2.6038437048022667E-3</v>
      </c>
    </row>
    <row r="164" spans="2:6" x14ac:dyDescent="0.25">
      <c r="B164" s="210">
        <v>43300</v>
      </c>
      <c r="C164" s="206">
        <v>280</v>
      </c>
      <c r="D164" s="207">
        <f t="shared" si="4"/>
        <v>-3.7714296148255722E-3</v>
      </c>
      <c r="E164" s="206">
        <v>81.199996999999996</v>
      </c>
      <c r="F164" s="10">
        <f t="shared" si="5"/>
        <v>9.4479734100452184E-3</v>
      </c>
    </row>
    <row r="165" spans="2:6" x14ac:dyDescent="0.25">
      <c r="B165" s="210">
        <v>43301</v>
      </c>
      <c r="C165" s="206">
        <v>279.67999300000002</v>
      </c>
      <c r="D165" s="207">
        <f t="shared" si="4"/>
        <v>-1.1428821428570712E-3</v>
      </c>
      <c r="E165" s="206">
        <v>80.650002000000001</v>
      </c>
      <c r="F165" s="10">
        <f t="shared" si="5"/>
        <v>-6.7733376886700558E-3</v>
      </c>
    </row>
    <row r="166" spans="2:6" x14ac:dyDescent="0.25">
      <c r="B166" s="210">
        <v>43304</v>
      </c>
      <c r="C166" s="206">
        <v>280.20001200000002</v>
      </c>
      <c r="D166" s="207">
        <f t="shared" si="4"/>
        <v>1.859335715872934E-3</v>
      </c>
      <c r="E166" s="206">
        <v>79.970000999999996</v>
      </c>
      <c r="F166" s="10">
        <f t="shared" si="5"/>
        <v>-8.4315063005206969E-3</v>
      </c>
    </row>
    <row r="167" spans="2:6" x14ac:dyDescent="0.25">
      <c r="B167" s="210">
        <v>43305</v>
      </c>
      <c r="C167" s="206">
        <v>281.60998499999999</v>
      </c>
      <c r="D167" s="207">
        <f t="shared" si="4"/>
        <v>5.0320233390994673E-3</v>
      </c>
      <c r="E167" s="206">
        <v>79.889999000000003</v>
      </c>
      <c r="F167" s="10">
        <f t="shared" si="5"/>
        <v>-1.0004001375465421E-3</v>
      </c>
    </row>
    <row r="168" spans="2:6" x14ac:dyDescent="0.25">
      <c r="B168" s="210">
        <v>43306</v>
      </c>
      <c r="C168" s="206">
        <v>284.01001000000002</v>
      </c>
      <c r="D168" s="207">
        <f t="shared" si="4"/>
        <v>8.5225138590168115E-3</v>
      </c>
      <c r="E168" s="206">
        <v>80.180000000000007</v>
      </c>
      <c r="F168" s="10">
        <f t="shared" si="5"/>
        <v>3.6300038006009672E-3</v>
      </c>
    </row>
    <row r="169" spans="2:6" x14ac:dyDescent="0.25">
      <c r="B169" s="210">
        <v>43307</v>
      </c>
      <c r="C169" s="206">
        <v>283.33999599999999</v>
      </c>
      <c r="D169" s="207">
        <f t="shared" si="4"/>
        <v>-2.3591210746410907E-3</v>
      </c>
      <c r="E169" s="206">
        <v>81.139999000000003</v>
      </c>
      <c r="F169" s="10">
        <f t="shared" si="5"/>
        <v>1.1973048141681097E-2</v>
      </c>
    </row>
    <row r="170" spans="2:6" x14ac:dyDescent="0.25">
      <c r="B170" s="210">
        <v>43308</v>
      </c>
      <c r="C170" s="206">
        <v>281.42001299999998</v>
      </c>
      <c r="D170" s="207">
        <f t="shared" si="4"/>
        <v>-6.77625124269432E-3</v>
      </c>
      <c r="E170" s="206">
        <v>81.089995999999999</v>
      </c>
      <c r="F170" s="10">
        <f t="shared" si="5"/>
        <v>-6.1625586167435298E-4</v>
      </c>
    </row>
    <row r="171" spans="2:6" x14ac:dyDescent="0.25">
      <c r="B171" s="210">
        <v>43311</v>
      </c>
      <c r="C171" s="206">
        <v>279.95001200000002</v>
      </c>
      <c r="D171" s="207">
        <f t="shared" si="4"/>
        <v>-5.2235126575733704E-3</v>
      </c>
      <c r="E171" s="206">
        <v>80.769997000000004</v>
      </c>
      <c r="F171" s="10">
        <f t="shared" si="5"/>
        <v>-3.9462204437646919E-3</v>
      </c>
    </row>
    <row r="172" spans="2:6" x14ac:dyDescent="0.25">
      <c r="B172" s="210">
        <v>43312</v>
      </c>
      <c r="C172" s="206">
        <v>281.32998700000002</v>
      </c>
      <c r="D172" s="207">
        <f t="shared" si="4"/>
        <v>4.9293621748442984E-3</v>
      </c>
      <c r="E172" s="206">
        <v>81.620002999999997</v>
      </c>
      <c r="F172" s="10">
        <f t="shared" si="5"/>
        <v>1.0523783973893197E-2</v>
      </c>
    </row>
    <row r="173" spans="2:6" x14ac:dyDescent="0.25">
      <c r="B173" s="210">
        <v>43313</v>
      </c>
      <c r="C173" s="206">
        <v>280.85998499999999</v>
      </c>
      <c r="D173" s="207">
        <f t="shared" si="4"/>
        <v>-1.6706430942963202E-3</v>
      </c>
      <c r="E173" s="206">
        <v>81.050003000000004</v>
      </c>
      <c r="F173" s="10">
        <f t="shared" si="5"/>
        <v>-6.9835821985940738E-3</v>
      </c>
    </row>
    <row r="174" spans="2:6" x14ac:dyDescent="0.25">
      <c r="B174" s="210">
        <v>43314</v>
      </c>
      <c r="C174" s="206">
        <v>282.39001500000001</v>
      </c>
      <c r="D174" s="207">
        <f t="shared" si="4"/>
        <v>5.4476610471940745E-3</v>
      </c>
      <c r="E174" s="206">
        <v>80.449996999999996</v>
      </c>
      <c r="F174" s="10">
        <f t="shared" si="5"/>
        <v>-7.4029115088374287E-3</v>
      </c>
    </row>
    <row r="175" spans="2:6" x14ac:dyDescent="0.25">
      <c r="B175" s="210">
        <v>43315</v>
      </c>
      <c r="C175" s="206">
        <v>283.60000600000001</v>
      </c>
      <c r="D175" s="207">
        <f t="shared" si="4"/>
        <v>4.2848221811242482E-3</v>
      </c>
      <c r="E175" s="206">
        <v>81.550003000000004</v>
      </c>
      <c r="F175" s="10">
        <f t="shared" si="5"/>
        <v>1.3673163965438162E-2</v>
      </c>
    </row>
    <row r="176" spans="2:6" x14ac:dyDescent="0.25">
      <c r="B176" s="210">
        <v>43318</v>
      </c>
      <c r="C176" s="206">
        <v>284.64001500000001</v>
      </c>
      <c r="D176" s="207">
        <f t="shared" si="4"/>
        <v>3.667168469664972E-3</v>
      </c>
      <c r="E176" s="206">
        <v>81.120002999999997</v>
      </c>
      <c r="F176" s="10">
        <f t="shared" si="5"/>
        <v>-5.2728385552605062E-3</v>
      </c>
    </row>
    <row r="177" spans="2:6" x14ac:dyDescent="0.25">
      <c r="B177" s="210">
        <v>43319</v>
      </c>
      <c r="C177" s="206">
        <v>285.57998700000002</v>
      </c>
      <c r="D177" s="207">
        <f t="shared" si="4"/>
        <v>3.3023185443550318E-3</v>
      </c>
      <c r="E177" s="206">
        <v>80.879997000000003</v>
      </c>
      <c r="F177" s="10">
        <f t="shared" si="5"/>
        <v>-2.9586537367360943E-3</v>
      </c>
    </row>
    <row r="178" spans="2:6" x14ac:dyDescent="0.25">
      <c r="B178" s="210">
        <v>43320</v>
      </c>
      <c r="C178" s="206">
        <v>285.459991</v>
      </c>
      <c r="D178" s="207">
        <f t="shared" si="4"/>
        <v>-4.2018350536587867E-4</v>
      </c>
      <c r="E178" s="206">
        <v>80.430000000000007</v>
      </c>
      <c r="F178" s="10">
        <f t="shared" si="5"/>
        <v>-5.5637613339674097E-3</v>
      </c>
    </row>
    <row r="179" spans="2:6" x14ac:dyDescent="0.25">
      <c r="B179" s="210">
        <v>43321</v>
      </c>
      <c r="C179" s="206">
        <v>285.07000699999998</v>
      </c>
      <c r="D179" s="207">
        <f t="shared" si="4"/>
        <v>-1.3661599253677048E-3</v>
      </c>
      <c r="E179" s="206">
        <v>80.809997999999993</v>
      </c>
      <c r="F179" s="10">
        <f t="shared" si="5"/>
        <v>4.7245803804549791E-3</v>
      </c>
    </row>
    <row r="180" spans="2:6" x14ac:dyDescent="0.25">
      <c r="B180" s="210">
        <v>43322</v>
      </c>
      <c r="C180" s="206">
        <v>283.16000400000001</v>
      </c>
      <c r="D180" s="207">
        <f t="shared" si="4"/>
        <v>-6.7001191044274711E-3</v>
      </c>
      <c r="E180" s="206">
        <v>80.889999000000003</v>
      </c>
      <c r="F180" s="10">
        <f t="shared" si="5"/>
        <v>9.8998888726620216E-4</v>
      </c>
    </row>
    <row r="181" spans="2:6" x14ac:dyDescent="0.25">
      <c r="B181" s="210">
        <v>43325</v>
      </c>
      <c r="C181" s="206">
        <v>282.10000600000001</v>
      </c>
      <c r="D181" s="207">
        <f t="shared" si="4"/>
        <v>-3.7434594753007477E-3</v>
      </c>
      <c r="E181" s="206">
        <v>80.940002000000007</v>
      </c>
      <c r="F181" s="10">
        <f t="shared" si="5"/>
        <v>6.1816047247087447E-4</v>
      </c>
    </row>
    <row r="182" spans="2:6" x14ac:dyDescent="0.25">
      <c r="B182" s="210">
        <v>43326</v>
      </c>
      <c r="C182" s="206">
        <v>283.89999399999999</v>
      </c>
      <c r="D182" s="207">
        <f t="shared" si="4"/>
        <v>6.3806733843174701E-3</v>
      </c>
      <c r="E182" s="206">
        <v>81.220000999999996</v>
      </c>
      <c r="F182" s="10">
        <f t="shared" si="5"/>
        <v>3.4593401665592438E-3</v>
      </c>
    </row>
    <row r="183" spans="2:6" x14ac:dyDescent="0.25">
      <c r="B183" s="210">
        <v>43327</v>
      </c>
      <c r="C183" s="206">
        <v>281.77999899999998</v>
      </c>
      <c r="D183" s="207">
        <f t="shared" si="4"/>
        <v>-7.4674006509489743E-3</v>
      </c>
      <c r="E183" s="206">
        <v>81.860000999999997</v>
      </c>
      <c r="F183" s="10">
        <f t="shared" si="5"/>
        <v>7.8798324565398925E-3</v>
      </c>
    </row>
    <row r="184" spans="2:6" x14ac:dyDescent="0.25">
      <c r="B184" s="210">
        <v>43328</v>
      </c>
      <c r="C184" s="206">
        <v>284.05999800000001</v>
      </c>
      <c r="D184" s="207">
        <f t="shared" si="4"/>
        <v>8.0914153172384484E-3</v>
      </c>
      <c r="E184" s="206">
        <v>81.790001000000004</v>
      </c>
      <c r="F184" s="10">
        <f t="shared" si="5"/>
        <v>-8.5511848454522532E-4</v>
      </c>
    </row>
    <row r="185" spans="2:6" x14ac:dyDescent="0.25">
      <c r="B185" s="210">
        <v>43329</v>
      </c>
      <c r="C185" s="206">
        <v>285.05999800000001</v>
      </c>
      <c r="D185" s="207">
        <f t="shared" si="4"/>
        <v>3.520383042458608E-3</v>
      </c>
      <c r="E185" s="206">
        <v>82.279999000000004</v>
      </c>
      <c r="F185" s="10">
        <f t="shared" si="5"/>
        <v>5.9909279130587745E-3</v>
      </c>
    </row>
    <row r="186" spans="2:6" x14ac:dyDescent="0.25">
      <c r="B186" s="210">
        <v>43332</v>
      </c>
      <c r="C186" s="206">
        <v>285.67001299999998</v>
      </c>
      <c r="D186" s="207">
        <f t="shared" si="4"/>
        <v>2.1399530073664685E-3</v>
      </c>
      <c r="E186" s="206">
        <v>81.809997999999993</v>
      </c>
      <c r="F186" s="10">
        <f t="shared" si="5"/>
        <v>-5.7122144593123592E-3</v>
      </c>
    </row>
    <row r="187" spans="2:6" x14ac:dyDescent="0.25">
      <c r="B187" s="210">
        <v>43333</v>
      </c>
      <c r="C187" s="206">
        <v>286.33999599999999</v>
      </c>
      <c r="D187" s="207">
        <f t="shared" si="4"/>
        <v>2.3453039153955579E-3</v>
      </c>
      <c r="E187" s="206">
        <v>81.279999000000004</v>
      </c>
      <c r="F187" s="10">
        <f t="shared" si="5"/>
        <v>-6.4784135552721223E-3</v>
      </c>
    </row>
    <row r="188" spans="2:6" x14ac:dyDescent="0.25">
      <c r="B188" s="210">
        <v>43334</v>
      </c>
      <c r="C188" s="206">
        <v>286.17001299999998</v>
      </c>
      <c r="D188" s="207">
        <f t="shared" si="4"/>
        <v>-5.9364043575671488E-4</v>
      </c>
      <c r="E188" s="206">
        <v>80.830001999999993</v>
      </c>
      <c r="F188" s="10">
        <f t="shared" si="5"/>
        <v>-5.5363804815008466E-3</v>
      </c>
    </row>
    <row r="189" spans="2:6" x14ac:dyDescent="0.25">
      <c r="B189" s="210">
        <v>43335</v>
      </c>
      <c r="C189" s="206">
        <v>285.790009</v>
      </c>
      <c r="D189" s="207">
        <f t="shared" si="4"/>
        <v>-1.327895945547497E-3</v>
      </c>
      <c r="E189" s="206">
        <v>80.879997000000003</v>
      </c>
      <c r="F189" s="10">
        <f t="shared" si="5"/>
        <v>6.1852033605069856E-4</v>
      </c>
    </row>
    <row r="190" spans="2:6" x14ac:dyDescent="0.25">
      <c r="B190" s="210">
        <v>43336</v>
      </c>
      <c r="C190" s="206">
        <v>287.51001000000002</v>
      </c>
      <c r="D190" s="207">
        <f t="shared" si="4"/>
        <v>6.0184084321857068E-3</v>
      </c>
      <c r="E190" s="206">
        <v>81.410004000000001</v>
      </c>
      <c r="F190" s="10">
        <f t="shared" si="5"/>
        <v>6.5530046941024711E-3</v>
      </c>
    </row>
    <row r="191" spans="2:6" x14ac:dyDescent="0.25">
      <c r="B191" s="210">
        <v>43339</v>
      </c>
      <c r="C191" s="206">
        <v>289.77999899999998</v>
      </c>
      <c r="D191" s="207">
        <f t="shared" si="4"/>
        <v>7.8953390179352656E-3</v>
      </c>
      <c r="E191" s="206">
        <v>80.589995999999999</v>
      </c>
      <c r="F191" s="10">
        <f t="shared" si="5"/>
        <v>-1.0072570442325457E-2</v>
      </c>
    </row>
    <row r="192" spans="2:6" x14ac:dyDescent="0.25">
      <c r="B192" s="210">
        <v>43340</v>
      </c>
      <c r="C192" s="206">
        <v>289.92001299999998</v>
      </c>
      <c r="D192" s="207">
        <f t="shared" si="4"/>
        <v>4.8317344358883574E-4</v>
      </c>
      <c r="E192" s="206">
        <v>80.349997999999999</v>
      </c>
      <c r="F192" s="10">
        <f t="shared" si="5"/>
        <v>-2.9780123081282195E-3</v>
      </c>
    </row>
    <row r="193" spans="2:6" x14ac:dyDescent="0.25">
      <c r="B193" s="210">
        <v>43341</v>
      </c>
      <c r="C193" s="206">
        <v>291.48001099999999</v>
      </c>
      <c r="D193" s="207">
        <f t="shared" si="4"/>
        <v>5.3807875622577939E-3</v>
      </c>
      <c r="E193" s="206">
        <v>80.730002999999996</v>
      </c>
      <c r="F193" s="10">
        <f t="shared" si="5"/>
        <v>4.7293716174081624E-3</v>
      </c>
    </row>
    <row r="194" spans="2:6" x14ac:dyDescent="0.25">
      <c r="B194" s="210">
        <v>43342</v>
      </c>
      <c r="C194" s="206">
        <v>290.29998799999998</v>
      </c>
      <c r="D194" s="207">
        <f t="shared" si="4"/>
        <v>-4.0483839559070089E-3</v>
      </c>
      <c r="E194" s="206">
        <v>81.319999999999993</v>
      </c>
      <c r="F194" s="10">
        <f t="shared" si="5"/>
        <v>7.3082742236487697E-3</v>
      </c>
    </row>
    <row r="195" spans="2:6" x14ac:dyDescent="0.25">
      <c r="B195" s="210">
        <v>43343</v>
      </c>
      <c r="C195" s="206">
        <v>290.30999800000001</v>
      </c>
      <c r="D195" s="207">
        <f t="shared" si="4"/>
        <v>3.4481572214195566E-5</v>
      </c>
      <c r="E195" s="206">
        <v>81.239998</v>
      </c>
      <c r="F195" s="10">
        <f t="shared" si="5"/>
        <v>-9.8379242498758401E-4</v>
      </c>
    </row>
    <row r="196" spans="2:6" x14ac:dyDescent="0.25">
      <c r="B196" s="210">
        <v>43347</v>
      </c>
      <c r="C196" s="206">
        <v>289.80999800000001</v>
      </c>
      <c r="D196" s="207">
        <f t="shared" si="4"/>
        <v>-1.722296866951134E-3</v>
      </c>
      <c r="E196" s="206">
        <v>81.419998000000007</v>
      </c>
      <c r="F196" s="10">
        <f t="shared" si="5"/>
        <v>2.2156573662150958E-3</v>
      </c>
    </row>
    <row r="197" spans="2:6" x14ac:dyDescent="0.25">
      <c r="B197" s="210">
        <v>43348</v>
      </c>
      <c r="C197" s="206">
        <v>289.02999899999998</v>
      </c>
      <c r="D197" s="207">
        <f t="shared" ref="D197:D260" si="6">C197/C196-1</f>
        <v>-2.6914150836163664E-3</v>
      </c>
      <c r="E197" s="206">
        <v>83.190002000000007</v>
      </c>
      <c r="F197" s="10">
        <f t="shared" ref="F197:F260" si="7">E197/E196-1</f>
        <v>2.1739180096761901E-2</v>
      </c>
    </row>
    <row r="198" spans="2:6" x14ac:dyDescent="0.25">
      <c r="B198" s="210">
        <v>43349</v>
      </c>
      <c r="C198" s="206">
        <v>288.16000400000001</v>
      </c>
      <c r="D198" s="207">
        <f t="shared" si="6"/>
        <v>-3.0100508701865758E-3</v>
      </c>
      <c r="E198" s="206">
        <v>83.470000999999996</v>
      </c>
      <c r="F198" s="10">
        <f t="shared" si="7"/>
        <v>3.3657770557571354E-3</v>
      </c>
    </row>
    <row r="199" spans="2:6" x14ac:dyDescent="0.25">
      <c r="B199" s="210">
        <v>43350</v>
      </c>
      <c r="C199" s="206">
        <v>287.60000600000001</v>
      </c>
      <c r="D199" s="207">
        <f t="shared" si="6"/>
        <v>-1.9433578297701759E-3</v>
      </c>
      <c r="E199" s="206">
        <v>82.470000999999996</v>
      </c>
      <c r="F199" s="10">
        <f t="shared" si="7"/>
        <v>-1.1980352078826528E-2</v>
      </c>
    </row>
    <row r="200" spans="2:6" x14ac:dyDescent="0.25">
      <c r="B200" s="210">
        <v>43353</v>
      </c>
      <c r="C200" s="206">
        <v>288.10000600000001</v>
      </c>
      <c r="D200" s="207">
        <f t="shared" si="6"/>
        <v>1.738525693911086E-3</v>
      </c>
      <c r="E200" s="206">
        <v>82.309997999999993</v>
      </c>
      <c r="F200" s="10">
        <f t="shared" si="7"/>
        <v>-1.940135783434771E-3</v>
      </c>
    </row>
    <row r="201" spans="2:6" x14ac:dyDescent="0.25">
      <c r="B201" s="210">
        <v>43354</v>
      </c>
      <c r="C201" s="206">
        <v>289.04998799999998</v>
      </c>
      <c r="D201" s="207">
        <f t="shared" si="6"/>
        <v>3.2974036106059312E-3</v>
      </c>
      <c r="E201" s="206">
        <v>81.379997000000003</v>
      </c>
      <c r="F201" s="10">
        <f t="shared" si="7"/>
        <v>-1.1298761056949491E-2</v>
      </c>
    </row>
    <row r="202" spans="2:6" x14ac:dyDescent="0.25">
      <c r="B202" s="210">
        <v>43355</v>
      </c>
      <c r="C202" s="206">
        <v>289.11999500000002</v>
      </c>
      <c r="D202" s="207">
        <f t="shared" si="6"/>
        <v>2.4219686181070621E-4</v>
      </c>
      <c r="E202" s="206">
        <v>80.889999000000003</v>
      </c>
      <c r="F202" s="10">
        <f t="shared" si="7"/>
        <v>-6.0211110600065787E-3</v>
      </c>
    </row>
    <row r="203" spans="2:6" x14ac:dyDescent="0.25">
      <c r="B203" s="210">
        <v>43356</v>
      </c>
      <c r="C203" s="206">
        <v>290.82998700000002</v>
      </c>
      <c r="D203" s="207">
        <f t="shared" si="6"/>
        <v>5.9144716020074206E-3</v>
      </c>
      <c r="E203" s="206">
        <v>82.150002000000001</v>
      </c>
      <c r="F203" s="10">
        <f t="shared" si="7"/>
        <v>1.5576746391108287E-2</v>
      </c>
    </row>
    <row r="204" spans="2:6" x14ac:dyDescent="0.25">
      <c r="B204" s="210">
        <v>43357</v>
      </c>
      <c r="C204" s="206">
        <v>290.88000499999998</v>
      </c>
      <c r="D204" s="207">
        <f t="shared" si="6"/>
        <v>1.7198364073767181E-4</v>
      </c>
      <c r="E204" s="206">
        <v>81.699996999999996</v>
      </c>
      <c r="F204" s="10">
        <f t="shared" si="7"/>
        <v>-5.4778452713853953E-3</v>
      </c>
    </row>
    <row r="205" spans="2:6" x14ac:dyDescent="0.25">
      <c r="B205" s="210">
        <v>43360</v>
      </c>
      <c r="C205" s="206">
        <v>289.33999599999999</v>
      </c>
      <c r="D205" s="207">
        <f t="shared" si="6"/>
        <v>-5.2943102775317996E-3</v>
      </c>
      <c r="E205" s="206">
        <v>82.080001999999993</v>
      </c>
      <c r="F205" s="10">
        <f t="shared" si="7"/>
        <v>4.6512241609997229E-3</v>
      </c>
    </row>
    <row r="206" spans="2:6" x14ac:dyDescent="0.25">
      <c r="B206" s="210">
        <v>43361</v>
      </c>
      <c r="C206" s="206">
        <v>290.91000400000001</v>
      </c>
      <c r="D206" s="207">
        <f t="shared" si="6"/>
        <v>5.4261699789337481E-3</v>
      </c>
      <c r="E206" s="206">
        <v>81.919998000000007</v>
      </c>
      <c r="F206" s="10">
        <f t="shared" si="7"/>
        <v>-1.949366424235599E-3</v>
      </c>
    </row>
    <row r="207" spans="2:6" x14ac:dyDescent="0.25">
      <c r="B207" s="210">
        <v>43362</v>
      </c>
      <c r="C207" s="206">
        <v>291.22000100000002</v>
      </c>
      <c r="D207" s="207">
        <f t="shared" si="6"/>
        <v>1.0656113428124669E-3</v>
      </c>
      <c r="E207" s="206">
        <v>80.089995999999999</v>
      </c>
      <c r="F207" s="10">
        <f t="shared" si="7"/>
        <v>-2.2338892146945732E-2</v>
      </c>
    </row>
    <row r="208" spans="2:6" x14ac:dyDescent="0.25">
      <c r="B208" s="210">
        <v>43363</v>
      </c>
      <c r="C208" s="206">
        <v>293.57998700000002</v>
      </c>
      <c r="D208" s="207">
        <f t="shared" si="6"/>
        <v>8.1037909205967651E-3</v>
      </c>
      <c r="E208" s="206">
        <v>80.620002999999997</v>
      </c>
      <c r="F208" s="10">
        <f t="shared" si="7"/>
        <v>6.6176429825268723E-3</v>
      </c>
    </row>
    <row r="209" spans="2:6" x14ac:dyDescent="0.25">
      <c r="B209" s="210">
        <v>43364</v>
      </c>
      <c r="C209" s="206">
        <v>291.98998999999998</v>
      </c>
      <c r="D209" s="207">
        <f t="shared" si="6"/>
        <v>-5.4158902868267633E-3</v>
      </c>
      <c r="E209" s="206">
        <v>79.819999999999993</v>
      </c>
      <c r="F209" s="10">
        <f t="shared" si="7"/>
        <v>-9.9231328483081471E-3</v>
      </c>
    </row>
    <row r="210" spans="2:6" x14ac:dyDescent="0.25">
      <c r="B210" s="210">
        <v>43367</v>
      </c>
      <c r="C210" s="206">
        <v>291.01998900000001</v>
      </c>
      <c r="D210" s="207">
        <f t="shared" si="6"/>
        <v>-3.3220351149707561E-3</v>
      </c>
      <c r="E210" s="206">
        <v>79.610000999999997</v>
      </c>
      <c r="F210" s="10">
        <f t="shared" si="7"/>
        <v>-2.6309070408419011E-3</v>
      </c>
    </row>
    <row r="211" spans="2:6" x14ac:dyDescent="0.25">
      <c r="B211" s="210">
        <v>43368</v>
      </c>
      <c r="C211" s="206">
        <v>290.75</v>
      </c>
      <c r="D211" s="207">
        <f t="shared" si="6"/>
        <v>-9.2773352417385713E-4</v>
      </c>
      <c r="E211" s="206">
        <v>78.809997999999993</v>
      </c>
      <c r="F211" s="10">
        <f t="shared" si="7"/>
        <v>-1.0049026377979886E-2</v>
      </c>
    </row>
    <row r="212" spans="2:6" x14ac:dyDescent="0.25">
      <c r="B212" s="210">
        <v>43369</v>
      </c>
      <c r="C212" s="206">
        <v>289.88000499999998</v>
      </c>
      <c r="D212" s="207">
        <f t="shared" si="6"/>
        <v>-2.9922441960448243E-3</v>
      </c>
      <c r="E212" s="206">
        <v>78.089995999999999</v>
      </c>
      <c r="F212" s="10">
        <f t="shared" si="7"/>
        <v>-9.135922069177016E-3</v>
      </c>
    </row>
    <row r="213" spans="2:6" x14ac:dyDescent="0.25">
      <c r="B213" s="210">
        <v>43370</v>
      </c>
      <c r="C213" s="206">
        <v>290.69000199999999</v>
      </c>
      <c r="D213" s="207">
        <f t="shared" si="6"/>
        <v>2.794249296359741E-3</v>
      </c>
      <c r="E213" s="206">
        <v>78.940002000000007</v>
      </c>
      <c r="F213" s="10">
        <f t="shared" si="7"/>
        <v>1.088495381661958E-2</v>
      </c>
    </row>
    <row r="214" spans="2:6" x14ac:dyDescent="0.25">
      <c r="B214" s="210">
        <v>43371</v>
      </c>
      <c r="C214" s="206">
        <v>290.72000100000002</v>
      </c>
      <c r="D214" s="207">
        <f t="shared" si="6"/>
        <v>1.0319928375124299E-4</v>
      </c>
      <c r="E214" s="206">
        <v>80.019997000000004</v>
      </c>
      <c r="F214" s="10">
        <f t="shared" si="7"/>
        <v>1.3681213233311063E-2</v>
      </c>
    </row>
    <row r="215" spans="2:6" x14ac:dyDescent="0.25">
      <c r="B215" s="210">
        <v>43374</v>
      </c>
      <c r="C215" s="206">
        <v>291.73001099999999</v>
      </c>
      <c r="D215" s="207">
        <f t="shared" si="6"/>
        <v>3.4741675719791587E-3</v>
      </c>
      <c r="E215" s="206">
        <v>79.550003000000004</v>
      </c>
      <c r="F215" s="10">
        <f t="shared" si="7"/>
        <v>-5.8734568560405709E-3</v>
      </c>
    </row>
    <row r="216" spans="2:6" x14ac:dyDescent="0.25">
      <c r="B216" s="210">
        <v>43375</v>
      </c>
      <c r="C216" s="206">
        <v>291.55999800000001</v>
      </c>
      <c r="D216" s="207">
        <f t="shared" si="6"/>
        <v>-5.8277514684623721E-4</v>
      </c>
      <c r="E216" s="206">
        <v>80.419998000000007</v>
      </c>
      <c r="F216" s="10">
        <f t="shared" si="7"/>
        <v>1.0936454647273885E-2</v>
      </c>
    </row>
    <row r="217" spans="2:6" x14ac:dyDescent="0.25">
      <c r="B217" s="210">
        <v>43376</v>
      </c>
      <c r="C217" s="206">
        <v>291.72000100000002</v>
      </c>
      <c r="D217" s="207">
        <f t="shared" si="6"/>
        <v>5.487824156180654E-4</v>
      </c>
      <c r="E217" s="206">
        <v>79.190002000000007</v>
      </c>
      <c r="F217" s="10">
        <f t="shared" si="7"/>
        <v>-1.5294653451744633E-2</v>
      </c>
    </row>
    <row r="218" spans="2:6" x14ac:dyDescent="0.25">
      <c r="B218" s="210">
        <v>43377</v>
      </c>
      <c r="C218" s="206">
        <v>289.44000199999999</v>
      </c>
      <c r="D218" s="207">
        <f t="shared" si="6"/>
        <v>-7.8157102433302761E-3</v>
      </c>
      <c r="E218" s="206">
        <v>79.940002000000007</v>
      </c>
      <c r="F218" s="10">
        <f t="shared" si="7"/>
        <v>9.4708925502995367E-3</v>
      </c>
    </row>
    <row r="219" spans="2:6" x14ac:dyDescent="0.25">
      <c r="B219" s="210">
        <v>43378</v>
      </c>
      <c r="C219" s="206">
        <v>287.82000699999998</v>
      </c>
      <c r="D219" s="207">
        <f t="shared" si="6"/>
        <v>-5.5969976119610854E-3</v>
      </c>
      <c r="E219" s="206">
        <v>81.400002000000001</v>
      </c>
      <c r="F219" s="10">
        <f t="shared" si="7"/>
        <v>1.8263697316394767E-2</v>
      </c>
    </row>
    <row r="220" spans="2:6" x14ac:dyDescent="0.25">
      <c r="B220" s="210">
        <v>43381</v>
      </c>
      <c r="C220" s="206">
        <v>287.82000699999998</v>
      </c>
      <c r="D220" s="207">
        <f t="shared" si="6"/>
        <v>0</v>
      </c>
      <c r="E220" s="206">
        <v>82.139999000000003</v>
      </c>
      <c r="F220" s="10">
        <f t="shared" si="7"/>
        <v>9.0908720125093545E-3</v>
      </c>
    </row>
    <row r="221" spans="2:6" x14ac:dyDescent="0.25">
      <c r="B221" s="210">
        <v>43382</v>
      </c>
      <c r="C221" s="206">
        <v>287.39999399999999</v>
      </c>
      <c r="D221" s="207">
        <f t="shared" si="6"/>
        <v>-1.4592904933116158E-3</v>
      </c>
      <c r="E221" s="206">
        <v>82.25</v>
      </c>
      <c r="F221" s="10">
        <f t="shared" si="7"/>
        <v>1.3391892054928078E-3</v>
      </c>
    </row>
    <row r="222" spans="2:6" x14ac:dyDescent="0.25">
      <c r="B222" s="210">
        <v>43383</v>
      </c>
      <c r="C222" s="206">
        <v>278.29998799999998</v>
      </c>
      <c r="D222" s="207">
        <f t="shared" si="6"/>
        <v>-3.1663208733400339E-2</v>
      </c>
      <c r="E222" s="206">
        <v>81.879997000000003</v>
      </c>
      <c r="F222" s="10">
        <f t="shared" si="7"/>
        <v>-4.4985167173251517E-3</v>
      </c>
    </row>
    <row r="223" spans="2:6" x14ac:dyDescent="0.25">
      <c r="B223" s="210">
        <v>43384</v>
      </c>
      <c r="C223" s="206">
        <v>272.17001299999998</v>
      </c>
      <c r="D223" s="207">
        <f t="shared" si="6"/>
        <v>-2.2026501129421505E-2</v>
      </c>
      <c r="E223" s="206">
        <v>79.980002999999996</v>
      </c>
      <c r="F223" s="10">
        <f t="shared" si="7"/>
        <v>-2.3204617362162394E-2</v>
      </c>
    </row>
    <row r="224" spans="2:6" x14ac:dyDescent="0.25">
      <c r="B224" s="210">
        <v>43385</v>
      </c>
      <c r="C224" s="206">
        <v>275.95001200000002</v>
      </c>
      <c r="D224" s="207">
        <f t="shared" si="6"/>
        <v>1.3888374249370505E-2</v>
      </c>
      <c r="E224" s="206">
        <v>79.989998</v>
      </c>
      <c r="F224" s="10">
        <f t="shared" si="7"/>
        <v>1.2496873749801019E-4</v>
      </c>
    </row>
    <row r="225" spans="2:6" x14ac:dyDescent="0.25">
      <c r="B225" s="210">
        <v>43388</v>
      </c>
      <c r="C225" s="206">
        <v>274.39999399999999</v>
      </c>
      <c r="D225" s="207">
        <f t="shared" si="6"/>
        <v>-5.6170245790749807E-3</v>
      </c>
      <c r="E225" s="206">
        <v>80.129997000000003</v>
      </c>
      <c r="F225" s="10">
        <f t="shared" si="7"/>
        <v>1.7502063195451445E-3</v>
      </c>
    </row>
    <row r="226" spans="2:6" x14ac:dyDescent="0.25">
      <c r="B226" s="210">
        <v>43389</v>
      </c>
      <c r="C226" s="206">
        <v>280.39999399999999</v>
      </c>
      <c r="D226" s="207">
        <f t="shared" si="6"/>
        <v>2.1865889690945162E-2</v>
      </c>
      <c r="E226" s="206">
        <v>80.940002000000007</v>
      </c>
      <c r="F226" s="10">
        <f t="shared" si="7"/>
        <v>1.0108636345013355E-2</v>
      </c>
    </row>
    <row r="227" spans="2:6" x14ac:dyDescent="0.25">
      <c r="B227" s="210">
        <v>43390</v>
      </c>
      <c r="C227" s="206">
        <v>280.45001200000002</v>
      </c>
      <c r="D227" s="207">
        <f t="shared" si="6"/>
        <v>1.7838088826782617E-4</v>
      </c>
      <c r="E227" s="206">
        <v>80.769997000000004</v>
      </c>
      <c r="F227" s="10">
        <f t="shared" si="7"/>
        <v>-2.1003829478531966E-3</v>
      </c>
    </row>
    <row r="228" spans="2:6" x14ac:dyDescent="0.25">
      <c r="B228" s="210">
        <v>43391</v>
      </c>
      <c r="C228" s="206">
        <v>276.39999399999999</v>
      </c>
      <c r="D228" s="207">
        <f t="shared" si="6"/>
        <v>-1.4441140405442421E-2</v>
      </c>
      <c r="E228" s="206">
        <v>81.260002</v>
      </c>
      <c r="F228" s="10">
        <f t="shared" si="7"/>
        <v>6.0666710189427597E-3</v>
      </c>
    </row>
    <row r="229" spans="2:6" x14ac:dyDescent="0.25">
      <c r="B229" s="210">
        <v>43392</v>
      </c>
      <c r="C229" s="206">
        <v>276.25</v>
      </c>
      <c r="D229" s="207">
        <f t="shared" si="6"/>
        <v>-5.4267005519537115E-4</v>
      </c>
      <c r="E229" s="206">
        <v>82.75</v>
      </c>
      <c r="F229" s="10">
        <f t="shared" si="7"/>
        <v>1.8336179711144984E-2</v>
      </c>
    </row>
    <row r="230" spans="2:6" x14ac:dyDescent="0.25">
      <c r="B230" s="210">
        <v>43395</v>
      </c>
      <c r="C230" s="206">
        <v>275.01001000000002</v>
      </c>
      <c r="D230" s="207">
        <f t="shared" si="6"/>
        <v>-4.488651583710368E-3</v>
      </c>
      <c r="E230" s="206">
        <v>82.639999000000003</v>
      </c>
      <c r="F230" s="10">
        <f t="shared" si="7"/>
        <v>-1.3293172205437465E-3</v>
      </c>
    </row>
    <row r="231" spans="2:6" x14ac:dyDescent="0.25">
      <c r="B231" s="210">
        <v>43396</v>
      </c>
      <c r="C231" s="206">
        <v>273.60998499999999</v>
      </c>
      <c r="D231" s="207">
        <f t="shared" si="6"/>
        <v>-5.090814694345247E-3</v>
      </c>
      <c r="E231" s="206">
        <v>82.300003000000004</v>
      </c>
      <c r="F231" s="10">
        <f t="shared" si="7"/>
        <v>-4.1141820439760668E-3</v>
      </c>
    </row>
    <row r="232" spans="2:6" x14ac:dyDescent="0.25">
      <c r="B232" s="210">
        <v>43397</v>
      </c>
      <c r="C232" s="206">
        <v>265.32000699999998</v>
      </c>
      <c r="D232" s="207">
        <f t="shared" si="6"/>
        <v>-3.029852145198586E-2</v>
      </c>
      <c r="E232" s="206">
        <v>84.75</v>
      </c>
      <c r="F232" s="10">
        <f t="shared" si="7"/>
        <v>2.9769099765403428E-2</v>
      </c>
    </row>
    <row r="233" spans="2:6" x14ac:dyDescent="0.25">
      <c r="B233" s="210">
        <v>43398</v>
      </c>
      <c r="C233" s="206">
        <v>270.07998700000002</v>
      </c>
      <c r="D233" s="207">
        <f t="shared" si="6"/>
        <v>1.7940524176150996E-2</v>
      </c>
      <c r="E233" s="206">
        <v>83.639999000000003</v>
      </c>
      <c r="F233" s="10">
        <f t="shared" si="7"/>
        <v>-1.3097356932153303E-2</v>
      </c>
    </row>
    <row r="234" spans="2:6" x14ac:dyDescent="0.25">
      <c r="B234" s="210">
        <v>43399</v>
      </c>
      <c r="C234" s="206">
        <v>265.32998700000002</v>
      </c>
      <c r="D234" s="207">
        <f t="shared" si="6"/>
        <v>-1.7587382363136728E-2</v>
      </c>
      <c r="E234" s="206">
        <v>81.889999000000003</v>
      </c>
      <c r="F234" s="10">
        <f t="shared" si="7"/>
        <v>-2.0923003597836054E-2</v>
      </c>
    </row>
    <row r="235" spans="2:6" x14ac:dyDescent="0.25">
      <c r="B235" s="210">
        <v>43402</v>
      </c>
      <c r="C235" s="206">
        <v>263.85998499999999</v>
      </c>
      <c r="D235" s="207">
        <f t="shared" si="6"/>
        <v>-5.5402784156470819E-3</v>
      </c>
      <c r="E235" s="206">
        <v>83.459998999999996</v>
      </c>
      <c r="F235" s="10">
        <f t="shared" si="7"/>
        <v>1.9172060314715411E-2</v>
      </c>
    </row>
    <row r="236" spans="2:6" x14ac:dyDescent="0.25">
      <c r="B236" s="210">
        <v>43403</v>
      </c>
      <c r="C236" s="206">
        <v>267.76998900000001</v>
      </c>
      <c r="D236" s="207">
        <f t="shared" si="6"/>
        <v>1.4818480339108708E-2</v>
      </c>
      <c r="E236" s="206">
        <v>83.830001999999993</v>
      </c>
      <c r="F236" s="10">
        <f t="shared" si="7"/>
        <v>4.4332974410890014E-3</v>
      </c>
    </row>
    <row r="237" spans="2:6" x14ac:dyDescent="0.25">
      <c r="B237" s="210">
        <v>43404</v>
      </c>
      <c r="C237" s="206">
        <v>270.63000499999998</v>
      </c>
      <c r="D237" s="207">
        <f t="shared" si="6"/>
        <v>1.0680868347796801E-2</v>
      </c>
      <c r="E237" s="206">
        <v>82.629997000000003</v>
      </c>
      <c r="F237" s="10">
        <f t="shared" si="7"/>
        <v>-1.4314743783496398E-2</v>
      </c>
    </row>
    <row r="238" spans="2:6" x14ac:dyDescent="0.25">
      <c r="B238" s="210">
        <v>43405</v>
      </c>
      <c r="C238" s="206">
        <v>273.51001000000002</v>
      </c>
      <c r="D238" s="207">
        <f t="shared" si="6"/>
        <v>1.0641853995457806E-2</v>
      </c>
      <c r="E238" s="206">
        <v>81.660004000000001</v>
      </c>
      <c r="F238" s="10">
        <f t="shared" si="7"/>
        <v>-1.1738993527979913E-2</v>
      </c>
    </row>
    <row r="239" spans="2:6" x14ac:dyDescent="0.25">
      <c r="B239" s="210">
        <v>43406</v>
      </c>
      <c r="C239" s="206">
        <v>271.89001500000001</v>
      </c>
      <c r="D239" s="207">
        <f t="shared" si="6"/>
        <v>-5.9229824897450989E-3</v>
      </c>
      <c r="E239" s="206">
        <v>82.589995999999999</v>
      </c>
      <c r="F239" s="10">
        <f t="shared" si="7"/>
        <v>1.1388586265560274E-2</v>
      </c>
    </row>
    <row r="240" spans="2:6" x14ac:dyDescent="0.25">
      <c r="B240" s="210">
        <v>43409</v>
      </c>
      <c r="C240" s="206">
        <v>273.39001500000001</v>
      </c>
      <c r="D240" s="207">
        <f t="shared" si="6"/>
        <v>5.5169366922136476E-3</v>
      </c>
      <c r="E240" s="206">
        <v>83.580001999999993</v>
      </c>
      <c r="F240" s="10">
        <f t="shared" si="7"/>
        <v>1.198699658491309E-2</v>
      </c>
    </row>
    <row r="241" spans="2:6" x14ac:dyDescent="0.25">
      <c r="B241" s="210">
        <v>43410</v>
      </c>
      <c r="C241" s="206">
        <v>275.11999500000002</v>
      </c>
      <c r="D241" s="207">
        <f t="shared" si="6"/>
        <v>6.3278828965278588E-3</v>
      </c>
      <c r="E241" s="206">
        <v>84.330001999999993</v>
      </c>
      <c r="F241" s="10">
        <f t="shared" si="7"/>
        <v>8.9734384069528605E-3</v>
      </c>
    </row>
    <row r="242" spans="2:6" x14ac:dyDescent="0.25">
      <c r="B242" s="210">
        <v>43411</v>
      </c>
      <c r="C242" s="206">
        <v>281.01001000000002</v>
      </c>
      <c r="D242" s="207">
        <f t="shared" si="6"/>
        <v>2.1408894689751712E-2</v>
      </c>
      <c r="E242" s="206">
        <v>84.699996999999996</v>
      </c>
      <c r="F242" s="10">
        <f t="shared" si="7"/>
        <v>4.3874658036886505E-3</v>
      </c>
    </row>
    <row r="243" spans="2:6" x14ac:dyDescent="0.25">
      <c r="B243" s="210">
        <v>43412</v>
      </c>
      <c r="C243" s="206">
        <v>280.5</v>
      </c>
      <c r="D243" s="207">
        <f t="shared" si="6"/>
        <v>-1.8149175540046469E-3</v>
      </c>
      <c r="E243" s="206">
        <v>84.330001999999993</v>
      </c>
      <c r="F243" s="10">
        <f t="shared" si="7"/>
        <v>-4.3683000366576685E-3</v>
      </c>
    </row>
    <row r="244" spans="2:6" x14ac:dyDescent="0.25">
      <c r="B244" s="210">
        <v>43413</v>
      </c>
      <c r="C244" s="206">
        <v>277.76001000000002</v>
      </c>
      <c r="D244" s="207">
        <f t="shared" si="6"/>
        <v>-9.7682352941175221E-3</v>
      </c>
      <c r="E244" s="206">
        <v>85.580001999999993</v>
      </c>
      <c r="F244" s="10">
        <f t="shared" si="7"/>
        <v>1.4822719914082239E-2</v>
      </c>
    </row>
    <row r="245" spans="2:6" x14ac:dyDescent="0.25">
      <c r="B245" s="210">
        <v>43416</v>
      </c>
      <c r="C245" s="206">
        <v>272.57000699999998</v>
      </c>
      <c r="D245" s="207">
        <f t="shared" si="6"/>
        <v>-1.8685205980515485E-2</v>
      </c>
      <c r="E245" s="206">
        <v>85.919998000000007</v>
      </c>
      <c r="F245" s="10">
        <f t="shared" si="7"/>
        <v>3.9728440296136203E-3</v>
      </c>
    </row>
    <row r="246" spans="2:6" x14ac:dyDescent="0.25">
      <c r="B246" s="210">
        <v>43417</v>
      </c>
      <c r="C246" s="206">
        <v>272.05999800000001</v>
      </c>
      <c r="D246" s="207">
        <f t="shared" si="6"/>
        <v>-1.871111959871552E-3</v>
      </c>
      <c r="E246" s="206">
        <v>86.349997999999999</v>
      </c>
      <c r="F246" s="10">
        <f t="shared" si="7"/>
        <v>5.0046556099778705E-3</v>
      </c>
    </row>
    <row r="247" spans="2:6" x14ac:dyDescent="0.25">
      <c r="B247" s="210">
        <v>43418</v>
      </c>
      <c r="C247" s="206">
        <v>270.20001200000002</v>
      </c>
      <c r="D247" s="207">
        <f t="shared" si="6"/>
        <v>-6.836675783552737E-3</v>
      </c>
      <c r="E247" s="206">
        <v>86.419998000000007</v>
      </c>
      <c r="F247" s="10">
        <f t="shared" si="7"/>
        <v>8.1065433261517938E-4</v>
      </c>
    </row>
    <row r="248" spans="2:6" x14ac:dyDescent="0.25">
      <c r="B248" s="210">
        <v>43419</v>
      </c>
      <c r="C248" s="206">
        <v>273.01998900000001</v>
      </c>
      <c r="D248" s="207">
        <f t="shared" si="6"/>
        <v>1.0436627959883316E-2</v>
      </c>
      <c r="E248" s="206">
        <v>86.139999000000003</v>
      </c>
      <c r="F248" s="10">
        <f t="shared" si="7"/>
        <v>-3.2399792464702371E-3</v>
      </c>
    </row>
    <row r="249" spans="2:6" x14ac:dyDescent="0.25">
      <c r="B249" s="210">
        <v>43420</v>
      </c>
      <c r="C249" s="206">
        <v>273.73001099999999</v>
      </c>
      <c r="D249" s="207">
        <f t="shared" si="6"/>
        <v>2.6006227697854545E-3</v>
      </c>
      <c r="E249" s="206">
        <v>86.68</v>
      </c>
      <c r="F249" s="10">
        <f t="shared" si="7"/>
        <v>6.2688763207439102E-3</v>
      </c>
    </row>
    <row r="250" spans="2:6" x14ac:dyDescent="0.25">
      <c r="B250" s="210">
        <v>43423</v>
      </c>
      <c r="C250" s="206">
        <v>269.10000600000001</v>
      </c>
      <c r="D250" s="207">
        <f t="shared" si="6"/>
        <v>-1.691449535652112E-2</v>
      </c>
      <c r="E250" s="206">
        <v>87.639999000000003</v>
      </c>
      <c r="F250" s="10">
        <f t="shared" si="7"/>
        <v>1.1075207660359965E-2</v>
      </c>
    </row>
    <row r="251" spans="2:6" x14ac:dyDescent="0.25">
      <c r="B251" s="210">
        <v>43424</v>
      </c>
      <c r="C251" s="206">
        <v>264.11999500000002</v>
      </c>
      <c r="D251" s="207">
        <f t="shared" si="6"/>
        <v>-1.8506172013983524E-2</v>
      </c>
      <c r="E251" s="206">
        <v>88.519997000000004</v>
      </c>
      <c r="F251" s="10">
        <f t="shared" si="7"/>
        <v>1.0041054427670559E-2</v>
      </c>
    </row>
    <row r="252" spans="2:6" x14ac:dyDescent="0.25">
      <c r="B252" s="210">
        <v>43425</v>
      </c>
      <c r="C252" s="206">
        <v>265.01998900000001</v>
      </c>
      <c r="D252" s="207">
        <f t="shared" si="6"/>
        <v>3.4075193739118159E-3</v>
      </c>
      <c r="E252" s="206">
        <v>86.449996999999996</v>
      </c>
      <c r="F252" s="10">
        <f t="shared" si="7"/>
        <v>-2.3384546657858607E-2</v>
      </c>
    </row>
    <row r="253" spans="2:6" x14ac:dyDescent="0.25">
      <c r="B253" s="210">
        <v>43427</v>
      </c>
      <c r="C253" s="206">
        <v>263.25</v>
      </c>
      <c r="D253" s="207">
        <f t="shared" si="6"/>
        <v>-6.6786999979839834E-3</v>
      </c>
      <c r="E253" s="206">
        <v>86.75</v>
      </c>
      <c r="F253" s="10">
        <f t="shared" si="7"/>
        <v>3.4702488190947456E-3</v>
      </c>
    </row>
    <row r="254" spans="2:6" x14ac:dyDescent="0.25">
      <c r="B254" s="210">
        <v>43430</v>
      </c>
      <c r="C254" s="206">
        <v>267.5</v>
      </c>
      <c r="D254" s="207">
        <f t="shared" si="6"/>
        <v>1.6144349477682729E-2</v>
      </c>
      <c r="E254" s="206">
        <v>86.980002999999996</v>
      </c>
      <c r="F254" s="10">
        <f t="shared" si="7"/>
        <v>2.651331412103719E-3</v>
      </c>
    </row>
    <row r="255" spans="2:6" x14ac:dyDescent="0.25">
      <c r="B255" s="210">
        <v>43431</v>
      </c>
      <c r="C255" s="206">
        <v>268.39999399999999</v>
      </c>
      <c r="D255" s="207">
        <f t="shared" si="6"/>
        <v>3.3644635514018528E-3</v>
      </c>
      <c r="E255" s="206">
        <v>87.830001999999993</v>
      </c>
      <c r="F255" s="10">
        <f t="shared" si="7"/>
        <v>9.7723496284543021E-3</v>
      </c>
    </row>
    <row r="256" spans="2:6" x14ac:dyDescent="0.25">
      <c r="B256" s="210">
        <v>43432</v>
      </c>
      <c r="C256" s="206">
        <v>274.57998700000002</v>
      </c>
      <c r="D256" s="207">
        <f t="shared" si="6"/>
        <v>2.3025309754664214E-2</v>
      </c>
      <c r="E256" s="206">
        <v>87.599997999999999</v>
      </c>
      <c r="F256" s="10">
        <f t="shared" si="7"/>
        <v>-2.618740689542487E-3</v>
      </c>
    </row>
    <row r="257" spans="2:6" x14ac:dyDescent="0.25">
      <c r="B257" s="210">
        <v>43433</v>
      </c>
      <c r="C257" s="206">
        <v>273.98001099999999</v>
      </c>
      <c r="D257" s="207">
        <f t="shared" si="6"/>
        <v>-2.185068207465668E-3</v>
      </c>
      <c r="E257" s="206">
        <v>87.599997999999999</v>
      </c>
      <c r="F257" s="10">
        <f t="shared" si="7"/>
        <v>0</v>
      </c>
    </row>
    <row r="258" spans="2:6" x14ac:dyDescent="0.25">
      <c r="B258" s="210">
        <v>43434</v>
      </c>
      <c r="C258" s="206">
        <v>275.64999399999999</v>
      </c>
      <c r="D258" s="207">
        <f t="shared" si="6"/>
        <v>6.0952731329002585E-3</v>
      </c>
      <c r="E258" s="206">
        <v>88.57</v>
      </c>
      <c r="F258" s="10">
        <f t="shared" si="7"/>
        <v>1.107308244459082E-2</v>
      </c>
    </row>
    <row r="259" spans="2:6" x14ac:dyDescent="0.25">
      <c r="B259" s="210">
        <v>43437</v>
      </c>
      <c r="C259" s="206">
        <v>279.29998799999998</v>
      </c>
      <c r="D259" s="207">
        <f t="shared" si="6"/>
        <v>1.3241407870300925E-2</v>
      </c>
      <c r="E259" s="206">
        <v>89.620002999999997</v>
      </c>
      <c r="F259" s="10">
        <f t="shared" si="7"/>
        <v>1.1855063791351483E-2</v>
      </c>
    </row>
    <row r="260" spans="2:6" x14ac:dyDescent="0.25">
      <c r="B260" s="210">
        <v>43438</v>
      </c>
      <c r="C260" s="206">
        <v>270.25</v>
      </c>
      <c r="D260" s="207">
        <f t="shared" si="6"/>
        <v>-3.2402393085673831E-2</v>
      </c>
      <c r="E260" s="206">
        <v>90.050003000000004</v>
      </c>
      <c r="F260" s="10">
        <f t="shared" si="7"/>
        <v>4.7980359920318794E-3</v>
      </c>
    </row>
    <row r="261" spans="2:6" x14ac:dyDescent="0.25">
      <c r="B261" s="210">
        <v>43440</v>
      </c>
      <c r="C261" s="206">
        <v>269.83999599999999</v>
      </c>
      <c r="D261" s="207">
        <f t="shared" ref="D261:D324" si="8">C261/C260-1</f>
        <v>-1.5171285846439231E-3</v>
      </c>
      <c r="E261" s="206">
        <v>89.830001999999993</v>
      </c>
      <c r="F261" s="10">
        <f t="shared" ref="F261:F324" si="9">E261/E260-1</f>
        <v>-2.4430981973427857E-3</v>
      </c>
    </row>
    <row r="262" spans="2:6" x14ac:dyDescent="0.25">
      <c r="B262" s="210">
        <v>43441</v>
      </c>
      <c r="C262" s="206">
        <v>263.57000699999998</v>
      </c>
      <c r="D262" s="207">
        <f t="shared" si="8"/>
        <v>-2.3235951278327227E-2</v>
      </c>
      <c r="E262" s="206">
        <v>89.989998</v>
      </c>
      <c r="F262" s="10">
        <f t="shared" si="9"/>
        <v>1.7810975891996428E-3</v>
      </c>
    </row>
    <row r="263" spans="2:6" x14ac:dyDescent="0.25">
      <c r="B263" s="210">
        <v>43444</v>
      </c>
      <c r="C263" s="206">
        <v>264.07000699999998</v>
      </c>
      <c r="D263" s="207">
        <f t="shared" si="8"/>
        <v>1.8970292018090085E-3</v>
      </c>
      <c r="E263" s="206">
        <v>90.510002</v>
      </c>
      <c r="F263" s="10">
        <f t="shared" si="9"/>
        <v>5.7784644022327303E-3</v>
      </c>
    </row>
    <row r="264" spans="2:6" x14ac:dyDescent="0.25">
      <c r="B264" s="210">
        <v>43445</v>
      </c>
      <c r="C264" s="206">
        <v>264.13000499999998</v>
      </c>
      <c r="D264" s="207">
        <f t="shared" si="8"/>
        <v>2.2720490176686425E-4</v>
      </c>
      <c r="E264" s="206">
        <v>90.790001000000004</v>
      </c>
      <c r="F264" s="10">
        <f t="shared" si="9"/>
        <v>3.0935697029375042E-3</v>
      </c>
    </row>
    <row r="265" spans="2:6" x14ac:dyDescent="0.25">
      <c r="B265" s="210">
        <v>43446</v>
      </c>
      <c r="C265" s="206">
        <v>265.459991</v>
      </c>
      <c r="D265" s="207">
        <f t="shared" si="8"/>
        <v>5.0353461357031115E-3</v>
      </c>
      <c r="E265" s="206">
        <v>89.599997999999999</v>
      </c>
      <c r="F265" s="10">
        <f t="shared" si="9"/>
        <v>-1.3107203292133551E-2</v>
      </c>
    </row>
    <row r="266" spans="2:6" x14ac:dyDescent="0.25">
      <c r="B266" s="210">
        <v>43447</v>
      </c>
      <c r="C266" s="206">
        <v>265.36999500000002</v>
      </c>
      <c r="D266" s="207">
        <f t="shared" si="8"/>
        <v>-3.3901907274602738E-4</v>
      </c>
      <c r="E266" s="206">
        <v>90.900002000000001</v>
      </c>
      <c r="F266" s="10">
        <f t="shared" si="9"/>
        <v>1.450897353814673E-2</v>
      </c>
    </row>
    <row r="267" spans="2:6" x14ac:dyDescent="0.25">
      <c r="B267" s="210">
        <v>43448</v>
      </c>
      <c r="C267" s="206">
        <v>260.47000100000002</v>
      </c>
      <c r="D267" s="207">
        <f t="shared" si="8"/>
        <v>-1.8464762755110997E-2</v>
      </c>
      <c r="E267" s="206">
        <v>90.75</v>
      </c>
      <c r="F267" s="10">
        <f t="shared" si="9"/>
        <v>-1.6501869823941639E-3</v>
      </c>
    </row>
    <row r="268" spans="2:6" x14ac:dyDescent="0.25">
      <c r="B268" s="210">
        <v>43451</v>
      </c>
      <c r="C268" s="206">
        <v>255.36000100000001</v>
      </c>
      <c r="D268" s="207">
        <f t="shared" si="8"/>
        <v>-1.9618382080015428E-2</v>
      </c>
      <c r="E268" s="206">
        <v>88.089995999999999</v>
      </c>
      <c r="F268" s="10">
        <f t="shared" si="9"/>
        <v>-2.931133884297521E-2</v>
      </c>
    </row>
    <row r="269" spans="2:6" x14ac:dyDescent="0.25">
      <c r="B269" s="210">
        <v>43452</v>
      </c>
      <c r="C269" s="206">
        <v>255.08000200000001</v>
      </c>
      <c r="D269" s="207">
        <f t="shared" si="8"/>
        <v>-1.0964873077361492E-3</v>
      </c>
      <c r="E269" s="206">
        <v>87.660004000000001</v>
      </c>
      <c r="F269" s="10">
        <f t="shared" si="9"/>
        <v>-4.8812807302204275E-3</v>
      </c>
    </row>
    <row r="270" spans="2:6" x14ac:dyDescent="0.25">
      <c r="B270" s="210">
        <v>43453</v>
      </c>
      <c r="C270" s="206">
        <v>251.259995</v>
      </c>
      <c r="D270" s="207">
        <f t="shared" si="8"/>
        <v>-1.4975721224904204E-2</v>
      </c>
      <c r="E270" s="206">
        <v>87.230002999999996</v>
      </c>
      <c r="F270" s="10">
        <f t="shared" si="9"/>
        <v>-4.9053271774891494E-3</v>
      </c>
    </row>
    <row r="271" spans="2:6" x14ac:dyDescent="0.25">
      <c r="B271" s="210">
        <v>43454</v>
      </c>
      <c r="C271" s="206">
        <v>247.16999799999999</v>
      </c>
      <c r="D271" s="207">
        <f t="shared" si="8"/>
        <v>-1.627794747030864E-2</v>
      </c>
      <c r="E271" s="206">
        <v>88.139999000000003</v>
      </c>
      <c r="F271" s="10">
        <f t="shared" si="9"/>
        <v>1.043214454549557E-2</v>
      </c>
    </row>
    <row r="272" spans="2:6" x14ac:dyDescent="0.25">
      <c r="B272" s="210">
        <v>43455</v>
      </c>
      <c r="C272" s="206">
        <v>240.699997</v>
      </c>
      <c r="D272" s="207">
        <f t="shared" si="8"/>
        <v>-2.617632015354876E-2</v>
      </c>
      <c r="E272" s="206">
        <v>87.669998000000007</v>
      </c>
      <c r="F272" s="10">
        <f t="shared" si="9"/>
        <v>-5.3324370924940911E-3</v>
      </c>
    </row>
    <row r="273" spans="2:6" x14ac:dyDescent="0.25">
      <c r="B273" s="210">
        <v>43458</v>
      </c>
      <c r="C273" s="206">
        <v>234.33999600000001</v>
      </c>
      <c r="D273" s="207">
        <f t="shared" si="8"/>
        <v>-2.6422937595632745E-2</v>
      </c>
      <c r="E273" s="206">
        <v>83.910004000000001</v>
      </c>
      <c r="F273" s="10">
        <f t="shared" si="9"/>
        <v>-4.2888035653884771E-2</v>
      </c>
    </row>
    <row r="274" spans="2:6" x14ac:dyDescent="0.25">
      <c r="B274" s="210">
        <v>43460</v>
      </c>
      <c r="C274" s="206">
        <v>246.179993</v>
      </c>
      <c r="D274" s="207">
        <f t="shared" si="8"/>
        <v>5.0524866442346328E-2</v>
      </c>
      <c r="E274" s="206">
        <v>85.25</v>
      </c>
      <c r="F274" s="10">
        <f t="shared" si="9"/>
        <v>1.5969442690051627E-2</v>
      </c>
    </row>
    <row r="275" spans="2:6" x14ac:dyDescent="0.25">
      <c r="B275" s="210">
        <v>43461</v>
      </c>
      <c r="C275" s="206">
        <v>248.070007</v>
      </c>
      <c r="D275" s="207">
        <f t="shared" si="8"/>
        <v>7.6773663731479758E-3</v>
      </c>
      <c r="E275" s="206">
        <v>85.959998999999996</v>
      </c>
      <c r="F275" s="10">
        <f t="shared" si="9"/>
        <v>8.3284340175953098E-3</v>
      </c>
    </row>
    <row r="276" spans="2:6" x14ac:dyDescent="0.25">
      <c r="B276" s="210">
        <v>43462</v>
      </c>
      <c r="C276" s="206">
        <v>247.75</v>
      </c>
      <c r="D276" s="207">
        <f t="shared" si="8"/>
        <v>-1.2899866609025201E-3</v>
      </c>
      <c r="E276" s="206">
        <v>86.120002999999997</v>
      </c>
      <c r="F276" s="10">
        <f t="shared" si="9"/>
        <v>1.861377406484177E-3</v>
      </c>
    </row>
    <row r="277" spans="2:6" x14ac:dyDescent="0.25">
      <c r="B277" s="210">
        <v>43465</v>
      </c>
      <c r="C277" s="206">
        <v>249.91999799999999</v>
      </c>
      <c r="D277" s="207">
        <f t="shared" si="8"/>
        <v>8.7588213925327008E-3</v>
      </c>
      <c r="E277" s="206">
        <v>86.300003000000004</v>
      </c>
      <c r="F277" s="10">
        <f t="shared" si="9"/>
        <v>2.090106754873311E-3</v>
      </c>
    </row>
    <row r="278" spans="2:6" x14ac:dyDescent="0.25">
      <c r="B278" s="210">
        <v>43467</v>
      </c>
      <c r="C278" s="206">
        <v>250.179993</v>
      </c>
      <c r="D278" s="207">
        <f t="shared" si="8"/>
        <v>1.0403129084533003E-3</v>
      </c>
      <c r="E278" s="206">
        <v>84.699996999999996</v>
      </c>
      <c r="F278" s="10">
        <f t="shared" si="9"/>
        <v>-1.8540045705444652E-2</v>
      </c>
    </row>
    <row r="279" spans="2:6" x14ac:dyDescent="0.25">
      <c r="B279" s="210">
        <v>43468</v>
      </c>
      <c r="C279" s="206">
        <v>244.21000699999999</v>
      </c>
      <c r="D279" s="207">
        <f t="shared" si="8"/>
        <v>-2.3862763478452953E-2</v>
      </c>
      <c r="E279" s="206">
        <v>84.669998000000007</v>
      </c>
      <c r="F279" s="10">
        <f t="shared" si="9"/>
        <v>-3.5417946945137668E-4</v>
      </c>
    </row>
    <row r="280" spans="2:6" x14ac:dyDescent="0.25">
      <c r="B280" s="210">
        <v>43469</v>
      </c>
      <c r="C280" s="206">
        <v>252.38999899999999</v>
      </c>
      <c r="D280" s="207">
        <f t="shared" si="8"/>
        <v>3.3495728125506385E-2</v>
      </c>
      <c r="E280" s="206">
        <v>85.370002999999997</v>
      </c>
      <c r="F280" s="10">
        <f t="shared" si="9"/>
        <v>8.2674502956761042E-3</v>
      </c>
    </row>
    <row r="281" spans="2:6" x14ac:dyDescent="0.25">
      <c r="B281" s="210">
        <v>43472</v>
      </c>
      <c r="C281" s="206">
        <v>254.38000500000001</v>
      </c>
      <c r="D281" s="207">
        <f t="shared" si="8"/>
        <v>7.8846468080537857E-3</v>
      </c>
      <c r="E281" s="206">
        <v>85.010002</v>
      </c>
      <c r="F281" s="10">
        <f t="shared" si="9"/>
        <v>-4.2169495999665463E-3</v>
      </c>
    </row>
    <row r="282" spans="2:6" x14ac:dyDescent="0.25">
      <c r="B282" s="210">
        <v>43473</v>
      </c>
      <c r="C282" s="206">
        <v>256.76998900000001</v>
      </c>
      <c r="D282" s="207">
        <f t="shared" si="8"/>
        <v>9.3953296368556316E-3</v>
      </c>
      <c r="E282" s="206">
        <v>86.080001999999993</v>
      </c>
      <c r="F282" s="10">
        <f t="shared" si="9"/>
        <v>1.2586754203346429E-2</v>
      </c>
    </row>
    <row r="283" spans="2:6" x14ac:dyDescent="0.25">
      <c r="B283" s="210">
        <v>43474</v>
      </c>
      <c r="C283" s="206">
        <v>257.97000100000002</v>
      </c>
      <c r="D283" s="207">
        <f t="shared" si="8"/>
        <v>4.6734900938909529E-3</v>
      </c>
      <c r="E283" s="206">
        <v>84.809997999999993</v>
      </c>
      <c r="F283" s="10">
        <f t="shared" si="9"/>
        <v>-1.4753763597728509E-2</v>
      </c>
    </row>
    <row r="284" spans="2:6" x14ac:dyDescent="0.25">
      <c r="B284" s="210">
        <v>43475</v>
      </c>
      <c r="C284" s="206">
        <v>258.88000499999998</v>
      </c>
      <c r="D284" s="207">
        <f t="shared" si="8"/>
        <v>3.5275574542481536E-3</v>
      </c>
      <c r="E284" s="206">
        <v>85.269997000000004</v>
      </c>
      <c r="F284" s="10">
        <f t="shared" si="9"/>
        <v>5.4238770292154292E-3</v>
      </c>
    </row>
    <row r="285" spans="2:6" x14ac:dyDescent="0.25">
      <c r="B285" s="210">
        <v>43476</v>
      </c>
      <c r="C285" s="206">
        <v>258.98001099999999</v>
      </c>
      <c r="D285" s="207">
        <f t="shared" si="8"/>
        <v>3.8630252653160113E-4</v>
      </c>
      <c r="E285" s="206">
        <v>84.610000999999997</v>
      </c>
      <c r="F285" s="10">
        <f t="shared" si="9"/>
        <v>-7.7400729825287673E-3</v>
      </c>
    </row>
    <row r="286" spans="2:6" x14ac:dyDescent="0.25">
      <c r="B286" s="210">
        <v>43479</v>
      </c>
      <c r="C286" s="206">
        <v>257.39999399999999</v>
      </c>
      <c r="D286" s="207">
        <f t="shared" si="8"/>
        <v>-6.1009225920528598E-3</v>
      </c>
      <c r="E286" s="206">
        <v>83.660004000000001</v>
      </c>
      <c r="F286" s="10">
        <f t="shared" si="9"/>
        <v>-1.1227951646047063E-2</v>
      </c>
    </row>
    <row r="287" spans="2:6" x14ac:dyDescent="0.25">
      <c r="B287" s="210">
        <v>43480</v>
      </c>
      <c r="C287" s="206">
        <v>260.35000600000001</v>
      </c>
      <c r="D287" s="207">
        <f t="shared" si="8"/>
        <v>1.1460808347959928E-2</v>
      </c>
      <c r="E287" s="206">
        <v>85.139999000000003</v>
      </c>
      <c r="F287" s="10">
        <f t="shared" si="9"/>
        <v>1.7690592030093599E-2</v>
      </c>
    </row>
    <row r="288" spans="2:6" x14ac:dyDescent="0.25">
      <c r="B288" s="210">
        <v>43481</v>
      </c>
      <c r="C288" s="206">
        <v>260.98001099999999</v>
      </c>
      <c r="D288" s="207">
        <f t="shared" si="8"/>
        <v>2.4198386229343782E-3</v>
      </c>
      <c r="E288" s="206">
        <v>85.269997000000004</v>
      </c>
      <c r="F288" s="10">
        <f t="shared" si="9"/>
        <v>1.5268734029465492E-3</v>
      </c>
    </row>
    <row r="289" spans="2:6" x14ac:dyDescent="0.25">
      <c r="B289" s="210">
        <v>43482</v>
      </c>
      <c r="C289" s="206">
        <v>262.959991</v>
      </c>
      <c r="D289" s="207">
        <f t="shared" si="8"/>
        <v>7.5867113056409252E-3</v>
      </c>
      <c r="E289" s="206">
        <v>85.639999000000003</v>
      </c>
      <c r="F289" s="10">
        <f t="shared" si="9"/>
        <v>4.3391815763755837E-3</v>
      </c>
    </row>
    <row r="290" spans="2:6" x14ac:dyDescent="0.25">
      <c r="B290" s="210">
        <v>43483</v>
      </c>
      <c r="C290" s="206">
        <v>266.459991</v>
      </c>
      <c r="D290" s="207">
        <f t="shared" si="8"/>
        <v>1.3310009582408355E-2</v>
      </c>
      <c r="E290" s="206">
        <v>85.599997999999999</v>
      </c>
      <c r="F290" s="10">
        <f t="shared" si="9"/>
        <v>-4.670831441743184E-4</v>
      </c>
    </row>
    <row r="291" spans="2:6" x14ac:dyDescent="0.25">
      <c r="B291" s="210">
        <v>43487</v>
      </c>
      <c r="C291" s="206">
        <v>262.85998499999999</v>
      </c>
      <c r="D291" s="207">
        <f t="shared" si="8"/>
        <v>-1.3510493588510308E-2</v>
      </c>
      <c r="E291" s="206">
        <v>85.610000999999997</v>
      </c>
      <c r="F291" s="10">
        <f t="shared" si="9"/>
        <v>1.1685747936573954E-4</v>
      </c>
    </row>
    <row r="292" spans="2:6" x14ac:dyDescent="0.25">
      <c r="B292" s="210">
        <v>43488</v>
      </c>
      <c r="C292" s="206">
        <v>263.41000400000001</v>
      </c>
      <c r="D292" s="207">
        <f t="shared" si="8"/>
        <v>2.0924409624387685E-3</v>
      </c>
      <c r="E292" s="206">
        <v>86.129997000000003</v>
      </c>
      <c r="F292" s="10">
        <f t="shared" si="9"/>
        <v>6.0740099746057208E-3</v>
      </c>
    </row>
    <row r="293" spans="2:6" x14ac:dyDescent="0.25">
      <c r="B293" s="210">
        <v>43489</v>
      </c>
      <c r="C293" s="206">
        <v>263.54998799999998</v>
      </c>
      <c r="D293" s="207">
        <f t="shared" si="8"/>
        <v>5.3143008190370544E-4</v>
      </c>
      <c r="E293" s="206">
        <v>86.699996999999996</v>
      </c>
      <c r="F293" s="10">
        <f t="shared" si="9"/>
        <v>6.6179034001359049E-3</v>
      </c>
    </row>
    <row r="294" spans="2:6" x14ac:dyDescent="0.25">
      <c r="B294" s="210">
        <v>43490</v>
      </c>
      <c r="C294" s="206">
        <v>265.77999899999998</v>
      </c>
      <c r="D294" s="207">
        <f t="shared" si="8"/>
        <v>8.4614346482154712E-3</v>
      </c>
      <c r="E294" s="206">
        <v>85.849997999999999</v>
      </c>
      <c r="F294" s="10">
        <f t="shared" si="9"/>
        <v>-9.8039103738376543E-3</v>
      </c>
    </row>
    <row r="295" spans="2:6" x14ac:dyDescent="0.25">
      <c r="B295" s="210">
        <v>43493</v>
      </c>
      <c r="C295" s="206">
        <v>263.76001000000002</v>
      </c>
      <c r="D295" s="207">
        <f t="shared" si="8"/>
        <v>-7.6002295417268995E-3</v>
      </c>
      <c r="E295" s="206">
        <v>85.650002000000001</v>
      </c>
      <c r="F295" s="10">
        <f t="shared" si="9"/>
        <v>-2.3295981905555596E-3</v>
      </c>
    </row>
    <row r="296" spans="2:6" x14ac:dyDescent="0.25">
      <c r="B296" s="210">
        <v>43494</v>
      </c>
      <c r="C296" s="206">
        <v>263.41000400000001</v>
      </c>
      <c r="D296" s="207">
        <f t="shared" si="8"/>
        <v>-1.3269866042240341E-3</v>
      </c>
      <c r="E296" s="206">
        <v>85.629997000000003</v>
      </c>
      <c r="F296" s="10">
        <f t="shared" si="9"/>
        <v>-2.3356683634401243E-4</v>
      </c>
    </row>
    <row r="297" spans="2:6" x14ac:dyDescent="0.25">
      <c r="B297" s="210">
        <v>43495</v>
      </c>
      <c r="C297" s="206">
        <v>267.57998700000002</v>
      </c>
      <c r="D297" s="207">
        <f t="shared" si="8"/>
        <v>1.5830769282399793E-2</v>
      </c>
      <c r="E297" s="206">
        <v>86.050003000000004</v>
      </c>
      <c r="F297" s="10">
        <f t="shared" si="9"/>
        <v>4.9048933167661346E-3</v>
      </c>
    </row>
    <row r="298" spans="2:6" x14ac:dyDescent="0.25">
      <c r="B298" s="210">
        <v>43496</v>
      </c>
      <c r="C298" s="206">
        <v>269.92999300000002</v>
      </c>
      <c r="D298" s="207">
        <f t="shared" si="8"/>
        <v>8.782443060661338E-3</v>
      </c>
      <c r="E298" s="206">
        <v>87.779999000000004</v>
      </c>
      <c r="F298" s="10">
        <f t="shared" si="9"/>
        <v>2.010454316892929E-2</v>
      </c>
    </row>
    <row r="299" spans="2:6" x14ac:dyDescent="0.25">
      <c r="B299" s="210">
        <v>43497</v>
      </c>
      <c r="C299" s="206">
        <v>270.05999800000001</v>
      </c>
      <c r="D299" s="207">
        <f t="shared" si="8"/>
        <v>4.8162487819558564E-4</v>
      </c>
      <c r="E299" s="206">
        <v>87.779999000000004</v>
      </c>
      <c r="F299" s="10">
        <f t="shared" si="9"/>
        <v>0</v>
      </c>
    </row>
    <row r="300" spans="2:6" x14ac:dyDescent="0.25">
      <c r="B300" s="210">
        <v>43500</v>
      </c>
      <c r="C300" s="206">
        <v>271.959991</v>
      </c>
      <c r="D300" s="207">
        <f t="shared" si="8"/>
        <v>7.035447730396438E-3</v>
      </c>
      <c r="E300" s="206">
        <v>87.82</v>
      </c>
      <c r="F300" s="10">
        <f t="shared" si="9"/>
        <v>4.5569606351891778E-4</v>
      </c>
    </row>
    <row r="301" spans="2:6" x14ac:dyDescent="0.25">
      <c r="B301" s="210">
        <v>43501</v>
      </c>
      <c r="C301" s="206">
        <v>273.10000600000001</v>
      </c>
      <c r="D301" s="207">
        <f t="shared" si="8"/>
        <v>4.1918482046132688E-3</v>
      </c>
      <c r="E301" s="206">
        <v>88.5</v>
      </c>
      <c r="F301" s="10">
        <f t="shared" si="9"/>
        <v>7.7431109086769645E-3</v>
      </c>
    </row>
    <row r="302" spans="2:6" x14ac:dyDescent="0.25">
      <c r="B302" s="210">
        <v>43502</v>
      </c>
      <c r="C302" s="206">
        <v>272.73998999999998</v>
      </c>
      <c r="D302" s="207">
        <f t="shared" si="8"/>
        <v>-1.3182570197382004E-3</v>
      </c>
      <c r="E302" s="206">
        <v>88.459998999999996</v>
      </c>
      <c r="F302" s="10">
        <f t="shared" si="9"/>
        <v>-4.5198870056506468E-4</v>
      </c>
    </row>
    <row r="303" spans="2:6" x14ac:dyDescent="0.25">
      <c r="B303" s="210">
        <v>43503</v>
      </c>
      <c r="C303" s="206">
        <v>270.14001500000001</v>
      </c>
      <c r="D303" s="207">
        <f t="shared" si="8"/>
        <v>-9.5327971523353483E-3</v>
      </c>
      <c r="E303" s="206">
        <v>89.480002999999996</v>
      </c>
      <c r="F303" s="10">
        <f t="shared" si="9"/>
        <v>1.1530680663923487E-2</v>
      </c>
    </row>
    <row r="304" spans="2:6" x14ac:dyDescent="0.25">
      <c r="B304" s="210">
        <v>43504</v>
      </c>
      <c r="C304" s="206">
        <v>270.47000100000002</v>
      </c>
      <c r="D304" s="207">
        <f t="shared" si="8"/>
        <v>1.2215369129968678E-3</v>
      </c>
      <c r="E304" s="206">
        <v>90.300003000000004</v>
      </c>
      <c r="F304" s="10">
        <f t="shared" si="9"/>
        <v>9.1640587003556373E-3</v>
      </c>
    </row>
    <row r="305" spans="2:6" x14ac:dyDescent="0.25">
      <c r="B305" s="210">
        <v>43507</v>
      </c>
      <c r="C305" s="206">
        <v>270.61999500000002</v>
      </c>
      <c r="D305" s="207">
        <f t="shared" si="8"/>
        <v>5.5456797221653531E-4</v>
      </c>
      <c r="E305" s="206">
        <v>90.169998000000007</v>
      </c>
      <c r="F305" s="10">
        <f t="shared" si="9"/>
        <v>-1.4397009488471557E-3</v>
      </c>
    </row>
    <row r="306" spans="2:6" x14ac:dyDescent="0.25">
      <c r="B306" s="210">
        <v>43508</v>
      </c>
      <c r="C306" s="206">
        <v>274.10000600000001</v>
      </c>
      <c r="D306" s="207">
        <f t="shared" si="8"/>
        <v>1.2859400873169058E-2</v>
      </c>
      <c r="E306" s="206">
        <v>90.230002999999996</v>
      </c>
      <c r="F306" s="10">
        <f t="shared" si="9"/>
        <v>6.6546524709898414E-4</v>
      </c>
    </row>
    <row r="307" spans="2:6" x14ac:dyDescent="0.25">
      <c r="B307" s="210">
        <v>43509</v>
      </c>
      <c r="C307" s="206">
        <v>274.98998999999998</v>
      </c>
      <c r="D307" s="207">
        <f t="shared" si="8"/>
        <v>3.2469317056489366E-3</v>
      </c>
      <c r="E307" s="206">
        <v>89.589995999999999</v>
      </c>
      <c r="F307" s="10">
        <f t="shared" si="9"/>
        <v>-7.0930619386103677E-3</v>
      </c>
    </row>
    <row r="308" spans="2:6" x14ac:dyDescent="0.25">
      <c r="B308" s="210">
        <v>43510</v>
      </c>
      <c r="C308" s="206">
        <v>274.38000499999998</v>
      </c>
      <c r="D308" s="207">
        <f t="shared" si="8"/>
        <v>-2.2182080154989903E-3</v>
      </c>
      <c r="E308" s="206">
        <v>87.82</v>
      </c>
      <c r="F308" s="10">
        <f t="shared" si="9"/>
        <v>-1.9756625505374603E-2</v>
      </c>
    </row>
    <row r="309" spans="2:6" x14ac:dyDescent="0.25">
      <c r="B309" s="210">
        <v>43511</v>
      </c>
      <c r="C309" s="206">
        <v>277.36999500000002</v>
      </c>
      <c r="D309" s="207">
        <f t="shared" si="8"/>
        <v>1.0897259076877885E-2</v>
      </c>
      <c r="E309" s="206">
        <v>87.510002</v>
      </c>
      <c r="F309" s="10">
        <f t="shared" si="9"/>
        <v>-3.5299248462763444E-3</v>
      </c>
    </row>
    <row r="310" spans="2:6" x14ac:dyDescent="0.25">
      <c r="B310" s="210">
        <v>43515</v>
      </c>
      <c r="C310" s="206">
        <v>277.85000600000001</v>
      </c>
      <c r="D310" s="207">
        <f t="shared" si="8"/>
        <v>1.7305801227707196E-3</v>
      </c>
      <c r="E310" s="206">
        <v>87.940002000000007</v>
      </c>
      <c r="F310" s="10">
        <f t="shared" si="9"/>
        <v>4.913724033511091E-3</v>
      </c>
    </row>
    <row r="311" spans="2:6" x14ac:dyDescent="0.25">
      <c r="B311" s="210">
        <v>43516</v>
      </c>
      <c r="C311" s="206">
        <v>278.41000400000001</v>
      </c>
      <c r="D311" s="207">
        <f t="shared" si="8"/>
        <v>2.0154687345950162E-3</v>
      </c>
      <c r="E311" s="206">
        <v>88.849997999999999</v>
      </c>
      <c r="F311" s="10">
        <f t="shared" si="9"/>
        <v>1.0347918800365674E-2</v>
      </c>
    </row>
    <row r="312" spans="2:6" x14ac:dyDescent="0.25">
      <c r="B312" s="210">
        <v>43517</v>
      </c>
      <c r="C312" s="206">
        <v>277.42001299999998</v>
      </c>
      <c r="D312" s="207">
        <f t="shared" si="8"/>
        <v>-3.5558743787096336E-3</v>
      </c>
      <c r="E312" s="206">
        <v>89.589995999999999</v>
      </c>
      <c r="F312" s="10">
        <f t="shared" si="9"/>
        <v>8.3286214592823704E-3</v>
      </c>
    </row>
    <row r="313" spans="2:6" x14ac:dyDescent="0.25">
      <c r="B313" s="210">
        <v>43518</v>
      </c>
      <c r="C313" s="206">
        <v>279.14001500000001</v>
      </c>
      <c r="D313" s="207">
        <f t="shared" si="8"/>
        <v>6.1999925001807732E-3</v>
      </c>
      <c r="E313" s="206">
        <v>89.910004000000001</v>
      </c>
      <c r="F313" s="10">
        <f t="shared" si="9"/>
        <v>3.5719166680172609E-3</v>
      </c>
    </row>
    <row r="314" spans="2:6" x14ac:dyDescent="0.25">
      <c r="B314" s="210">
        <v>43521</v>
      </c>
      <c r="C314" s="206">
        <v>279.51998900000001</v>
      </c>
      <c r="D314" s="207">
        <f t="shared" si="8"/>
        <v>1.3612308504031834E-3</v>
      </c>
      <c r="E314" s="206">
        <v>89.480002999999996</v>
      </c>
      <c r="F314" s="10">
        <f t="shared" si="9"/>
        <v>-4.7825712475777493E-3</v>
      </c>
    </row>
    <row r="315" spans="2:6" x14ac:dyDescent="0.25">
      <c r="B315" s="210">
        <v>43522</v>
      </c>
      <c r="C315" s="206">
        <v>279.32000699999998</v>
      </c>
      <c r="D315" s="207">
        <f t="shared" si="8"/>
        <v>-7.1544793885935931E-4</v>
      </c>
      <c r="E315" s="206">
        <v>88.879997000000003</v>
      </c>
      <c r="F315" s="10">
        <f t="shared" si="9"/>
        <v>-6.7054758592262065E-3</v>
      </c>
    </row>
    <row r="316" spans="2:6" x14ac:dyDescent="0.25">
      <c r="B316" s="210">
        <v>43523</v>
      </c>
      <c r="C316" s="206">
        <v>279.20001200000002</v>
      </c>
      <c r="D316" s="207">
        <f t="shared" si="8"/>
        <v>-4.2959686736643299E-4</v>
      </c>
      <c r="E316" s="206">
        <v>89.279999000000004</v>
      </c>
      <c r="F316" s="10">
        <f t="shared" si="9"/>
        <v>4.5004726991608734E-3</v>
      </c>
    </row>
    <row r="317" spans="2:6" x14ac:dyDescent="0.25">
      <c r="B317" s="210">
        <v>43524</v>
      </c>
      <c r="C317" s="206">
        <v>278.67999300000002</v>
      </c>
      <c r="D317" s="207">
        <f t="shared" si="8"/>
        <v>-1.8625321549055052E-3</v>
      </c>
      <c r="E317" s="206">
        <v>89.660004000000001</v>
      </c>
      <c r="F317" s="10">
        <f t="shared" si="9"/>
        <v>4.2563284526917489E-3</v>
      </c>
    </row>
    <row r="318" spans="2:6" x14ac:dyDescent="0.25">
      <c r="B318" s="210">
        <v>43525</v>
      </c>
      <c r="C318" s="206">
        <v>280.42001299999998</v>
      </c>
      <c r="D318" s="207">
        <f t="shared" si="8"/>
        <v>6.2437923198883638E-3</v>
      </c>
      <c r="E318" s="206">
        <v>89.529999000000004</v>
      </c>
      <c r="F318" s="10">
        <f t="shared" si="9"/>
        <v>-1.449977628820931E-3</v>
      </c>
    </row>
    <row r="319" spans="2:6" x14ac:dyDescent="0.25">
      <c r="B319" s="210">
        <v>43528</v>
      </c>
      <c r="C319" s="206">
        <v>279.39999399999999</v>
      </c>
      <c r="D319" s="207">
        <f t="shared" si="8"/>
        <v>-3.6374686281752666E-3</v>
      </c>
      <c r="E319" s="206">
        <v>89.879997000000003</v>
      </c>
      <c r="F319" s="10">
        <f t="shared" si="9"/>
        <v>3.90928184864614E-3</v>
      </c>
    </row>
    <row r="320" spans="2:6" x14ac:dyDescent="0.25">
      <c r="B320" s="210">
        <v>43529</v>
      </c>
      <c r="C320" s="206">
        <v>279.01998900000001</v>
      </c>
      <c r="D320" s="207">
        <f t="shared" si="8"/>
        <v>-1.3600751902663744E-3</v>
      </c>
      <c r="E320" s="206">
        <v>89.529999000000004</v>
      </c>
      <c r="F320" s="10">
        <f t="shared" si="9"/>
        <v>-3.8940588749686311E-3</v>
      </c>
    </row>
    <row r="321" spans="2:6" x14ac:dyDescent="0.25">
      <c r="B321" s="210">
        <v>43530</v>
      </c>
      <c r="C321" s="206">
        <v>277.32998700000002</v>
      </c>
      <c r="D321" s="207">
        <f t="shared" si="8"/>
        <v>-6.0569208896356086E-3</v>
      </c>
      <c r="E321" s="206">
        <v>89.57</v>
      </c>
      <c r="F321" s="10">
        <f t="shared" si="9"/>
        <v>4.4678879087212131E-4</v>
      </c>
    </row>
    <row r="322" spans="2:6" x14ac:dyDescent="0.25">
      <c r="B322" s="210">
        <v>43531</v>
      </c>
      <c r="C322" s="206">
        <v>275.01001000000002</v>
      </c>
      <c r="D322" s="207">
        <f t="shared" si="8"/>
        <v>-8.3654026205250975E-3</v>
      </c>
      <c r="E322" s="206">
        <v>89.580001999999993</v>
      </c>
      <c r="F322" s="10">
        <f t="shared" si="9"/>
        <v>1.1166685274077714E-4</v>
      </c>
    </row>
    <row r="323" spans="2:6" x14ac:dyDescent="0.25">
      <c r="B323" s="210">
        <v>43532</v>
      </c>
      <c r="C323" s="206">
        <v>274.459991</v>
      </c>
      <c r="D323" s="207">
        <f t="shared" si="8"/>
        <v>-1.9999962910441926E-3</v>
      </c>
      <c r="E323" s="206">
        <v>90.199996999999996</v>
      </c>
      <c r="F323" s="10">
        <f t="shared" si="9"/>
        <v>6.9211317945718775E-3</v>
      </c>
    </row>
    <row r="324" spans="2:6" x14ac:dyDescent="0.25">
      <c r="B324" s="210">
        <v>43535</v>
      </c>
      <c r="C324" s="206">
        <v>278.44000199999999</v>
      </c>
      <c r="D324" s="207">
        <f t="shared" si="8"/>
        <v>1.4501242915219592E-2</v>
      </c>
      <c r="E324" s="206">
        <v>90.360000999999997</v>
      </c>
      <c r="F324" s="10">
        <f t="shared" si="9"/>
        <v>1.7738803250735291E-3</v>
      </c>
    </row>
    <row r="325" spans="2:6" x14ac:dyDescent="0.25">
      <c r="B325" s="210">
        <v>43536</v>
      </c>
      <c r="C325" s="206">
        <v>279.48998999999998</v>
      </c>
      <c r="D325" s="207">
        <f t="shared" ref="D325:D388" si="10">C325/C324-1</f>
        <v>3.7709667880263531E-3</v>
      </c>
      <c r="E325" s="206">
        <v>90.510002</v>
      </c>
      <c r="F325" s="10">
        <f t="shared" ref="F325:F388" si="11">E325/E324-1</f>
        <v>1.6600376088973245E-3</v>
      </c>
    </row>
    <row r="326" spans="2:6" x14ac:dyDescent="0.25">
      <c r="B326" s="210">
        <v>43537</v>
      </c>
      <c r="C326" s="206">
        <v>281.33999599999999</v>
      </c>
      <c r="D326" s="207">
        <f t="shared" si="10"/>
        <v>6.6192209602926599E-3</v>
      </c>
      <c r="E326" s="206">
        <v>90.559997999999993</v>
      </c>
      <c r="F326" s="10">
        <f t="shared" si="11"/>
        <v>5.5238094017484585E-4</v>
      </c>
    </row>
    <row r="327" spans="2:6" x14ac:dyDescent="0.25">
      <c r="B327" s="210">
        <v>43538</v>
      </c>
      <c r="C327" s="206">
        <v>281.16000400000001</v>
      </c>
      <c r="D327" s="207">
        <f t="shared" si="10"/>
        <v>-6.3976683926580957E-4</v>
      </c>
      <c r="E327" s="206">
        <v>90.360000999999997</v>
      </c>
      <c r="F327" s="10">
        <f t="shared" si="11"/>
        <v>-2.2084474869356052E-3</v>
      </c>
    </row>
    <row r="328" spans="2:6" x14ac:dyDescent="0.25">
      <c r="B328" s="210">
        <v>43539</v>
      </c>
      <c r="C328" s="206">
        <v>281.30999800000001</v>
      </c>
      <c r="D328" s="207">
        <f t="shared" si="10"/>
        <v>5.3348270687880728E-4</v>
      </c>
      <c r="E328" s="206">
        <v>90.650002000000001</v>
      </c>
      <c r="F328" s="10">
        <f t="shared" si="11"/>
        <v>3.2093957148142671E-3</v>
      </c>
    </row>
    <row r="329" spans="2:6" x14ac:dyDescent="0.25">
      <c r="B329" s="210">
        <v>43542</v>
      </c>
      <c r="C329" s="206">
        <v>282.32998700000002</v>
      </c>
      <c r="D329" s="207">
        <f t="shared" si="10"/>
        <v>3.6258540658054006E-3</v>
      </c>
      <c r="E329" s="206">
        <v>90.059997999999993</v>
      </c>
      <c r="F329" s="10">
        <f t="shared" si="11"/>
        <v>-6.508593347852365E-3</v>
      </c>
    </row>
    <row r="330" spans="2:6" x14ac:dyDescent="0.25">
      <c r="B330" s="210">
        <v>43543</v>
      </c>
      <c r="C330" s="206">
        <v>282.39999399999999</v>
      </c>
      <c r="D330" s="207">
        <f t="shared" si="10"/>
        <v>2.4796161663109828E-4</v>
      </c>
      <c r="E330" s="206">
        <v>89.120002999999997</v>
      </c>
      <c r="F330" s="10">
        <f t="shared" si="11"/>
        <v>-1.0437430833609374E-2</v>
      </c>
    </row>
    <row r="331" spans="2:6" x14ac:dyDescent="0.25">
      <c r="B331" s="210">
        <v>43544</v>
      </c>
      <c r="C331" s="206">
        <v>281.54998799999998</v>
      </c>
      <c r="D331" s="207">
        <f t="shared" si="10"/>
        <v>-3.0099363245736921E-3</v>
      </c>
      <c r="E331" s="206">
        <v>89.379997000000003</v>
      </c>
      <c r="F331" s="10">
        <f t="shared" si="11"/>
        <v>2.9173472985632998E-3</v>
      </c>
    </row>
    <row r="332" spans="2:6" x14ac:dyDescent="0.25">
      <c r="B332" s="210">
        <v>43545</v>
      </c>
      <c r="C332" s="206">
        <v>284.73001099999999</v>
      </c>
      <c r="D332" s="207">
        <f t="shared" si="10"/>
        <v>1.1294701245023742E-2</v>
      </c>
      <c r="E332" s="206">
        <v>89.910004000000001</v>
      </c>
      <c r="F332" s="10">
        <f t="shared" si="11"/>
        <v>5.9298167127930235E-3</v>
      </c>
    </row>
    <row r="333" spans="2:6" x14ac:dyDescent="0.25">
      <c r="B333" s="210">
        <v>43546</v>
      </c>
      <c r="C333" s="206">
        <v>279.25</v>
      </c>
      <c r="D333" s="207">
        <f t="shared" si="10"/>
        <v>-1.9246341405156575E-2</v>
      </c>
      <c r="E333" s="206">
        <v>90.699996999999996</v>
      </c>
      <c r="F333" s="10">
        <f t="shared" si="11"/>
        <v>8.7864860955850776E-3</v>
      </c>
    </row>
    <row r="334" spans="2:6" x14ac:dyDescent="0.25">
      <c r="B334" s="210">
        <v>43549</v>
      </c>
      <c r="C334" s="206">
        <v>279.040009</v>
      </c>
      <c r="D334" s="207">
        <f t="shared" si="10"/>
        <v>-7.5198209489701906E-4</v>
      </c>
      <c r="E334" s="206">
        <v>90.769997000000004</v>
      </c>
      <c r="F334" s="10">
        <f t="shared" si="11"/>
        <v>7.7177510821746509E-4</v>
      </c>
    </row>
    <row r="335" spans="2:6" x14ac:dyDescent="0.25">
      <c r="B335" s="210">
        <v>43550</v>
      </c>
      <c r="C335" s="206">
        <v>281.11999500000002</v>
      </c>
      <c r="D335" s="207">
        <f t="shared" si="10"/>
        <v>7.4540780279290786E-3</v>
      </c>
      <c r="E335" s="206">
        <v>91.529999000000004</v>
      </c>
      <c r="F335" s="10">
        <f t="shared" si="11"/>
        <v>8.3728327103502753E-3</v>
      </c>
    </row>
    <row r="336" spans="2:6" x14ac:dyDescent="0.25">
      <c r="B336" s="210">
        <v>43551</v>
      </c>
      <c r="C336" s="206">
        <v>279.64999399999999</v>
      </c>
      <c r="D336" s="207">
        <f t="shared" si="10"/>
        <v>-5.2290873155430573E-3</v>
      </c>
      <c r="E336" s="206">
        <v>90.480002999999996</v>
      </c>
      <c r="F336" s="10">
        <f t="shared" si="11"/>
        <v>-1.1471605063603341E-2</v>
      </c>
    </row>
    <row r="337" spans="2:6" x14ac:dyDescent="0.25">
      <c r="B337" s="210">
        <v>43552</v>
      </c>
      <c r="C337" s="206">
        <v>280.709991</v>
      </c>
      <c r="D337" s="207">
        <f t="shared" si="10"/>
        <v>3.7904417047833761E-3</v>
      </c>
      <c r="E337" s="206">
        <v>89.379997000000003</v>
      </c>
      <c r="F337" s="10">
        <f t="shared" si="11"/>
        <v>-1.2157448756936806E-2</v>
      </c>
    </row>
    <row r="338" spans="2:6" x14ac:dyDescent="0.25">
      <c r="B338" s="210">
        <v>43553</v>
      </c>
      <c r="C338" s="206">
        <v>282.48001099999999</v>
      </c>
      <c r="D338" s="207">
        <f t="shared" si="10"/>
        <v>6.3055112277781156E-3</v>
      </c>
      <c r="E338" s="206">
        <v>90</v>
      </c>
      <c r="F338" s="10">
        <f t="shared" si="11"/>
        <v>6.9367086687193158E-3</v>
      </c>
    </row>
    <row r="339" spans="2:6" x14ac:dyDescent="0.25">
      <c r="B339" s="210">
        <v>43556</v>
      </c>
      <c r="C339" s="206">
        <v>285.82998700000002</v>
      </c>
      <c r="D339" s="207">
        <f t="shared" si="10"/>
        <v>1.185916124875841E-2</v>
      </c>
      <c r="E339" s="206">
        <v>89.279999000000004</v>
      </c>
      <c r="F339" s="10">
        <f t="shared" si="11"/>
        <v>-8.0000111111110384E-3</v>
      </c>
    </row>
    <row r="340" spans="2:6" x14ac:dyDescent="0.25">
      <c r="B340" s="210">
        <v>43557</v>
      </c>
      <c r="C340" s="206">
        <v>285.97000100000002</v>
      </c>
      <c r="D340" s="207">
        <f t="shared" si="10"/>
        <v>4.8985063278195184E-4</v>
      </c>
      <c r="E340" s="206">
        <v>89.129997000000003</v>
      </c>
      <c r="F340" s="10">
        <f t="shared" si="11"/>
        <v>-1.680129947134068E-3</v>
      </c>
    </row>
    <row r="341" spans="2:6" x14ac:dyDescent="0.25">
      <c r="B341" s="210">
        <v>43558</v>
      </c>
      <c r="C341" s="206">
        <v>286.42001299999998</v>
      </c>
      <c r="D341" s="207">
        <f t="shared" si="10"/>
        <v>1.5736335924270151E-3</v>
      </c>
      <c r="E341" s="206">
        <v>88.849997999999999</v>
      </c>
      <c r="F341" s="10">
        <f t="shared" si="11"/>
        <v>-3.1414676250914875E-3</v>
      </c>
    </row>
    <row r="342" spans="2:6" x14ac:dyDescent="0.25">
      <c r="B342" s="210">
        <v>43559</v>
      </c>
      <c r="C342" s="206">
        <v>287.17999300000002</v>
      </c>
      <c r="D342" s="207">
        <f t="shared" si="10"/>
        <v>2.6533760404516826E-3</v>
      </c>
      <c r="E342" s="206">
        <v>89.349997999999999</v>
      </c>
      <c r="F342" s="10">
        <f t="shared" si="11"/>
        <v>5.6274621413048287E-3</v>
      </c>
    </row>
    <row r="343" spans="2:6" x14ac:dyDescent="0.25">
      <c r="B343" s="210">
        <v>43560</v>
      </c>
      <c r="C343" s="206">
        <v>288.57000699999998</v>
      </c>
      <c r="D343" s="207">
        <f t="shared" si="10"/>
        <v>4.8402187961609222E-3</v>
      </c>
      <c r="E343" s="206">
        <v>90.529999000000004</v>
      </c>
      <c r="F343" s="10">
        <f t="shared" si="11"/>
        <v>1.3206502813799759E-2</v>
      </c>
    </row>
    <row r="344" spans="2:6" x14ac:dyDescent="0.25">
      <c r="B344" s="210">
        <v>43563</v>
      </c>
      <c r="C344" s="206">
        <v>288.790009</v>
      </c>
      <c r="D344" s="207">
        <f t="shared" si="10"/>
        <v>7.6238692401608965E-4</v>
      </c>
      <c r="E344" s="206">
        <v>90.110000999999997</v>
      </c>
      <c r="F344" s="10">
        <f t="shared" si="11"/>
        <v>-4.6393240322470941E-3</v>
      </c>
    </row>
    <row r="345" spans="2:6" x14ac:dyDescent="0.25">
      <c r="B345" s="210">
        <v>43564</v>
      </c>
      <c r="C345" s="206">
        <v>287.30999800000001</v>
      </c>
      <c r="D345" s="207">
        <f t="shared" si="10"/>
        <v>-5.1248691224632381E-3</v>
      </c>
      <c r="E345" s="206">
        <v>90.25</v>
      </c>
      <c r="F345" s="10">
        <f t="shared" si="11"/>
        <v>1.5536455270930283E-3</v>
      </c>
    </row>
    <row r="346" spans="2:6" x14ac:dyDescent="0.25">
      <c r="B346" s="210">
        <v>43565</v>
      </c>
      <c r="C346" s="206">
        <v>288.290009</v>
      </c>
      <c r="D346" s="207">
        <f t="shared" si="10"/>
        <v>3.4109881550310472E-3</v>
      </c>
      <c r="E346" s="206">
        <v>89.940002000000007</v>
      </c>
      <c r="F346" s="10">
        <f t="shared" si="11"/>
        <v>-3.4348808864265168E-3</v>
      </c>
    </row>
    <row r="347" spans="2:6" x14ac:dyDescent="0.25">
      <c r="B347" s="210">
        <v>43566</v>
      </c>
      <c r="C347" s="206">
        <v>288.209991</v>
      </c>
      <c r="D347" s="207">
        <f t="shared" si="10"/>
        <v>-2.7756078081775382E-4</v>
      </c>
      <c r="E347" s="206">
        <v>90.260002</v>
      </c>
      <c r="F347" s="10">
        <f t="shared" si="11"/>
        <v>3.557927428109231E-3</v>
      </c>
    </row>
    <row r="348" spans="2:6" x14ac:dyDescent="0.25">
      <c r="B348" s="210">
        <v>43567</v>
      </c>
      <c r="C348" s="206">
        <v>290.16000400000001</v>
      </c>
      <c r="D348" s="207">
        <f t="shared" si="10"/>
        <v>6.7659451819628291E-3</v>
      </c>
      <c r="E348" s="206">
        <v>90.449996999999996</v>
      </c>
      <c r="F348" s="10">
        <f t="shared" si="11"/>
        <v>2.1049744714163321E-3</v>
      </c>
    </row>
    <row r="349" spans="2:6" x14ac:dyDescent="0.25">
      <c r="B349" s="210">
        <v>43570</v>
      </c>
      <c r="C349" s="206">
        <v>289.97000100000002</v>
      </c>
      <c r="D349" s="207">
        <f t="shared" si="10"/>
        <v>-6.5482146877826608E-4</v>
      </c>
      <c r="E349" s="206">
        <v>90.440002000000007</v>
      </c>
      <c r="F349" s="10">
        <f t="shared" si="11"/>
        <v>-1.1050304401882816E-4</v>
      </c>
    </row>
    <row r="350" spans="2:6" x14ac:dyDescent="0.25">
      <c r="B350" s="210">
        <v>43571</v>
      </c>
      <c r="C350" s="206">
        <v>290.16000400000001</v>
      </c>
      <c r="D350" s="207">
        <f t="shared" si="10"/>
        <v>6.5525054089987655E-4</v>
      </c>
      <c r="E350" s="206">
        <v>89.089995999999999</v>
      </c>
      <c r="F350" s="10">
        <f t="shared" si="11"/>
        <v>-1.4927089453182552E-2</v>
      </c>
    </row>
    <row r="351" spans="2:6" x14ac:dyDescent="0.25">
      <c r="B351" s="210">
        <v>43572</v>
      </c>
      <c r="C351" s="206">
        <v>289.45001200000002</v>
      </c>
      <c r="D351" s="207">
        <f t="shared" si="10"/>
        <v>-2.4468982292955577E-3</v>
      </c>
      <c r="E351" s="206">
        <v>89.059997999999993</v>
      </c>
      <c r="F351" s="10">
        <f t="shared" si="11"/>
        <v>-3.3671569589033279E-4</v>
      </c>
    </row>
    <row r="352" spans="2:6" x14ac:dyDescent="0.25">
      <c r="B352" s="210">
        <v>43573</v>
      </c>
      <c r="C352" s="206">
        <v>290.01998900000001</v>
      </c>
      <c r="D352" s="207">
        <f t="shared" si="10"/>
        <v>1.9691724870267713E-3</v>
      </c>
      <c r="E352" s="206">
        <v>89.139999000000003</v>
      </c>
      <c r="F352" s="10">
        <f t="shared" si="11"/>
        <v>8.9828207721276421E-4</v>
      </c>
    </row>
    <row r="353" spans="2:6" x14ac:dyDescent="0.25">
      <c r="B353" s="210">
        <v>43577</v>
      </c>
      <c r="C353" s="206">
        <v>290.26998900000001</v>
      </c>
      <c r="D353" s="207">
        <f t="shared" si="10"/>
        <v>8.6200954927972973E-4</v>
      </c>
      <c r="E353" s="206">
        <v>88.730002999999996</v>
      </c>
      <c r="F353" s="10">
        <f t="shared" si="11"/>
        <v>-4.5994615728008892E-3</v>
      </c>
    </row>
    <row r="354" spans="2:6" x14ac:dyDescent="0.25">
      <c r="B354" s="210">
        <v>43578</v>
      </c>
      <c r="C354" s="206">
        <v>292.88000499999998</v>
      </c>
      <c r="D354" s="207">
        <f t="shared" si="10"/>
        <v>8.9916839456660735E-3</v>
      </c>
      <c r="E354" s="206">
        <v>89.010002</v>
      </c>
      <c r="F354" s="10">
        <f t="shared" si="11"/>
        <v>3.1556293309265016E-3</v>
      </c>
    </row>
    <row r="355" spans="2:6" x14ac:dyDescent="0.25">
      <c r="B355" s="210">
        <v>43579</v>
      </c>
      <c r="C355" s="206">
        <v>292.23001099999999</v>
      </c>
      <c r="D355" s="207">
        <f t="shared" si="10"/>
        <v>-2.2193184543273237E-3</v>
      </c>
      <c r="E355" s="206">
        <v>89.68</v>
      </c>
      <c r="F355" s="10">
        <f t="shared" si="11"/>
        <v>7.5272214913555402E-3</v>
      </c>
    </row>
    <row r="356" spans="2:6" x14ac:dyDescent="0.25">
      <c r="B356" s="210">
        <v>43580</v>
      </c>
      <c r="C356" s="206">
        <v>292.04998799999998</v>
      </c>
      <c r="D356" s="207">
        <f t="shared" si="10"/>
        <v>-6.1603186949887867E-4</v>
      </c>
      <c r="E356" s="206">
        <v>90.449996999999996</v>
      </c>
      <c r="F356" s="10">
        <f t="shared" si="11"/>
        <v>8.5860504014272365E-3</v>
      </c>
    </row>
    <row r="357" spans="2:6" x14ac:dyDescent="0.25">
      <c r="B357" s="210">
        <v>43581</v>
      </c>
      <c r="C357" s="206">
        <v>293.41000400000001</v>
      </c>
      <c r="D357" s="207">
        <f t="shared" si="10"/>
        <v>4.6567918366084982E-3</v>
      </c>
      <c r="E357" s="206">
        <v>90.32</v>
      </c>
      <c r="F357" s="10">
        <f t="shared" si="11"/>
        <v>-1.4372250338493542E-3</v>
      </c>
    </row>
    <row r="358" spans="2:6" x14ac:dyDescent="0.25">
      <c r="B358" s="210">
        <v>43584</v>
      </c>
      <c r="C358" s="206">
        <v>293.86999500000002</v>
      </c>
      <c r="D358" s="207">
        <f t="shared" si="10"/>
        <v>1.5677413644015203E-3</v>
      </c>
      <c r="E358" s="206">
        <v>89.580001999999993</v>
      </c>
      <c r="F358" s="10">
        <f t="shared" si="11"/>
        <v>-8.1930690876882428E-3</v>
      </c>
    </row>
    <row r="359" spans="2:6" x14ac:dyDescent="0.25">
      <c r="B359" s="210">
        <v>43585</v>
      </c>
      <c r="C359" s="206">
        <v>294.01998900000001</v>
      </c>
      <c r="D359" s="207">
        <f t="shared" si="10"/>
        <v>5.1040937336921388E-4</v>
      </c>
      <c r="E359" s="206">
        <v>91.120002999999997</v>
      </c>
      <c r="F359" s="10">
        <f t="shared" si="11"/>
        <v>1.7191348131472495E-2</v>
      </c>
    </row>
    <row r="360" spans="2:6" x14ac:dyDescent="0.25">
      <c r="B360" s="210">
        <v>43586</v>
      </c>
      <c r="C360" s="206">
        <v>291.80999800000001</v>
      </c>
      <c r="D360" s="207">
        <f t="shared" si="10"/>
        <v>-7.5164651475447819E-3</v>
      </c>
      <c r="E360" s="206">
        <v>90.410004000000001</v>
      </c>
      <c r="F360" s="10">
        <f t="shared" si="11"/>
        <v>-7.7919115081679369E-3</v>
      </c>
    </row>
    <row r="361" spans="2:6" x14ac:dyDescent="0.25">
      <c r="B361" s="210">
        <v>43587</v>
      </c>
      <c r="C361" s="206">
        <v>291.17999300000002</v>
      </c>
      <c r="D361" s="207">
        <f t="shared" si="10"/>
        <v>-2.1589561849075789E-3</v>
      </c>
      <c r="E361" s="206">
        <v>89.809997999999993</v>
      </c>
      <c r="F361" s="10">
        <f t="shared" si="11"/>
        <v>-6.6365000935074692E-3</v>
      </c>
    </row>
    <row r="362" spans="2:6" x14ac:dyDescent="0.25">
      <c r="B362" s="210">
        <v>43588</v>
      </c>
      <c r="C362" s="206">
        <v>294.02999899999998</v>
      </c>
      <c r="D362" s="207">
        <f t="shared" si="10"/>
        <v>9.7877809894719725E-3</v>
      </c>
      <c r="E362" s="206">
        <v>90.160004000000001</v>
      </c>
      <c r="F362" s="10">
        <f t="shared" si="11"/>
        <v>3.8971830285532416E-3</v>
      </c>
    </row>
    <row r="363" spans="2:6" x14ac:dyDescent="0.25">
      <c r="B363" s="210">
        <v>43591</v>
      </c>
      <c r="C363" s="206">
        <v>292.82000699999998</v>
      </c>
      <c r="D363" s="207">
        <f t="shared" si="10"/>
        <v>-4.1151991433363566E-3</v>
      </c>
      <c r="E363" s="206">
        <v>89.480002999999996</v>
      </c>
      <c r="F363" s="10">
        <f t="shared" si="11"/>
        <v>-7.5421580504810848E-3</v>
      </c>
    </row>
    <row r="364" spans="2:6" x14ac:dyDescent="0.25">
      <c r="B364" s="210">
        <v>43592</v>
      </c>
      <c r="C364" s="206">
        <v>287.92999300000002</v>
      </c>
      <c r="D364" s="207">
        <f t="shared" si="10"/>
        <v>-1.6699726395402847E-2</v>
      </c>
      <c r="E364" s="206">
        <v>89.260002</v>
      </c>
      <c r="F364" s="10">
        <f t="shared" si="11"/>
        <v>-2.4586610708986489E-3</v>
      </c>
    </row>
    <row r="365" spans="2:6" x14ac:dyDescent="0.25">
      <c r="B365" s="210">
        <v>43593</v>
      </c>
      <c r="C365" s="206">
        <v>287.52999899999998</v>
      </c>
      <c r="D365" s="207">
        <f t="shared" si="10"/>
        <v>-1.3892057434948812E-3</v>
      </c>
      <c r="E365" s="206">
        <v>87.800003000000004</v>
      </c>
      <c r="F365" s="10">
        <f t="shared" si="11"/>
        <v>-1.635669916296878E-2</v>
      </c>
    </row>
    <row r="366" spans="2:6" x14ac:dyDescent="0.25">
      <c r="B366" s="210">
        <v>43594</v>
      </c>
      <c r="C366" s="206">
        <v>286.66000400000001</v>
      </c>
      <c r="D366" s="207">
        <f t="shared" si="10"/>
        <v>-3.0257538449056653E-3</v>
      </c>
      <c r="E366" s="206">
        <v>86.830001999999993</v>
      </c>
      <c r="F366" s="10">
        <f t="shared" si="11"/>
        <v>-1.1047847002921052E-2</v>
      </c>
    </row>
    <row r="367" spans="2:6" x14ac:dyDescent="0.25">
      <c r="B367" s="210">
        <v>43595</v>
      </c>
      <c r="C367" s="206">
        <v>288.10000600000001</v>
      </c>
      <c r="D367" s="207">
        <f t="shared" si="10"/>
        <v>5.0233795433840545E-3</v>
      </c>
      <c r="E367" s="206">
        <v>87.989998</v>
      </c>
      <c r="F367" s="10">
        <f t="shared" si="11"/>
        <v>1.3359391607522975E-2</v>
      </c>
    </row>
    <row r="368" spans="2:6" x14ac:dyDescent="0.25">
      <c r="B368" s="210">
        <v>43598</v>
      </c>
      <c r="C368" s="206">
        <v>280.85998499999999</v>
      </c>
      <c r="D368" s="207">
        <f t="shared" si="10"/>
        <v>-2.5130235505791743E-2</v>
      </c>
      <c r="E368" s="206">
        <v>88.050003000000004</v>
      </c>
      <c r="F368" s="10">
        <f t="shared" si="11"/>
        <v>6.8195251010227942E-4</v>
      </c>
    </row>
    <row r="369" spans="2:6" x14ac:dyDescent="0.25">
      <c r="B369" s="210">
        <v>43599</v>
      </c>
      <c r="C369" s="206">
        <v>283.39999399999999</v>
      </c>
      <c r="D369" s="207">
        <f t="shared" si="10"/>
        <v>9.0436841688217307E-3</v>
      </c>
      <c r="E369" s="206">
        <v>87.010002</v>
      </c>
      <c r="F369" s="10">
        <f t="shared" si="11"/>
        <v>-1.1811481710000682E-2</v>
      </c>
    </row>
    <row r="370" spans="2:6" x14ac:dyDescent="0.25">
      <c r="B370" s="210">
        <v>43600</v>
      </c>
      <c r="C370" s="206">
        <v>285.05999800000001</v>
      </c>
      <c r="D370" s="207">
        <f t="shared" si="10"/>
        <v>5.8574595453237954E-3</v>
      </c>
      <c r="E370" s="206">
        <v>86.790001000000004</v>
      </c>
      <c r="F370" s="10">
        <f t="shared" si="11"/>
        <v>-2.528456441134197E-3</v>
      </c>
    </row>
    <row r="371" spans="2:6" x14ac:dyDescent="0.25">
      <c r="B371" s="210">
        <v>43601</v>
      </c>
      <c r="C371" s="206">
        <v>287.70001200000002</v>
      </c>
      <c r="D371" s="207">
        <f t="shared" si="10"/>
        <v>9.2612573441468449E-3</v>
      </c>
      <c r="E371" s="206">
        <v>86.239998</v>
      </c>
      <c r="F371" s="10">
        <f t="shared" si="11"/>
        <v>-6.3371701078791531E-3</v>
      </c>
    </row>
    <row r="372" spans="2:6" x14ac:dyDescent="0.25">
      <c r="B372" s="210">
        <v>43602</v>
      </c>
      <c r="C372" s="206">
        <v>285.83999599999999</v>
      </c>
      <c r="D372" s="207">
        <f t="shared" si="10"/>
        <v>-6.4651231227617068E-3</v>
      </c>
      <c r="E372" s="206">
        <v>87.199996999999996</v>
      </c>
      <c r="F372" s="10">
        <f t="shared" si="11"/>
        <v>1.1131714080049093E-2</v>
      </c>
    </row>
    <row r="373" spans="2:6" x14ac:dyDescent="0.25">
      <c r="B373" s="210">
        <v>43605</v>
      </c>
      <c r="C373" s="206">
        <v>283.95001200000002</v>
      </c>
      <c r="D373" s="207">
        <f t="shared" si="10"/>
        <v>-6.6120347972575821E-3</v>
      </c>
      <c r="E373" s="206">
        <v>86.959998999999996</v>
      </c>
      <c r="F373" s="10">
        <f t="shared" si="11"/>
        <v>-2.7522707368899946E-3</v>
      </c>
    </row>
    <row r="374" spans="2:6" x14ac:dyDescent="0.25">
      <c r="B374" s="210">
        <v>43606</v>
      </c>
      <c r="C374" s="206">
        <v>286.51001000000002</v>
      </c>
      <c r="D374" s="207">
        <f t="shared" si="10"/>
        <v>9.0156643486953847E-3</v>
      </c>
      <c r="E374" s="206">
        <v>87.080001999999993</v>
      </c>
      <c r="F374" s="10">
        <f t="shared" si="11"/>
        <v>1.3799793166970886E-3</v>
      </c>
    </row>
    <row r="375" spans="2:6" x14ac:dyDescent="0.25">
      <c r="B375" s="210">
        <v>43607</v>
      </c>
      <c r="C375" s="206">
        <v>285.63000499999998</v>
      </c>
      <c r="D375" s="207">
        <f t="shared" si="10"/>
        <v>-3.0714633670217983E-3</v>
      </c>
      <c r="E375" s="206">
        <v>87.809997999999993</v>
      </c>
      <c r="F375" s="10">
        <f t="shared" si="11"/>
        <v>8.3830498763655115E-3</v>
      </c>
    </row>
    <row r="376" spans="2:6" x14ac:dyDescent="0.25">
      <c r="B376" s="210">
        <v>43608</v>
      </c>
      <c r="C376" s="206">
        <v>282.14001500000001</v>
      </c>
      <c r="D376" s="207">
        <f t="shared" si="10"/>
        <v>-1.2218569264107915E-2</v>
      </c>
      <c r="E376" s="206">
        <v>88.900002000000001</v>
      </c>
      <c r="F376" s="10">
        <f t="shared" si="11"/>
        <v>1.2413210623236859E-2</v>
      </c>
    </row>
    <row r="377" spans="2:6" x14ac:dyDescent="0.25">
      <c r="B377" s="210">
        <v>43609</v>
      </c>
      <c r="C377" s="206">
        <v>282.77999899999998</v>
      </c>
      <c r="D377" s="207">
        <f t="shared" si="10"/>
        <v>2.2683205712594745E-3</v>
      </c>
      <c r="E377" s="206">
        <v>88.809997999999993</v>
      </c>
      <c r="F377" s="10">
        <f t="shared" si="11"/>
        <v>-1.012418424917505E-3</v>
      </c>
    </row>
    <row r="378" spans="2:6" x14ac:dyDescent="0.25">
      <c r="B378" s="210">
        <v>43613</v>
      </c>
      <c r="C378" s="206">
        <v>280.14999399999999</v>
      </c>
      <c r="D378" s="207">
        <f t="shared" si="10"/>
        <v>-9.3005340169054485E-3</v>
      </c>
      <c r="E378" s="206">
        <v>87.120002999999997</v>
      </c>
      <c r="F378" s="10">
        <f t="shared" si="11"/>
        <v>-1.9029332710940872E-2</v>
      </c>
    </row>
    <row r="379" spans="2:6" x14ac:dyDescent="0.25">
      <c r="B379" s="210">
        <v>43614</v>
      </c>
      <c r="C379" s="206">
        <v>278.26998900000001</v>
      </c>
      <c r="D379" s="207">
        <f t="shared" si="10"/>
        <v>-6.7107086927155057E-3</v>
      </c>
      <c r="E379" s="206">
        <v>85.809997999999993</v>
      </c>
      <c r="F379" s="10">
        <f t="shared" si="11"/>
        <v>-1.5036787820129072E-2</v>
      </c>
    </row>
    <row r="380" spans="2:6" x14ac:dyDescent="0.25">
      <c r="B380" s="210">
        <v>43615</v>
      </c>
      <c r="C380" s="206">
        <v>279.02999899999998</v>
      </c>
      <c r="D380" s="207">
        <f t="shared" si="10"/>
        <v>2.7311964280847256E-3</v>
      </c>
      <c r="E380" s="206">
        <v>85.529999000000004</v>
      </c>
      <c r="F380" s="10">
        <f t="shared" si="11"/>
        <v>-3.2630113800956595E-3</v>
      </c>
    </row>
    <row r="381" spans="2:6" x14ac:dyDescent="0.25">
      <c r="B381" s="210">
        <v>43616</v>
      </c>
      <c r="C381" s="206">
        <v>275.26998900000001</v>
      </c>
      <c r="D381" s="207">
        <f t="shared" si="10"/>
        <v>-1.347528944369869E-2</v>
      </c>
      <c r="E381" s="206">
        <v>85.610000999999997</v>
      </c>
      <c r="F381" s="10">
        <f t="shared" si="11"/>
        <v>9.3536771817337439E-4</v>
      </c>
    </row>
    <row r="382" spans="2:6" x14ac:dyDescent="0.25">
      <c r="B382" s="210">
        <v>43619</v>
      </c>
      <c r="C382" s="206">
        <v>274.57000699999998</v>
      </c>
      <c r="D382" s="207">
        <f t="shared" si="10"/>
        <v>-2.5428925345001296E-3</v>
      </c>
      <c r="E382" s="206">
        <v>86.019997000000004</v>
      </c>
      <c r="F382" s="10">
        <f t="shared" si="11"/>
        <v>4.7891133653883422E-3</v>
      </c>
    </row>
    <row r="383" spans="2:6" x14ac:dyDescent="0.25">
      <c r="B383" s="210">
        <v>43620</v>
      </c>
      <c r="C383" s="206">
        <v>280.52999899999998</v>
      </c>
      <c r="D383" s="207">
        <f t="shared" si="10"/>
        <v>2.1706638919231969E-2</v>
      </c>
      <c r="E383" s="206">
        <v>85.900002000000001</v>
      </c>
      <c r="F383" s="10">
        <f t="shared" si="11"/>
        <v>-1.3949663355603548E-3</v>
      </c>
    </row>
    <row r="384" spans="2:6" x14ac:dyDescent="0.25">
      <c r="B384" s="210">
        <v>43621</v>
      </c>
      <c r="C384" s="206">
        <v>282.959991</v>
      </c>
      <c r="D384" s="207">
        <f t="shared" si="10"/>
        <v>8.6621466818599391E-3</v>
      </c>
      <c r="E384" s="206">
        <v>87.220000999999996</v>
      </c>
      <c r="F384" s="10">
        <f t="shared" si="11"/>
        <v>1.5366693472253834E-2</v>
      </c>
    </row>
    <row r="385" spans="2:6" x14ac:dyDescent="0.25">
      <c r="B385" s="210">
        <v>43622</v>
      </c>
      <c r="C385" s="206">
        <v>284.79998799999998</v>
      </c>
      <c r="D385" s="207">
        <f t="shared" si="10"/>
        <v>6.502675496621757E-3</v>
      </c>
      <c r="E385" s="206">
        <v>87.709998999999996</v>
      </c>
      <c r="F385" s="10">
        <f t="shared" si="11"/>
        <v>5.6179545331580538E-3</v>
      </c>
    </row>
    <row r="386" spans="2:6" x14ac:dyDescent="0.25">
      <c r="B386" s="210">
        <v>43623</v>
      </c>
      <c r="C386" s="206">
        <v>287.64999399999999</v>
      </c>
      <c r="D386" s="207">
        <f t="shared" si="10"/>
        <v>1.0007043960970963E-2</v>
      </c>
      <c r="E386" s="206">
        <v>87.040001000000004</v>
      </c>
      <c r="F386" s="10">
        <f t="shared" si="11"/>
        <v>-7.6387869985039547E-3</v>
      </c>
    </row>
    <row r="387" spans="2:6" x14ac:dyDescent="0.25">
      <c r="B387" s="210">
        <v>43626</v>
      </c>
      <c r="C387" s="206">
        <v>288.97000100000002</v>
      </c>
      <c r="D387" s="207">
        <f t="shared" si="10"/>
        <v>4.5889345646918933E-3</v>
      </c>
      <c r="E387" s="206">
        <v>86.290001000000004</v>
      </c>
      <c r="F387" s="10">
        <f t="shared" si="11"/>
        <v>-8.6167278421791504E-3</v>
      </c>
    </row>
    <row r="388" spans="2:6" x14ac:dyDescent="0.25">
      <c r="B388" s="210">
        <v>43627</v>
      </c>
      <c r="C388" s="206">
        <v>288.89999399999999</v>
      </c>
      <c r="D388" s="207">
        <f t="shared" si="10"/>
        <v>-2.4226390198900383E-4</v>
      </c>
      <c r="E388" s="206">
        <v>85.639999000000003</v>
      </c>
      <c r="F388" s="10">
        <f t="shared" si="11"/>
        <v>-7.5327615305045281E-3</v>
      </c>
    </row>
    <row r="389" spans="2:6" x14ac:dyDescent="0.25">
      <c r="B389" s="210">
        <v>43628</v>
      </c>
      <c r="C389" s="206">
        <v>288.39001500000001</v>
      </c>
      <c r="D389" s="207">
        <f t="shared" ref="D389:D452" si="12">C389/C388-1</f>
        <v>-1.7652440657370816E-3</v>
      </c>
      <c r="E389" s="206">
        <v>86.650002000000001</v>
      </c>
      <c r="F389" s="10">
        <f t="shared" ref="F389:F452" si="13">E389/E388-1</f>
        <v>1.1793589581896136E-2</v>
      </c>
    </row>
    <row r="390" spans="2:6" x14ac:dyDescent="0.25">
      <c r="B390" s="210">
        <v>43629</v>
      </c>
      <c r="C390" s="206">
        <v>289.57998700000002</v>
      </c>
      <c r="D390" s="207">
        <f t="shared" si="12"/>
        <v>4.1262593644235679E-3</v>
      </c>
      <c r="E390" s="206">
        <v>86.769997000000004</v>
      </c>
      <c r="F390" s="10">
        <f t="shared" si="13"/>
        <v>1.3848239726526046E-3</v>
      </c>
    </row>
    <row r="391" spans="2:6" x14ac:dyDescent="0.25">
      <c r="B391" s="210">
        <v>43630</v>
      </c>
      <c r="C391" s="206">
        <v>289.26001000000002</v>
      </c>
      <c r="D391" s="207">
        <f t="shared" si="12"/>
        <v>-1.1049693154382423E-3</v>
      </c>
      <c r="E391" s="206">
        <v>87.870002999999997</v>
      </c>
      <c r="F391" s="10">
        <f t="shared" si="13"/>
        <v>1.2677262164708658E-2</v>
      </c>
    </row>
    <row r="392" spans="2:6" x14ac:dyDescent="0.25">
      <c r="B392" s="210">
        <v>43633</v>
      </c>
      <c r="C392" s="206">
        <v>289.36999500000002</v>
      </c>
      <c r="D392" s="207">
        <f t="shared" si="12"/>
        <v>3.8022884670430024E-4</v>
      </c>
      <c r="E392" s="206">
        <v>87.949996999999996</v>
      </c>
      <c r="F392" s="10">
        <f t="shared" si="13"/>
        <v>9.1036755740181441E-4</v>
      </c>
    </row>
    <row r="393" spans="2:6" x14ac:dyDescent="0.25">
      <c r="B393" s="210">
        <v>43634</v>
      </c>
      <c r="C393" s="206">
        <v>292.39999399999999</v>
      </c>
      <c r="D393" s="207">
        <f t="shared" si="12"/>
        <v>1.0471019982565943E-2</v>
      </c>
      <c r="E393" s="206">
        <v>87.239998</v>
      </c>
      <c r="F393" s="10">
        <f t="shared" si="13"/>
        <v>-8.0727575238006555E-3</v>
      </c>
    </row>
    <row r="394" spans="2:6" x14ac:dyDescent="0.25">
      <c r="B394" s="210">
        <v>43635</v>
      </c>
      <c r="C394" s="206">
        <v>293.05999800000001</v>
      </c>
      <c r="D394" s="207">
        <f t="shared" si="12"/>
        <v>2.2571956687522654E-3</v>
      </c>
      <c r="E394" s="206">
        <v>87.650002000000001</v>
      </c>
      <c r="F394" s="10">
        <f t="shared" si="13"/>
        <v>4.6997250045788252E-3</v>
      </c>
    </row>
    <row r="395" spans="2:6" x14ac:dyDescent="0.25">
      <c r="B395" s="210">
        <v>43636</v>
      </c>
      <c r="C395" s="206">
        <v>295.85998499999999</v>
      </c>
      <c r="D395" s="207">
        <f t="shared" si="12"/>
        <v>9.554313175147211E-3</v>
      </c>
      <c r="E395" s="206">
        <v>88.580001999999993</v>
      </c>
      <c r="F395" s="10">
        <f t="shared" si="13"/>
        <v>1.061038195983155E-2</v>
      </c>
    </row>
    <row r="396" spans="2:6" x14ac:dyDescent="0.25">
      <c r="B396" s="210">
        <v>43637</v>
      </c>
      <c r="C396" s="206">
        <v>294</v>
      </c>
      <c r="D396" s="207">
        <f t="shared" si="12"/>
        <v>-6.2867068691293548E-3</v>
      </c>
      <c r="E396" s="206">
        <v>89.529999000000004</v>
      </c>
      <c r="F396" s="10">
        <f t="shared" si="13"/>
        <v>1.0724734460945351E-2</v>
      </c>
    </row>
    <row r="397" spans="2:6" x14ac:dyDescent="0.25">
      <c r="B397" s="210">
        <v>43640</v>
      </c>
      <c r="C397" s="206">
        <v>293.64001500000001</v>
      </c>
      <c r="D397" s="207">
        <f t="shared" si="12"/>
        <v>-1.2244387755101505E-3</v>
      </c>
      <c r="E397" s="206">
        <v>89.910004000000001</v>
      </c>
      <c r="F397" s="10">
        <f t="shared" si="13"/>
        <v>4.2444432508035312E-3</v>
      </c>
    </row>
    <row r="398" spans="2:6" x14ac:dyDescent="0.25">
      <c r="B398" s="210">
        <v>43641</v>
      </c>
      <c r="C398" s="206">
        <v>290.76001000000002</v>
      </c>
      <c r="D398" s="207">
        <f t="shared" si="12"/>
        <v>-9.8079446018281002E-3</v>
      </c>
      <c r="E398" s="206">
        <v>90.120002999999997</v>
      </c>
      <c r="F398" s="10">
        <f t="shared" si="13"/>
        <v>2.3356577761912689E-3</v>
      </c>
    </row>
    <row r="399" spans="2:6" x14ac:dyDescent="0.25">
      <c r="B399" s="210">
        <v>43642</v>
      </c>
      <c r="C399" s="206">
        <v>290.47000100000002</v>
      </c>
      <c r="D399" s="207">
        <f t="shared" si="12"/>
        <v>-9.9741707946698899E-4</v>
      </c>
      <c r="E399" s="206">
        <v>87.980002999999996</v>
      </c>
      <c r="F399" s="10">
        <f t="shared" si="13"/>
        <v>-2.3746115498908704E-2</v>
      </c>
    </row>
    <row r="400" spans="2:6" x14ac:dyDescent="0.25">
      <c r="B400" s="210">
        <v>43643</v>
      </c>
      <c r="C400" s="206">
        <v>291.5</v>
      </c>
      <c r="D400" s="207">
        <f t="shared" si="12"/>
        <v>3.5459737544463188E-3</v>
      </c>
      <c r="E400" s="206">
        <v>88.550003000000004</v>
      </c>
      <c r="F400" s="10">
        <f t="shared" si="13"/>
        <v>6.4787449484402515E-3</v>
      </c>
    </row>
    <row r="401" spans="2:6" x14ac:dyDescent="0.25">
      <c r="B401" s="210">
        <v>43644</v>
      </c>
      <c r="C401" s="206">
        <v>293</v>
      </c>
      <c r="D401" s="207">
        <f t="shared" si="12"/>
        <v>5.145797598627766E-3</v>
      </c>
      <c r="E401" s="206">
        <v>88.239998</v>
      </c>
      <c r="F401" s="10">
        <f t="shared" si="13"/>
        <v>-3.5009033257740185E-3</v>
      </c>
    </row>
    <row r="402" spans="2:6" x14ac:dyDescent="0.25">
      <c r="B402" s="210">
        <v>43647</v>
      </c>
      <c r="C402" s="206">
        <v>295.66000400000001</v>
      </c>
      <c r="D402" s="207">
        <f t="shared" si="12"/>
        <v>9.0785119453924423E-3</v>
      </c>
      <c r="E402" s="206">
        <v>88.010002</v>
      </c>
      <c r="F402" s="10">
        <f t="shared" si="13"/>
        <v>-2.6064823800200365E-3</v>
      </c>
    </row>
    <row r="403" spans="2:6" x14ac:dyDescent="0.25">
      <c r="B403" s="210">
        <v>43648</v>
      </c>
      <c r="C403" s="206">
        <v>296.42999300000002</v>
      </c>
      <c r="D403" s="207">
        <f t="shared" si="12"/>
        <v>2.6043055860880404E-3</v>
      </c>
      <c r="E403" s="206">
        <v>89.139999000000003</v>
      </c>
      <c r="F403" s="10">
        <f t="shared" si="13"/>
        <v>1.2839415683685518E-2</v>
      </c>
    </row>
    <row r="404" spans="2:6" x14ac:dyDescent="0.25">
      <c r="B404" s="210">
        <v>43649</v>
      </c>
      <c r="C404" s="206">
        <v>298.79998799999998</v>
      </c>
      <c r="D404" s="207">
        <f t="shared" si="12"/>
        <v>7.9951255134966814E-3</v>
      </c>
      <c r="E404" s="206">
        <v>90.099997999999999</v>
      </c>
      <c r="F404" s="10">
        <f t="shared" si="13"/>
        <v>1.0769564850455104E-2</v>
      </c>
    </row>
    <row r="405" spans="2:6" x14ac:dyDescent="0.25">
      <c r="B405" s="210">
        <v>43651</v>
      </c>
      <c r="C405" s="206">
        <v>298.459991</v>
      </c>
      <c r="D405" s="207">
        <f t="shared" si="12"/>
        <v>-1.1378748783616999E-3</v>
      </c>
      <c r="E405" s="206">
        <v>89.68</v>
      </c>
      <c r="F405" s="10">
        <f t="shared" si="13"/>
        <v>-4.6614651423187992E-3</v>
      </c>
    </row>
    <row r="406" spans="2:6" x14ac:dyDescent="0.25">
      <c r="B406" s="210">
        <v>43654</v>
      </c>
      <c r="C406" s="206">
        <v>296.82000699999998</v>
      </c>
      <c r="D406" s="207">
        <f t="shared" si="12"/>
        <v>-5.4948202420873615E-3</v>
      </c>
      <c r="E406" s="206">
        <v>89.660004000000001</v>
      </c>
      <c r="F406" s="10">
        <f t="shared" si="13"/>
        <v>-2.2297056199827026E-4</v>
      </c>
    </row>
    <row r="407" spans="2:6" x14ac:dyDescent="0.25">
      <c r="B407" s="210">
        <v>43655</v>
      </c>
      <c r="C407" s="206">
        <v>297.19000199999999</v>
      </c>
      <c r="D407" s="207">
        <f t="shared" si="12"/>
        <v>1.2465298540338399E-3</v>
      </c>
      <c r="E407" s="206">
        <v>89.400002000000001</v>
      </c>
      <c r="F407" s="10">
        <f t="shared" si="13"/>
        <v>-2.8998660316812419E-3</v>
      </c>
    </row>
    <row r="408" spans="2:6" x14ac:dyDescent="0.25">
      <c r="B408" s="210">
        <v>43656</v>
      </c>
      <c r="C408" s="206">
        <v>298.60998499999999</v>
      </c>
      <c r="D408" s="207">
        <f t="shared" si="12"/>
        <v>4.7780308571754304E-3</v>
      </c>
      <c r="E408" s="206">
        <v>89.629997000000003</v>
      </c>
      <c r="F408" s="10">
        <f t="shared" si="13"/>
        <v>2.5726509491577065E-3</v>
      </c>
    </row>
    <row r="409" spans="2:6" x14ac:dyDescent="0.25">
      <c r="B409" s="210">
        <v>43657</v>
      </c>
      <c r="C409" s="206">
        <v>299.30999800000001</v>
      </c>
      <c r="D409" s="207">
        <f t="shared" si="12"/>
        <v>2.3442384219001244E-3</v>
      </c>
      <c r="E409" s="206">
        <v>89.449996999999996</v>
      </c>
      <c r="F409" s="10">
        <f t="shared" si="13"/>
        <v>-2.0082562314490682E-3</v>
      </c>
    </row>
    <row r="410" spans="2:6" x14ac:dyDescent="0.25">
      <c r="B410" s="210">
        <v>43658</v>
      </c>
      <c r="C410" s="206">
        <v>300.64999399999999</v>
      </c>
      <c r="D410" s="207">
        <f t="shared" si="12"/>
        <v>4.4769503489823226E-3</v>
      </c>
      <c r="E410" s="206">
        <v>88.699996999999996</v>
      </c>
      <c r="F410" s="10">
        <f t="shared" si="13"/>
        <v>-8.3845726680125132E-3</v>
      </c>
    </row>
    <row r="411" spans="2:6" x14ac:dyDescent="0.25">
      <c r="B411" s="210">
        <v>43661</v>
      </c>
      <c r="C411" s="206">
        <v>300.75</v>
      </c>
      <c r="D411" s="207">
        <f t="shared" si="12"/>
        <v>3.3263263594141002E-4</v>
      </c>
      <c r="E411" s="206">
        <v>89.379997000000003</v>
      </c>
      <c r="F411" s="10">
        <f t="shared" si="13"/>
        <v>7.6662911273830403E-3</v>
      </c>
    </row>
    <row r="412" spans="2:6" x14ac:dyDescent="0.25">
      <c r="B412" s="210">
        <v>43662</v>
      </c>
      <c r="C412" s="206">
        <v>299.77999899999998</v>
      </c>
      <c r="D412" s="207">
        <f t="shared" si="12"/>
        <v>-3.2252734829593122E-3</v>
      </c>
      <c r="E412" s="206">
        <v>89.029999000000004</v>
      </c>
      <c r="F412" s="10">
        <f t="shared" si="13"/>
        <v>-3.9158426017847914E-3</v>
      </c>
    </row>
    <row r="413" spans="2:6" x14ac:dyDescent="0.25">
      <c r="B413" s="210">
        <v>43663</v>
      </c>
      <c r="C413" s="206">
        <v>297.73998999999998</v>
      </c>
      <c r="D413" s="207">
        <f t="shared" si="12"/>
        <v>-6.805020370955428E-3</v>
      </c>
      <c r="E413" s="206">
        <v>89.139999000000003</v>
      </c>
      <c r="F413" s="10">
        <f t="shared" si="13"/>
        <v>1.2355385963780385E-3</v>
      </c>
    </row>
    <row r="414" spans="2:6" x14ac:dyDescent="0.25">
      <c r="B414" s="210">
        <v>43664</v>
      </c>
      <c r="C414" s="206">
        <v>298.82998700000002</v>
      </c>
      <c r="D414" s="207">
        <f t="shared" si="12"/>
        <v>3.6609022523310664E-3</v>
      </c>
      <c r="E414" s="206">
        <v>89.790001000000004</v>
      </c>
      <c r="F414" s="10">
        <f t="shared" si="13"/>
        <v>7.2919228998420405E-3</v>
      </c>
    </row>
    <row r="415" spans="2:6" x14ac:dyDescent="0.25">
      <c r="B415" s="210">
        <v>43665</v>
      </c>
      <c r="C415" s="206">
        <v>297.17001299999998</v>
      </c>
      <c r="D415" s="207">
        <f t="shared" si="12"/>
        <v>-5.5549110605156438E-3</v>
      </c>
      <c r="E415" s="206">
        <v>88.449996999999996</v>
      </c>
      <c r="F415" s="10">
        <f t="shared" si="13"/>
        <v>-1.4923755263127836E-2</v>
      </c>
    </row>
    <row r="416" spans="2:6" x14ac:dyDescent="0.25">
      <c r="B416" s="210">
        <v>43668</v>
      </c>
      <c r="C416" s="206">
        <v>297.89999399999999</v>
      </c>
      <c r="D416" s="207">
        <f t="shared" si="12"/>
        <v>2.4564423328945484E-3</v>
      </c>
      <c r="E416" s="206">
        <v>88.150002000000001</v>
      </c>
      <c r="F416" s="10">
        <f t="shared" si="13"/>
        <v>-3.3916903355010186E-3</v>
      </c>
    </row>
    <row r="417" spans="2:6" x14ac:dyDescent="0.25">
      <c r="B417" s="210">
        <v>43669</v>
      </c>
      <c r="C417" s="206">
        <v>300.02999899999998</v>
      </c>
      <c r="D417" s="207">
        <f t="shared" si="12"/>
        <v>7.1500672806323884E-3</v>
      </c>
      <c r="E417" s="206">
        <v>87.68</v>
      </c>
      <c r="F417" s="10">
        <f t="shared" si="13"/>
        <v>-5.331843327694874E-3</v>
      </c>
    </row>
    <row r="418" spans="2:6" x14ac:dyDescent="0.25">
      <c r="B418" s="210">
        <v>43670</v>
      </c>
      <c r="C418" s="206">
        <v>301.44000199999999</v>
      </c>
      <c r="D418" s="207">
        <f t="shared" si="12"/>
        <v>4.6995400616589578E-3</v>
      </c>
      <c r="E418" s="206">
        <v>87.18</v>
      </c>
      <c r="F418" s="10">
        <f t="shared" si="13"/>
        <v>-5.7025547445255231E-3</v>
      </c>
    </row>
    <row r="419" spans="2:6" x14ac:dyDescent="0.25">
      <c r="B419" s="210">
        <v>43671</v>
      </c>
      <c r="C419" s="206">
        <v>300</v>
      </c>
      <c r="D419" s="207">
        <f t="shared" si="12"/>
        <v>-4.7770766668187026E-3</v>
      </c>
      <c r="E419" s="206">
        <v>86.489998</v>
      </c>
      <c r="F419" s="10">
        <f t="shared" si="13"/>
        <v>-7.9146822665749905E-3</v>
      </c>
    </row>
    <row r="420" spans="2:6" x14ac:dyDescent="0.25">
      <c r="B420" s="210">
        <v>43672</v>
      </c>
      <c r="C420" s="206">
        <v>302.01001000000002</v>
      </c>
      <c r="D420" s="207">
        <f t="shared" si="12"/>
        <v>6.700033333333355E-3</v>
      </c>
      <c r="E420" s="206">
        <v>86.910004000000001</v>
      </c>
      <c r="F420" s="10">
        <f t="shared" si="13"/>
        <v>4.8561222073331134E-3</v>
      </c>
    </row>
    <row r="421" spans="2:6" x14ac:dyDescent="0.25">
      <c r="B421" s="210">
        <v>43675</v>
      </c>
      <c r="C421" s="206">
        <v>301.459991</v>
      </c>
      <c r="D421" s="207">
        <f t="shared" si="12"/>
        <v>-1.8211946021260417E-3</v>
      </c>
      <c r="E421" s="206">
        <v>87.790001000000004</v>
      </c>
      <c r="F421" s="10">
        <f t="shared" si="13"/>
        <v>1.0125382113663317E-2</v>
      </c>
    </row>
    <row r="422" spans="2:6" x14ac:dyDescent="0.25">
      <c r="B422" s="210">
        <v>43676</v>
      </c>
      <c r="C422" s="206">
        <v>300.72000100000002</v>
      </c>
      <c r="D422" s="207">
        <f t="shared" si="12"/>
        <v>-2.4546872622973614E-3</v>
      </c>
      <c r="E422" s="206">
        <v>87.739998</v>
      </c>
      <c r="F422" s="10">
        <f t="shared" si="13"/>
        <v>-5.695751159634499E-4</v>
      </c>
    </row>
    <row r="423" spans="2:6" x14ac:dyDescent="0.25">
      <c r="B423" s="210">
        <v>43677</v>
      </c>
      <c r="C423" s="206">
        <v>297.42999300000002</v>
      </c>
      <c r="D423" s="207">
        <f t="shared" si="12"/>
        <v>-1.0940436249865515E-2</v>
      </c>
      <c r="E423" s="206">
        <v>86.720000999999996</v>
      </c>
      <c r="F423" s="10">
        <f t="shared" si="13"/>
        <v>-1.1625222512542166E-2</v>
      </c>
    </row>
    <row r="424" spans="2:6" x14ac:dyDescent="0.25">
      <c r="B424" s="210">
        <v>43678</v>
      </c>
      <c r="C424" s="206">
        <v>294.83999599999999</v>
      </c>
      <c r="D424" s="207">
        <f t="shared" si="12"/>
        <v>-8.7079213964814661E-3</v>
      </c>
      <c r="E424" s="206">
        <v>87.5</v>
      </c>
      <c r="F424" s="10">
        <f t="shared" si="13"/>
        <v>8.9944533095658308E-3</v>
      </c>
    </row>
    <row r="425" spans="2:6" x14ac:dyDescent="0.25">
      <c r="B425" s="210">
        <v>43679</v>
      </c>
      <c r="C425" s="206">
        <v>292.61999500000002</v>
      </c>
      <c r="D425" s="207">
        <f t="shared" si="12"/>
        <v>-7.5295110233279949E-3</v>
      </c>
      <c r="E425" s="206">
        <v>88.120002999999997</v>
      </c>
      <c r="F425" s="10">
        <f t="shared" si="13"/>
        <v>7.0857485714286295E-3</v>
      </c>
    </row>
    <row r="426" spans="2:6" x14ac:dyDescent="0.25">
      <c r="B426" s="210">
        <v>43682</v>
      </c>
      <c r="C426" s="206">
        <v>283.82000699999998</v>
      </c>
      <c r="D426" s="207">
        <f t="shared" si="12"/>
        <v>-3.0073091895172932E-2</v>
      </c>
      <c r="E426" s="206">
        <v>86.959998999999996</v>
      </c>
      <c r="F426" s="10">
        <f t="shared" si="13"/>
        <v>-1.3163912397960331E-2</v>
      </c>
    </row>
    <row r="427" spans="2:6" x14ac:dyDescent="0.25">
      <c r="B427" s="210">
        <v>43683</v>
      </c>
      <c r="C427" s="206">
        <v>287.79998799999998</v>
      </c>
      <c r="D427" s="207">
        <f t="shared" si="12"/>
        <v>1.4022905016699561E-2</v>
      </c>
      <c r="E427" s="206">
        <v>88.919998000000007</v>
      </c>
      <c r="F427" s="10">
        <f t="shared" si="13"/>
        <v>2.2539087195711849E-2</v>
      </c>
    </row>
    <row r="428" spans="2:6" x14ac:dyDescent="0.25">
      <c r="B428" s="210">
        <v>43684</v>
      </c>
      <c r="C428" s="206">
        <v>287.97000100000002</v>
      </c>
      <c r="D428" s="207">
        <f t="shared" si="12"/>
        <v>5.9073317265068148E-4</v>
      </c>
      <c r="E428" s="206">
        <v>88.839995999999999</v>
      </c>
      <c r="F428" s="10">
        <f t="shared" si="13"/>
        <v>-8.9970762257562953E-4</v>
      </c>
    </row>
    <row r="429" spans="2:6" x14ac:dyDescent="0.25">
      <c r="B429" s="210">
        <v>43685</v>
      </c>
      <c r="C429" s="206">
        <v>293.61999500000002</v>
      </c>
      <c r="D429" s="207">
        <f t="shared" si="12"/>
        <v>1.9620078412264874E-2</v>
      </c>
      <c r="E429" s="206">
        <v>89.309997999999993</v>
      </c>
      <c r="F429" s="10">
        <f t="shared" si="13"/>
        <v>5.2904324759310839E-3</v>
      </c>
    </row>
    <row r="430" spans="2:6" x14ac:dyDescent="0.25">
      <c r="B430" s="210">
        <v>43686</v>
      </c>
      <c r="C430" s="206">
        <v>291.61999500000002</v>
      </c>
      <c r="D430" s="207">
        <f t="shared" si="12"/>
        <v>-6.811525216462222E-3</v>
      </c>
      <c r="E430" s="206">
        <v>89.75</v>
      </c>
      <c r="F430" s="10">
        <f t="shared" si="13"/>
        <v>4.9266824527305353E-3</v>
      </c>
    </row>
    <row r="431" spans="2:6" x14ac:dyDescent="0.25">
      <c r="B431" s="210">
        <v>43689</v>
      </c>
      <c r="C431" s="206">
        <v>288.07000699999998</v>
      </c>
      <c r="D431" s="207">
        <f t="shared" si="12"/>
        <v>-1.2173335370916694E-2</v>
      </c>
      <c r="E431" s="206">
        <v>89.5</v>
      </c>
      <c r="F431" s="10">
        <f t="shared" si="13"/>
        <v>-2.7855153203342198E-3</v>
      </c>
    </row>
    <row r="432" spans="2:6" x14ac:dyDescent="0.25">
      <c r="B432" s="210">
        <v>43690</v>
      </c>
      <c r="C432" s="206">
        <v>292.54998799999998</v>
      </c>
      <c r="D432" s="207">
        <f t="shared" si="12"/>
        <v>1.5551709276002468E-2</v>
      </c>
      <c r="E432" s="206">
        <v>89.82</v>
      </c>
      <c r="F432" s="10">
        <f t="shared" si="13"/>
        <v>3.5754189944132708E-3</v>
      </c>
    </row>
    <row r="433" spans="2:6" x14ac:dyDescent="0.25">
      <c r="B433" s="210">
        <v>43691</v>
      </c>
      <c r="C433" s="206">
        <v>283.89999399999999</v>
      </c>
      <c r="D433" s="207">
        <f t="shared" si="12"/>
        <v>-2.9567575986364392E-2</v>
      </c>
      <c r="E433" s="206">
        <v>88.809997999999993</v>
      </c>
      <c r="F433" s="10">
        <f t="shared" si="13"/>
        <v>-1.1244733912268989E-2</v>
      </c>
    </row>
    <row r="434" spans="2:6" x14ac:dyDescent="0.25">
      <c r="B434" s="210">
        <v>43692</v>
      </c>
      <c r="C434" s="206">
        <v>284.64999399999999</v>
      </c>
      <c r="D434" s="207">
        <f t="shared" si="12"/>
        <v>2.6417753288152657E-3</v>
      </c>
      <c r="E434" s="206">
        <v>89.279999000000004</v>
      </c>
      <c r="F434" s="10">
        <f t="shared" si="13"/>
        <v>5.2922082038557861E-3</v>
      </c>
    </row>
    <row r="435" spans="2:6" x14ac:dyDescent="0.25">
      <c r="B435" s="210">
        <v>43693</v>
      </c>
      <c r="C435" s="206">
        <v>288.85000600000001</v>
      </c>
      <c r="D435" s="207">
        <f t="shared" si="12"/>
        <v>1.4755004702371455E-2</v>
      </c>
      <c r="E435" s="206">
        <v>89.769997000000004</v>
      </c>
      <c r="F435" s="10">
        <f t="shared" si="13"/>
        <v>5.48832891451978E-3</v>
      </c>
    </row>
    <row r="436" spans="2:6" x14ac:dyDescent="0.25">
      <c r="B436" s="210">
        <v>43696</v>
      </c>
      <c r="C436" s="206">
        <v>292.32998700000002</v>
      </c>
      <c r="D436" s="207">
        <f t="shared" si="12"/>
        <v>1.2047709633767445E-2</v>
      </c>
      <c r="E436" s="206">
        <v>90.669998000000007</v>
      </c>
      <c r="F436" s="10">
        <f t="shared" si="13"/>
        <v>1.0025632506147852E-2</v>
      </c>
    </row>
    <row r="437" spans="2:6" x14ac:dyDescent="0.25">
      <c r="B437" s="210">
        <v>43697</v>
      </c>
      <c r="C437" s="206">
        <v>290.08999599999999</v>
      </c>
      <c r="D437" s="207">
        <f t="shared" si="12"/>
        <v>-7.6625426730513313E-3</v>
      </c>
      <c r="E437" s="206">
        <v>91.18</v>
      </c>
      <c r="F437" s="10">
        <f t="shared" si="13"/>
        <v>5.6248153882170193E-3</v>
      </c>
    </row>
    <row r="438" spans="2:6" x14ac:dyDescent="0.25">
      <c r="B438" s="210">
        <v>43698</v>
      </c>
      <c r="C438" s="206">
        <v>292.45001200000002</v>
      </c>
      <c r="D438" s="207">
        <f t="shared" si="12"/>
        <v>8.135461520706988E-3</v>
      </c>
      <c r="E438" s="206">
        <v>91.239998</v>
      </c>
      <c r="F438" s="10">
        <f t="shared" si="13"/>
        <v>6.5801710901514099E-4</v>
      </c>
    </row>
    <row r="439" spans="2:6" x14ac:dyDescent="0.25">
      <c r="B439" s="210">
        <v>43699</v>
      </c>
      <c r="C439" s="206">
        <v>292.35998499999999</v>
      </c>
      <c r="D439" s="207">
        <f t="shared" si="12"/>
        <v>-3.0783722450322681E-4</v>
      </c>
      <c r="E439" s="206">
        <v>91.32</v>
      </c>
      <c r="F439" s="10">
        <f t="shared" si="13"/>
        <v>8.7683035679142485E-4</v>
      </c>
    </row>
    <row r="440" spans="2:6" x14ac:dyDescent="0.25">
      <c r="B440" s="210">
        <v>43700</v>
      </c>
      <c r="C440" s="206">
        <v>284.85000600000001</v>
      </c>
      <c r="D440" s="207">
        <f t="shared" si="12"/>
        <v>-2.5687438039785015E-2</v>
      </c>
      <c r="E440" s="206">
        <v>90.739998</v>
      </c>
      <c r="F440" s="10">
        <f t="shared" si="13"/>
        <v>-6.3513140604467555E-3</v>
      </c>
    </row>
    <row r="441" spans="2:6" x14ac:dyDescent="0.25">
      <c r="B441" s="210">
        <v>43703</v>
      </c>
      <c r="C441" s="206">
        <v>288</v>
      </c>
      <c r="D441" s="207">
        <f t="shared" si="12"/>
        <v>1.1058430520096252E-2</v>
      </c>
      <c r="E441" s="206">
        <v>91.349997999999999</v>
      </c>
      <c r="F441" s="10">
        <f t="shared" si="13"/>
        <v>6.7225040053451313E-3</v>
      </c>
    </row>
    <row r="442" spans="2:6" x14ac:dyDescent="0.25">
      <c r="B442" s="210">
        <v>43704</v>
      </c>
      <c r="C442" s="206">
        <v>286.86999500000002</v>
      </c>
      <c r="D442" s="207">
        <f t="shared" si="12"/>
        <v>-3.9236284722221626E-3</v>
      </c>
      <c r="E442" s="206">
        <v>92.150002000000001</v>
      </c>
      <c r="F442" s="10">
        <f t="shared" si="13"/>
        <v>8.7575699782720395E-3</v>
      </c>
    </row>
    <row r="443" spans="2:6" x14ac:dyDescent="0.25">
      <c r="B443" s="210">
        <v>43705</v>
      </c>
      <c r="C443" s="206">
        <v>288.89001500000001</v>
      </c>
      <c r="D443" s="207">
        <f t="shared" si="12"/>
        <v>7.0415869042002033E-3</v>
      </c>
      <c r="E443" s="206">
        <v>92.300003000000004</v>
      </c>
      <c r="F443" s="10">
        <f t="shared" si="13"/>
        <v>1.6277916087295008E-3</v>
      </c>
    </row>
    <row r="444" spans="2:6" x14ac:dyDescent="0.25">
      <c r="B444" s="210">
        <v>43706</v>
      </c>
      <c r="C444" s="206">
        <v>292.57998700000002</v>
      </c>
      <c r="D444" s="207">
        <f t="shared" si="12"/>
        <v>1.2772930210135591E-2</v>
      </c>
      <c r="E444" s="206">
        <v>92.760002</v>
      </c>
      <c r="F444" s="10">
        <f t="shared" si="13"/>
        <v>4.9837376494992203E-3</v>
      </c>
    </row>
    <row r="445" spans="2:6" x14ac:dyDescent="0.25">
      <c r="B445" s="210">
        <v>43707</v>
      </c>
      <c r="C445" s="206">
        <v>292.45001200000002</v>
      </c>
      <c r="D445" s="207">
        <f t="shared" si="12"/>
        <v>-4.442374932500659E-4</v>
      </c>
      <c r="E445" s="206">
        <v>92.739998</v>
      </c>
      <c r="F445" s="10">
        <f t="shared" si="13"/>
        <v>-2.1565329418604673E-4</v>
      </c>
    </row>
    <row r="446" spans="2:6" x14ac:dyDescent="0.25">
      <c r="B446" s="210">
        <v>43711</v>
      </c>
      <c r="C446" s="206">
        <v>290.73998999999998</v>
      </c>
      <c r="D446" s="207">
        <f t="shared" si="12"/>
        <v>-5.8472283461559194E-3</v>
      </c>
      <c r="E446" s="206">
        <v>93.669998000000007</v>
      </c>
      <c r="F446" s="10">
        <f t="shared" si="13"/>
        <v>1.002803558395593E-2</v>
      </c>
    </row>
    <row r="447" spans="2:6" x14ac:dyDescent="0.25">
      <c r="B447" s="210">
        <v>43712</v>
      </c>
      <c r="C447" s="206">
        <v>294.040009</v>
      </c>
      <c r="D447" s="207">
        <f t="shared" si="12"/>
        <v>1.1350413130302606E-2</v>
      </c>
      <c r="E447" s="206">
        <v>93.970000999999996</v>
      </c>
      <c r="F447" s="10">
        <f t="shared" si="13"/>
        <v>3.2027650945396502E-3</v>
      </c>
    </row>
    <row r="448" spans="2:6" x14ac:dyDescent="0.25">
      <c r="B448" s="210">
        <v>43713</v>
      </c>
      <c r="C448" s="206">
        <v>297.82000699999998</v>
      </c>
      <c r="D448" s="207">
        <f t="shared" si="12"/>
        <v>1.285538662869512E-2</v>
      </c>
      <c r="E448" s="206">
        <v>93.410004000000001</v>
      </c>
      <c r="F448" s="10">
        <f t="shared" si="13"/>
        <v>-5.9593167398177549E-3</v>
      </c>
    </row>
    <row r="449" spans="2:6" x14ac:dyDescent="0.25">
      <c r="B449" s="210">
        <v>43714</v>
      </c>
      <c r="C449" s="206">
        <v>298.04998799999998</v>
      </c>
      <c r="D449" s="207">
        <f t="shared" si="12"/>
        <v>7.7221474244337784E-4</v>
      </c>
      <c r="E449" s="206">
        <v>93.760002</v>
      </c>
      <c r="F449" s="10">
        <f t="shared" si="13"/>
        <v>3.7469005996402238E-3</v>
      </c>
    </row>
    <row r="450" spans="2:6" x14ac:dyDescent="0.25">
      <c r="B450" s="210">
        <v>43717</v>
      </c>
      <c r="C450" s="206">
        <v>298.20001200000002</v>
      </c>
      <c r="D450" s="207">
        <f t="shared" si="12"/>
        <v>5.0335180687888226E-4</v>
      </c>
      <c r="E450" s="206">
        <v>93.720000999999996</v>
      </c>
      <c r="F450" s="10">
        <f t="shared" si="13"/>
        <v>-4.266318168381078E-4</v>
      </c>
    </row>
    <row r="451" spans="2:6" x14ac:dyDescent="0.25">
      <c r="B451" s="210">
        <v>43718</v>
      </c>
      <c r="C451" s="206">
        <v>298.13000499999998</v>
      </c>
      <c r="D451" s="207">
        <f t="shared" si="12"/>
        <v>-2.3476524876875349E-4</v>
      </c>
      <c r="E451" s="206">
        <v>93.940002000000007</v>
      </c>
      <c r="F451" s="10">
        <f t="shared" si="13"/>
        <v>2.3474284854094751E-3</v>
      </c>
    </row>
    <row r="452" spans="2:6" x14ac:dyDescent="0.25">
      <c r="B452" s="210">
        <v>43719</v>
      </c>
      <c r="C452" s="206">
        <v>300.25</v>
      </c>
      <c r="D452" s="207">
        <f t="shared" si="12"/>
        <v>7.1109749587265902E-3</v>
      </c>
      <c r="E452" s="206">
        <v>94.489998</v>
      </c>
      <c r="F452" s="10">
        <f t="shared" si="13"/>
        <v>5.8547582317487468E-3</v>
      </c>
    </row>
    <row r="453" spans="2:6" x14ac:dyDescent="0.25">
      <c r="B453" s="210">
        <v>43720</v>
      </c>
      <c r="C453" s="206">
        <v>301.290009</v>
      </c>
      <c r="D453" s="207">
        <f t="shared" ref="D453:D516" si="14">C453/C452-1</f>
        <v>3.463810158201408E-3</v>
      </c>
      <c r="E453" s="206">
        <v>94.959998999999996</v>
      </c>
      <c r="F453" s="10">
        <f t="shared" ref="F453:F516" si="15">E453/E452-1</f>
        <v>4.9740820187127444E-3</v>
      </c>
    </row>
    <row r="454" spans="2:6" x14ac:dyDescent="0.25">
      <c r="B454" s="210">
        <v>43721</v>
      </c>
      <c r="C454" s="206">
        <v>301.08999599999999</v>
      </c>
      <c r="D454" s="207">
        <f t="shared" si="14"/>
        <v>-6.63855401856428E-4</v>
      </c>
      <c r="E454" s="206">
        <v>93.900002000000001</v>
      </c>
      <c r="F454" s="10">
        <f t="shared" si="15"/>
        <v>-1.11625633020489E-2</v>
      </c>
    </row>
    <row r="455" spans="2:6" x14ac:dyDescent="0.25">
      <c r="B455" s="210">
        <v>43724</v>
      </c>
      <c r="C455" s="206">
        <v>300.16000400000001</v>
      </c>
      <c r="D455" s="207">
        <f t="shared" si="14"/>
        <v>-3.0887509128665336E-3</v>
      </c>
      <c r="E455" s="206">
        <v>93.120002999999997</v>
      </c>
      <c r="F455" s="10">
        <f t="shared" si="15"/>
        <v>-8.3066984386219733E-3</v>
      </c>
    </row>
    <row r="456" spans="2:6" x14ac:dyDescent="0.25">
      <c r="B456" s="210">
        <v>43725</v>
      </c>
      <c r="C456" s="206">
        <v>300.92001299999998</v>
      </c>
      <c r="D456" s="207">
        <f t="shared" si="14"/>
        <v>2.5320128926968888E-3</v>
      </c>
      <c r="E456" s="206">
        <v>93.870002999999997</v>
      </c>
      <c r="F456" s="10">
        <f t="shared" si="15"/>
        <v>8.0541234518645144E-3</v>
      </c>
    </row>
    <row r="457" spans="2:6" x14ac:dyDescent="0.25">
      <c r="B457" s="210">
        <v>43726</v>
      </c>
      <c r="C457" s="206">
        <v>301.10000600000001</v>
      </c>
      <c r="D457" s="207">
        <f t="shared" si="14"/>
        <v>5.9814233757871094E-4</v>
      </c>
      <c r="E457" s="206">
        <v>94.260002</v>
      </c>
      <c r="F457" s="10">
        <f t="shared" si="15"/>
        <v>4.1546712212208181E-3</v>
      </c>
    </row>
    <row r="458" spans="2:6" x14ac:dyDescent="0.25">
      <c r="B458" s="210">
        <v>43727</v>
      </c>
      <c r="C458" s="206">
        <v>301.07998700000002</v>
      </c>
      <c r="D458" s="207">
        <f t="shared" si="14"/>
        <v>-6.6486215878680532E-5</v>
      </c>
      <c r="E458" s="206">
        <v>94.489998</v>
      </c>
      <c r="F458" s="10">
        <f t="shared" si="15"/>
        <v>2.4400169225542445E-3</v>
      </c>
    </row>
    <row r="459" spans="2:6" x14ac:dyDescent="0.25">
      <c r="B459" s="210">
        <v>43728</v>
      </c>
      <c r="C459" s="206">
        <v>298.27999899999998</v>
      </c>
      <c r="D459" s="207">
        <f t="shared" si="14"/>
        <v>-9.2998144044693642E-3</v>
      </c>
      <c r="E459" s="206">
        <v>95.269997000000004</v>
      </c>
      <c r="F459" s="10">
        <f t="shared" si="15"/>
        <v>8.2548313737926815E-3</v>
      </c>
    </row>
    <row r="460" spans="2:6" x14ac:dyDescent="0.25">
      <c r="B460" s="210">
        <v>43731</v>
      </c>
      <c r="C460" s="206">
        <v>298.209991</v>
      </c>
      <c r="D460" s="207">
        <f t="shared" si="14"/>
        <v>-2.3470564648875314E-4</v>
      </c>
      <c r="E460" s="206">
        <v>95.400002000000001</v>
      </c>
      <c r="F460" s="10">
        <f t="shared" si="15"/>
        <v>1.3645954035246266E-3</v>
      </c>
    </row>
    <row r="461" spans="2:6" x14ac:dyDescent="0.25">
      <c r="B461" s="210">
        <v>43732</v>
      </c>
      <c r="C461" s="206">
        <v>295.86999500000002</v>
      </c>
      <c r="D461" s="207">
        <f t="shared" si="14"/>
        <v>-7.8468061789385146E-3</v>
      </c>
      <c r="E461" s="206">
        <v>96.279999000000004</v>
      </c>
      <c r="F461" s="10">
        <f t="shared" si="15"/>
        <v>9.2242870183587566E-3</v>
      </c>
    </row>
    <row r="462" spans="2:6" x14ac:dyDescent="0.25">
      <c r="B462" s="210">
        <v>43733</v>
      </c>
      <c r="C462" s="206">
        <v>297.61999500000002</v>
      </c>
      <c r="D462" s="207">
        <f t="shared" si="14"/>
        <v>5.9147599607050072E-3</v>
      </c>
      <c r="E462" s="206">
        <v>96</v>
      </c>
      <c r="F462" s="10">
        <f t="shared" si="15"/>
        <v>-2.9081741058182287E-3</v>
      </c>
    </row>
    <row r="463" spans="2:6" x14ac:dyDescent="0.25">
      <c r="B463" s="210">
        <v>43734</v>
      </c>
      <c r="C463" s="206">
        <v>297</v>
      </c>
      <c r="D463" s="207">
        <f t="shared" si="14"/>
        <v>-2.08317656883239E-3</v>
      </c>
      <c r="E463" s="206">
        <v>96.199996999999996</v>
      </c>
      <c r="F463" s="10">
        <f t="shared" si="15"/>
        <v>2.0833020833332938E-3</v>
      </c>
    </row>
    <row r="464" spans="2:6" x14ac:dyDescent="0.25">
      <c r="B464" s="210">
        <v>43735</v>
      </c>
      <c r="C464" s="206">
        <v>295.39999399999999</v>
      </c>
      <c r="D464" s="207">
        <f t="shared" si="14"/>
        <v>-5.3872255892256637E-3</v>
      </c>
      <c r="E464" s="206">
        <v>96.260002</v>
      </c>
      <c r="F464" s="10">
        <f t="shared" si="15"/>
        <v>6.2375261820446504E-4</v>
      </c>
    </row>
    <row r="465" spans="2:6" x14ac:dyDescent="0.25">
      <c r="B465" s="210">
        <v>43738</v>
      </c>
      <c r="C465" s="206">
        <v>296.76998900000001</v>
      </c>
      <c r="D465" s="207">
        <f t="shared" si="14"/>
        <v>4.6377624503268766E-3</v>
      </c>
      <c r="E465" s="206">
        <v>95.860000999999997</v>
      </c>
      <c r="F465" s="10">
        <f t="shared" si="15"/>
        <v>-4.1554227268767452E-3</v>
      </c>
    </row>
    <row r="466" spans="2:6" x14ac:dyDescent="0.25">
      <c r="B466" s="210">
        <v>43739</v>
      </c>
      <c r="C466" s="206">
        <v>293.23998999999998</v>
      </c>
      <c r="D466" s="207">
        <f t="shared" si="14"/>
        <v>-1.1894730366418638E-2</v>
      </c>
      <c r="E466" s="206">
        <v>96.190002000000007</v>
      </c>
      <c r="F466" s="10">
        <f t="shared" si="15"/>
        <v>3.442530738133609E-3</v>
      </c>
    </row>
    <row r="467" spans="2:6" x14ac:dyDescent="0.25">
      <c r="B467" s="210">
        <v>43740</v>
      </c>
      <c r="C467" s="206">
        <v>288.05999800000001</v>
      </c>
      <c r="D467" s="207">
        <f t="shared" si="14"/>
        <v>-1.7664684820102416E-2</v>
      </c>
      <c r="E467" s="206">
        <v>94.709998999999996</v>
      </c>
      <c r="F467" s="10">
        <f t="shared" si="15"/>
        <v>-1.5386245651601183E-2</v>
      </c>
    </row>
    <row r="468" spans="2:6" x14ac:dyDescent="0.25">
      <c r="B468" s="210">
        <v>43741</v>
      </c>
      <c r="C468" s="206">
        <v>290.42001299999998</v>
      </c>
      <c r="D468" s="207">
        <f t="shared" si="14"/>
        <v>8.1927897534734839E-3</v>
      </c>
      <c r="E468" s="206">
        <v>95.099997999999999</v>
      </c>
      <c r="F468" s="10">
        <f t="shared" si="15"/>
        <v>4.1178228710572196E-3</v>
      </c>
    </row>
    <row r="469" spans="2:6" x14ac:dyDescent="0.25">
      <c r="B469" s="210">
        <v>43742</v>
      </c>
      <c r="C469" s="206">
        <v>294.35000600000001</v>
      </c>
      <c r="D469" s="207">
        <f t="shared" si="14"/>
        <v>1.3532101177889722E-2</v>
      </c>
      <c r="E469" s="206">
        <v>97.169998000000007</v>
      </c>
      <c r="F469" s="10">
        <f t="shared" si="15"/>
        <v>2.1766561971957143E-2</v>
      </c>
    </row>
    <row r="470" spans="2:6" x14ac:dyDescent="0.25">
      <c r="B470" s="210">
        <v>43745</v>
      </c>
      <c r="C470" s="206">
        <v>293.07998700000002</v>
      </c>
      <c r="D470" s="207">
        <f t="shared" si="14"/>
        <v>-4.314655933793321E-3</v>
      </c>
      <c r="E470" s="206">
        <v>96.919998000000007</v>
      </c>
      <c r="F470" s="10">
        <f t="shared" si="15"/>
        <v>-2.5728105911867472E-3</v>
      </c>
    </row>
    <row r="471" spans="2:6" x14ac:dyDescent="0.25">
      <c r="B471" s="210">
        <v>43746</v>
      </c>
      <c r="C471" s="206">
        <v>288.52999899999998</v>
      </c>
      <c r="D471" s="207">
        <f t="shared" si="14"/>
        <v>-1.5524731137646852E-2</v>
      </c>
      <c r="E471" s="206">
        <v>96.089995999999999</v>
      </c>
      <c r="F471" s="10">
        <f t="shared" si="15"/>
        <v>-8.5637847413080337E-3</v>
      </c>
    </row>
    <row r="472" spans="2:6" x14ac:dyDescent="0.25">
      <c r="B472" s="210">
        <v>43747</v>
      </c>
      <c r="C472" s="206">
        <v>291.26998900000001</v>
      </c>
      <c r="D472" s="207">
        <f t="shared" si="14"/>
        <v>9.4963782258219442E-3</v>
      </c>
      <c r="E472" s="206">
        <v>96.029999000000004</v>
      </c>
      <c r="F472" s="10">
        <f t="shared" si="15"/>
        <v>-6.2438341656290142E-4</v>
      </c>
    </row>
    <row r="473" spans="2:6" x14ac:dyDescent="0.25">
      <c r="B473" s="210">
        <v>43748</v>
      </c>
      <c r="C473" s="206">
        <v>293.23998999999998</v>
      </c>
      <c r="D473" s="207">
        <f t="shared" si="14"/>
        <v>6.7634877412652283E-3</v>
      </c>
      <c r="E473" s="206">
        <v>96.290001000000004</v>
      </c>
      <c r="F473" s="10">
        <f t="shared" si="15"/>
        <v>2.7075080985889954E-3</v>
      </c>
    </row>
    <row r="474" spans="2:6" x14ac:dyDescent="0.25">
      <c r="B474" s="210">
        <v>43749</v>
      </c>
      <c r="C474" s="206">
        <v>296.27999899999998</v>
      </c>
      <c r="D474" s="207">
        <f t="shared" si="14"/>
        <v>1.0366965978958032E-2</v>
      </c>
      <c r="E474" s="206">
        <v>95.970000999999996</v>
      </c>
      <c r="F474" s="10">
        <f t="shared" si="15"/>
        <v>-3.3232941808777339E-3</v>
      </c>
    </row>
    <row r="475" spans="2:6" x14ac:dyDescent="0.25">
      <c r="B475" s="210">
        <v>43752</v>
      </c>
      <c r="C475" s="206">
        <v>295.95001200000002</v>
      </c>
      <c r="D475" s="207">
        <f t="shared" si="14"/>
        <v>-1.1137673859650254E-3</v>
      </c>
      <c r="E475" s="206">
        <v>95.129997000000003</v>
      </c>
      <c r="F475" s="10">
        <f t="shared" si="15"/>
        <v>-8.7527768182474874E-3</v>
      </c>
    </row>
    <row r="476" spans="2:6" x14ac:dyDescent="0.25">
      <c r="B476" s="210">
        <v>43753</v>
      </c>
      <c r="C476" s="206">
        <v>298.88000499999998</v>
      </c>
      <c r="D476" s="207">
        <f t="shared" si="14"/>
        <v>9.900296946093512E-3</v>
      </c>
      <c r="E476" s="206">
        <v>95</v>
      </c>
      <c r="F476" s="10">
        <f t="shared" si="15"/>
        <v>-1.3665195427263743E-3</v>
      </c>
    </row>
    <row r="477" spans="2:6" x14ac:dyDescent="0.25">
      <c r="B477" s="210">
        <v>43754</v>
      </c>
      <c r="C477" s="206">
        <v>298.39999399999999</v>
      </c>
      <c r="D477" s="207">
        <f t="shared" si="14"/>
        <v>-1.6060324945457172E-3</v>
      </c>
      <c r="E477" s="206">
        <v>95.129997000000003</v>
      </c>
      <c r="F477" s="10">
        <f t="shared" si="15"/>
        <v>1.3683894736842284E-3</v>
      </c>
    </row>
    <row r="478" spans="2:6" x14ac:dyDescent="0.25">
      <c r="B478" s="210">
        <v>43755</v>
      </c>
      <c r="C478" s="206">
        <v>299.27999899999998</v>
      </c>
      <c r="D478" s="207">
        <f t="shared" si="14"/>
        <v>2.9490784775283441E-3</v>
      </c>
      <c r="E478" s="206">
        <v>95.169998000000007</v>
      </c>
      <c r="F478" s="10">
        <f t="shared" si="15"/>
        <v>4.204877668607665E-4</v>
      </c>
    </row>
    <row r="479" spans="2:6" x14ac:dyDescent="0.25">
      <c r="B479" s="210">
        <v>43756</v>
      </c>
      <c r="C479" s="206">
        <v>297.97000100000002</v>
      </c>
      <c r="D479" s="207">
        <f t="shared" si="14"/>
        <v>-4.3771652110969894E-3</v>
      </c>
      <c r="E479" s="206">
        <v>95.349997999999999</v>
      </c>
      <c r="F479" s="10">
        <f t="shared" si="15"/>
        <v>1.8913523566532753E-3</v>
      </c>
    </row>
    <row r="480" spans="2:6" x14ac:dyDescent="0.25">
      <c r="B480" s="210">
        <v>43759</v>
      </c>
      <c r="C480" s="206">
        <v>299.98998999999998</v>
      </c>
      <c r="D480" s="207">
        <f t="shared" si="14"/>
        <v>6.7791690211120859E-3</v>
      </c>
      <c r="E480" s="206">
        <v>95.330001999999993</v>
      </c>
      <c r="F480" s="10">
        <f t="shared" si="15"/>
        <v>-2.0971159328186939E-4</v>
      </c>
    </row>
    <row r="481" spans="2:6" x14ac:dyDescent="0.25">
      <c r="B481" s="210">
        <v>43760</v>
      </c>
      <c r="C481" s="206">
        <v>299.01001000000002</v>
      </c>
      <c r="D481" s="207">
        <f t="shared" si="14"/>
        <v>-3.2667089991901266E-3</v>
      </c>
      <c r="E481" s="206">
        <v>95.32</v>
      </c>
      <c r="F481" s="10">
        <f t="shared" si="15"/>
        <v>-1.0491975023774192E-4</v>
      </c>
    </row>
    <row r="482" spans="2:6" x14ac:dyDescent="0.25">
      <c r="B482" s="210">
        <v>43761</v>
      </c>
      <c r="C482" s="206">
        <v>299.88000499999998</v>
      </c>
      <c r="D482" s="207">
        <f t="shared" si="14"/>
        <v>2.9095848664062451E-3</v>
      </c>
      <c r="E482" s="206">
        <v>96.169998000000007</v>
      </c>
      <c r="F482" s="10">
        <f t="shared" si="15"/>
        <v>8.9173101133026567E-3</v>
      </c>
    </row>
    <row r="483" spans="2:6" x14ac:dyDescent="0.25">
      <c r="B483" s="210">
        <v>43762</v>
      </c>
      <c r="C483" s="206">
        <v>300.36999500000002</v>
      </c>
      <c r="D483" s="207">
        <f t="shared" si="14"/>
        <v>1.6339535541891603E-3</v>
      </c>
      <c r="E483" s="206">
        <v>96.07</v>
      </c>
      <c r="F483" s="10">
        <f t="shared" si="15"/>
        <v>-1.0398045344662821E-3</v>
      </c>
    </row>
    <row r="484" spans="2:6" x14ac:dyDescent="0.25">
      <c r="B484" s="210">
        <v>43763</v>
      </c>
      <c r="C484" s="206">
        <v>301.60000600000001</v>
      </c>
      <c r="D484" s="207">
        <f t="shared" si="14"/>
        <v>4.0949862518724345E-3</v>
      </c>
      <c r="E484" s="206">
        <v>95.43</v>
      </c>
      <c r="F484" s="10">
        <f t="shared" si="15"/>
        <v>-6.6618090975328892E-3</v>
      </c>
    </row>
    <row r="485" spans="2:6" x14ac:dyDescent="0.25">
      <c r="B485" s="210">
        <v>43766</v>
      </c>
      <c r="C485" s="206">
        <v>303.29998799999998</v>
      </c>
      <c r="D485" s="207">
        <f t="shared" si="14"/>
        <v>5.6365449807052048E-3</v>
      </c>
      <c r="E485" s="206">
        <v>94.099997999999999</v>
      </c>
      <c r="F485" s="10">
        <f t="shared" si="15"/>
        <v>-1.3936938069789462E-2</v>
      </c>
    </row>
    <row r="486" spans="2:6" x14ac:dyDescent="0.25">
      <c r="B486" s="210">
        <v>43767</v>
      </c>
      <c r="C486" s="206">
        <v>303.209991</v>
      </c>
      <c r="D486" s="207">
        <f t="shared" si="14"/>
        <v>-2.967260255875015E-4</v>
      </c>
      <c r="E486" s="206">
        <v>93.529999000000004</v>
      </c>
      <c r="F486" s="10">
        <f t="shared" si="15"/>
        <v>-6.0573752615806775E-3</v>
      </c>
    </row>
    <row r="487" spans="2:6" x14ac:dyDescent="0.25">
      <c r="B487" s="210">
        <v>43768</v>
      </c>
      <c r="C487" s="206">
        <v>304.14001500000001</v>
      </c>
      <c r="D487" s="207">
        <f t="shared" si="14"/>
        <v>3.0672604056771746E-3</v>
      </c>
      <c r="E487" s="206">
        <v>94.010002</v>
      </c>
      <c r="F487" s="10">
        <f t="shared" si="15"/>
        <v>5.132075324837615E-3</v>
      </c>
    </row>
    <row r="488" spans="2:6" x14ac:dyDescent="0.25">
      <c r="B488" s="210">
        <v>43769</v>
      </c>
      <c r="C488" s="206">
        <v>303.32998700000002</v>
      </c>
      <c r="D488" s="207">
        <f t="shared" si="14"/>
        <v>-2.6633391203061407E-3</v>
      </c>
      <c r="E488" s="206">
        <v>94.260002</v>
      </c>
      <c r="F488" s="10">
        <f t="shared" si="15"/>
        <v>2.6592915081524726E-3</v>
      </c>
    </row>
    <row r="489" spans="2:6" x14ac:dyDescent="0.25">
      <c r="B489" s="210">
        <v>43770</v>
      </c>
      <c r="C489" s="206">
        <v>306.14001500000001</v>
      </c>
      <c r="D489" s="207">
        <f t="shared" si="14"/>
        <v>9.2639307698911821E-3</v>
      </c>
      <c r="E489" s="206">
        <v>94.379997000000003</v>
      </c>
      <c r="F489" s="10">
        <f t="shared" si="15"/>
        <v>1.2730214030762799E-3</v>
      </c>
    </row>
    <row r="490" spans="2:6" x14ac:dyDescent="0.25">
      <c r="B490" s="210">
        <v>43773</v>
      </c>
      <c r="C490" s="206">
        <v>307.36999500000002</v>
      </c>
      <c r="D490" s="207">
        <f t="shared" si="14"/>
        <v>4.0177041214295439E-3</v>
      </c>
      <c r="E490" s="206">
        <v>93.639999000000003</v>
      </c>
      <c r="F490" s="10">
        <f t="shared" si="15"/>
        <v>-7.8406232625753969E-3</v>
      </c>
    </row>
    <row r="491" spans="2:6" x14ac:dyDescent="0.25">
      <c r="B491" s="210">
        <v>43774</v>
      </c>
      <c r="C491" s="206">
        <v>307.02999899999998</v>
      </c>
      <c r="D491" s="207">
        <f t="shared" si="14"/>
        <v>-1.1061457056016355E-3</v>
      </c>
      <c r="E491" s="206">
        <v>93.150002000000001</v>
      </c>
      <c r="F491" s="10">
        <f t="shared" si="15"/>
        <v>-5.2327745112428214E-3</v>
      </c>
    </row>
    <row r="492" spans="2:6" x14ac:dyDescent="0.25">
      <c r="B492" s="210">
        <v>43775</v>
      </c>
      <c r="C492" s="206">
        <v>307.10000600000001</v>
      </c>
      <c r="D492" s="207">
        <f t="shared" si="14"/>
        <v>2.2801354990731326E-4</v>
      </c>
      <c r="E492" s="206">
        <v>93.360000999999997</v>
      </c>
      <c r="F492" s="10">
        <f t="shared" si="15"/>
        <v>2.2544175576078018E-3</v>
      </c>
    </row>
    <row r="493" spans="2:6" x14ac:dyDescent="0.25">
      <c r="B493" s="210">
        <v>43776</v>
      </c>
      <c r="C493" s="206">
        <v>308.17999300000002</v>
      </c>
      <c r="D493" s="207">
        <f t="shared" si="14"/>
        <v>3.5167273816334443E-3</v>
      </c>
      <c r="E493" s="206">
        <v>92.580001999999993</v>
      </c>
      <c r="F493" s="10">
        <f t="shared" si="15"/>
        <v>-8.3547449833467624E-3</v>
      </c>
    </row>
    <row r="494" spans="2:6" x14ac:dyDescent="0.25">
      <c r="B494" s="210">
        <v>43777</v>
      </c>
      <c r="C494" s="206">
        <v>308.94000199999999</v>
      </c>
      <c r="D494" s="207">
        <f t="shared" si="14"/>
        <v>2.4661205051035306E-3</v>
      </c>
      <c r="E494" s="206">
        <v>89.949996999999996</v>
      </c>
      <c r="F494" s="10">
        <f t="shared" si="15"/>
        <v>-2.8407916863082305E-2</v>
      </c>
    </row>
    <row r="495" spans="2:6" x14ac:dyDescent="0.25">
      <c r="B495" s="210">
        <v>43780</v>
      </c>
      <c r="C495" s="206">
        <v>308.35000600000001</v>
      </c>
      <c r="D495" s="207">
        <f t="shared" si="14"/>
        <v>-1.9097429798035082E-3</v>
      </c>
      <c r="E495" s="206">
        <v>87.599997999999999</v>
      </c>
      <c r="F495" s="10">
        <f t="shared" si="15"/>
        <v>-2.6125615101465716E-2</v>
      </c>
    </row>
    <row r="496" spans="2:6" x14ac:dyDescent="0.25">
      <c r="B496" s="210">
        <v>43781</v>
      </c>
      <c r="C496" s="206">
        <v>309</v>
      </c>
      <c r="D496" s="207">
        <f t="shared" si="14"/>
        <v>2.1079746630521257E-3</v>
      </c>
      <c r="E496" s="206">
        <v>87.589995999999999</v>
      </c>
      <c r="F496" s="10">
        <f t="shared" si="15"/>
        <v>-1.141780847986329E-4</v>
      </c>
    </row>
    <row r="497" spans="2:6" x14ac:dyDescent="0.25">
      <c r="B497" s="210">
        <v>43782</v>
      </c>
      <c r="C497" s="206">
        <v>309.10000600000001</v>
      </c>
      <c r="D497" s="207">
        <f t="shared" si="14"/>
        <v>3.2364401294504574E-4</v>
      </c>
      <c r="E497" s="206">
        <v>88.529999000000004</v>
      </c>
      <c r="F497" s="10">
        <f t="shared" si="15"/>
        <v>1.0731853441345196E-2</v>
      </c>
    </row>
    <row r="498" spans="2:6" x14ac:dyDescent="0.25">
      <c r="B498" s="210">
        <v>43783</v>
      </c>
      <c r="C498" s="206">
        <v>309.54998799999998</v>
      </c>
      <c r="D498" s="207">
        <f t="shared" si="14"/>
        <v>1.455781272291512E-3</v>
      </c>
      <c r="E498" s="206">
        <v>88.25</v>
      </c>
      <c r="F498" s="10">
        <f t="shared" si="15"/>
        <v>-3.1627584227127414E-3</v>
      </c>
    </row>
    <row r="499" spans="2:6" x14ac:dyDescent="0.25">
      <c r="B499" s="210">
        <v>43784</v>
      </c>
      <c r="C499" s="206">
        <v>311.790009</v>
      </c>
      <c r="D499" s="207">
        <f t="shared" si="14"/>
        <v>7.236378894642348E-3</v>
      </c>
      <c r="E499" s="206">
        <v>88.580001999999993</v>
      </c>
      <c r="F499" s="10">
        <f t="shared" si="15"/>
        <v>3.7393994334276037E-3</v>
      </c>
    </row>
    <row r="500" spans="2:6" x14ac:dyDescent="0.25">
      <c r="B500" s="210">
        <v>43787</v>
      </c>
      <c r="C500" s="206">
        <v>312.01998900000001</v>
      </c>
      <c r="D500" s="207">
        <f t="shared" si="14"/>
        <v>7.3761183284104526E-4</v>
      </c>
      <c r="E500" s="206">
        <v>88.650002000000001</v>
      </c>
      <c r="F500" s="10">
        <f t="shared" si="15"/>
        <v>7.9024608737321422E-4</v>
      </c>
    </row>
    <row r="501" spans="2:6" x14ac:dyDescent="0.25">
      <c r="B501" s="210">
        <v>43788</v>
      </c>
      <c r="C501" s="206">
        <v>311.92999300000002</v>
      </c>
      <c r="D501" s="207">
        <f t="shared" si="14"/>
        <v>-2.8843023899982612E-4</v>
      </c>
      <c r="E501" s="206">
        <v>87.029999000000004</v>
      </c>
      <c r="F501" s="10">
        <f t="shared" si="15"/>
        <v>-1.8274145103798212E-2</v>
      </c>
    </row>
    <row r="502" spans="2:6" x14ac:dyDescent="0.25">
      <c r="B502" s="210">
        <v>43789</v>
      </c>
      <c r="C502" s="206">
        <v>310.76998900000001</v>
      </c>
      <c r="D502" s="207">
        <f t="shared" si="14"/>
        <v>-3.7187959671451942E-3</v>
      </c>
      <c r="E502" s="206">
        <v>87.129997000000003</v>
      </c>
      <c r="F502" s="10">
        <f t="shared" si="15"/>
        <v>1.1490061030565712E-3</v>
      </c>
    </row>
    <row r="503" spans="2:6" x14ac:dyDescent="0.25">
      <c r="B503" s="210">
        <v>43790</v>
      </c>
      <c r="C503" s="206">
        <v>310.26998900000001</v>
      </c>
      <c r="D503" s="207">
        <f t="shared" si="14"/>
        <v>-1.6089069655950139E-3</v>
      </c>
      <c r="E503" s="206">
        <v>86.660004000000001</v>
      </c>
      <c r="F503" s="10">
        <f t="shared" si="15"/>
        <v>-5.3941583402097315E-3</v>
      </c>
    </row>
    <row r="504" spans="2:6" x14ac:dyDescent="0.25">
      <c r="B504" s="210">
        <v>43791</v>
      </c>
      <c r="C504" s="206">
        <v>310.959991</v>
      </c>
      <c r="D504" s="207">
        <f t="shared" si="14"/>
        <v>2.2238760578290329E-3</v>
      </c>
      <c r="E504" s="206">
        <v>87.139999000000003</v>
      </c>
      <c r="F504" s="10">
        <f t="shared" si="15"/>
        <v>5.5388296543350535E-3</v>
      </c>
    </row>
    <row r="505" spans="2:6" x14ac:dyDescent="0.25">
      <c r="B505" s="210">
        <v>43794</v>
      </c>
      <c r="C505" s="206">
        <v>313.36999500000002</v>
      </c>
      <c r="D505" s="207">
        <f t="shared" si="14"/>
        <v>7.7502060385641336E-3</v>
      </c>
      <c r="E505" s="206">
        <v>87.599997999999999</v>
      </c>
      <c r="F505" s="10">
        <f t="shared" si="15"/>
        <v>5.2788501868126225E-3</v>
      </c>
    </row>
    <row r="506" spans="2:6" x14ac:dyDescent="0.25">
      <c r="B506" s="210">
        <v>43795</v>
      </c>
      <c r="C506" s="206">
        <v>314.07998700000002</v>
      </c>
      <c r="D506" s="207">
        <f t="shared" si="14"/>
        <v>2.265666819824208E-3</v>
      </c>
      <c r="E506" s="206">
        <v>88.199996999999996</v>
      </c>
      <c r="F506" s="10">
        <f t="shared" si="15"/>
        <v>6.8493038093448977E-3</v>
      </c>
    </row>
    <row r="507" spans="2:6" x14ac:dyDescent="0.25">
      <c r="B507" s="210">
        <v>43796</v>
      </c>
      <c r="C507" s="206">
        <v>315.48001099999999</v>
      </c>
      <c r="D507" s="207">
        <f t="shared" si="14"/>
        <v>4.4575396648878218E-3</v>
      </c>
      <c r="E507" s="206">
        <v>88.559997999999993</v>
      </c>
      <c r="F507" s="10">
        <f t="shared" si="15"/>
        <v>4.0816441297610861E-3</v>
      </c>
    </row>
    <row r="508" spans="2:6" x14ac:dyDescent="0.25">
      <c r="B508" s="210">
        <v>43798</v>
      </c>
      <c r="C508" s="206">
        <v>314.30999800000001</v>
      </c>
      <c r="D508" s="207">
        <f t="shared" si="14"/>
        <v>-3.7086755395098203E-3</v>
      </c>
      <c r="E508" s="206">
        <v>88.169998000000007</v>
      </c>
      <c r="F508" s="10">
        <f t="shared" si="15"/>
        <v>-4.4037941373935574E-3</v>
      </c>
    </row>
    <row r="509" spans="2:6" x14ac:dyDescent="0.25">
      <c r="B509" s="210">
        <v>43801</v>
      </c>
      <c r="C509" s="206">
        <v>311.64001500000001</v>
      </c>
      <c r="D509" s="207">
        <f t="shared" si="14"/>
        <v>-8.4947440965591481E-3</v>
      </c>
      <c r="E509" s="206">
        <v>87.290001000000004</v>
      </c>
      <c r="F509" s="10">
        <f t="shared" si="15"/>
        <v>-9.9806852666595169E-3</v>
      </c>
    </row>
    <row r="510" spans="2:6" x14ac:dyDescent="0.25">
      <c r="B510" s="210">
        <v>43802</v>
      </c>
      <c r="C510" s="206">
        <v>309.54998799999998</v>
      </c>
      <c r="D510" s="207">
        <f t="shared" si="14"/>
        <v>-6.7065424829992892E-3</v>
      </c>
      <c r="E510" s="206">
        <v>87.860000999999997</v>
      </c>
      <c r="F510" s="10">
        <f t="shared" si="15"/>
        <v>6.52995753774821E-3</v>
      </c>
    </row>
    <row r="511" spans="2:6" x14ac:dyDescent="0.25">
      <c r="B511" s="210">
        <v>43803</v>
      </c>
      <c r="C511" s="206">
        <v>311.459991</v>
      </c>
      <c r="D511" s="207">
        <f t="shared" si="14"/>
        <v>6.1702570636184007E-3</v>
      </c>
      <c r="E511" s="206">
        <v>88.949996999999996</v>
      </c>
      <c r="F511" s="10">
        <f t="shared" si="15"/>
        <v>1.2406054946436873E-2</v>
      </c>
    </row>
    <row r="512" spans="2:6" x14ac:dyDescent="0.25">
      <c r="B512" s="210">
        <v>43804</v>
      </c>
      <c r="C512" s="206">
        <v>312.01998900000001</v>
      </c>
      <c r="D512" s="207">
        <f t="shared" si="14"/>
        <v>1.7979773203038452E-3</v>
      </c>
      <c r="E512" s="206">
        <v>89.290001000000004</v>
      </c>
      <c r="F512" s="10">
        <f t="shared" si="15"/>
        <v>3.8224172171699156E-3</v>
      </c>
    </row>
    <row r="513" spans="2:6" x14ac:dyDescent="0.25">
      <c r="B513" s="210">
        <v>43805</v>
      </c>
      <c r="C513" s="206">
        <v>314.86999500000002</v>
      </c>
      <c r="D513" s="207">
        <f t="shared" si="14"/>
        <v>9.1340494214298129E-3</v>
      </c>
      <c r="E513" s="206">
        <v>89.760002</v>
      </c>
      <c r="F513" s="10">
        <f t="shared" si="15"/>
        <v>5.2637584806387583E-3</v>
      </c>
    </row>
    <row r="514" spans="2:6" x14ac:dyDescent="0.25">
      <c r="B514" s="210">
        <v>43808</v>
      </c>
      <c r="C514" s="206">
        <v>313.88000499999998</v>
      </c>
      <c r="D514" s="207">
        <f t="shared" si="14"/>
        <v>-3.144123021312395E-3</v>
      </c>
      <c r="E514" s="206">
        <v>89.279999000000004</v>
      </c>
      <c r="F514" s="10">
        <f t="shared" si="15"/>
        <v>-5.3476268861936127E-3</v>
      </c>
    </row>
    <row r="515" spans="2:6" x14ac:dyDescent="0.25">
      <c r="B515" s="210">
        <v>43809</v>
      </c>
      <c r="C515" s="206">
        <v>313.52999899999998</v>
      </c>
      <c r="D515" s="207">
        <f t="shared" si="14"/>
        <v>-1.1150949229786766E-3</v>
      </c>
      <c r="E515" s="206">
        <v>89.050003000000004</v>
      </c>
      <c r="F515" s="10">
        <f t="shared" si="15"/>
        <v>-2.5761201005389811E-3</v>
      </c>
    </row>
    <row r="516" spans="2:6" x14ac:dyDescent="0.25">
      <c r="B516" s="210">
        <v>43810</v>
      </c>
      <c r="C516" s="206">
        <v>314.42001299999998</v>
      </c>
      <c r="D516" s="207">
        <f t="shared" si="14"/>
        <v>2.8386884918147892E-3</v>
      </c>
      <c r="E516" s="206">
        <v>89</v>
      </c>
      <c r="F516" s="10">
        <f t="shared" si="15"/>
        <v>-5.6151598332909725E-4</v>
      </c>
    </row>
    <row r="517" spans="2:6" x14ac:dyDescent="0.25">
      <c r="B517" s="210">
        <v>43811</v>
      </c>
      <c r="C517" s="206">
        <v>317.13000499999998</v>
      </c>
      <c r="D517" s="207">
        <f t="shared" ref="D517:D580" si="16">C517/C516-1</f>
        <v>8.6190187900030413E-3</v>
      </c>
      <c r="E517" s="206">
        <v>89.559997999999993</v>
      </c>
      <c r="F517" s="10">
        <f t="shared" ref="F517:F580" si="17">E517/E516-1</f>
        <v>6.2921123595505168E-3</v>
      </c>
    </row>
    <row r="518" spans="2:6" x14ac:dyDescent="0.25">
      <c r="B518" s="210">
        <v>43812</v>
      </c>
      <c r="C518" s="206">
        <v>317.32000699999998</v>
      </c>
      <c r="D518" s="207">
        <f t="shared" si="16"/>
        <v>5.9912968500097641E-4</v>
      </c>
      <c r="E518" s="206">
        <v>90.099997999999999</v>
      </c>
      <c r="F518" s="10">
        <f t="shared" si="17"/>
        <v>6.0294775799347722E-3</v>
      </c>
    </row>
    <row r="519" spans="2:6" x14ac:dyDescent="0.25">
      <c r="B519" s="210">
        <v>43815</v>
      </c>
      <c r="C519" s="206">
        <v>319.5</v>
      </c>
      <c r="D519" s="207">
        <f t="shared" si="16"/>
        <v>6.8700143448567896E-3</v>
      </c>
      <c r="E519" s="206">
        <v>90.489998</v>
      </c>
      <c r="F519" s="10">
        <f t="shared" si="17"/>
        <v>4.3285239584578417E-3</v>
      </c>
    </row>
    <row r="520" spans="2:6" x14ac:dyDescent="0.25">
      <c r="B520" s="210">
        <v>43816</v>
      </c>
      <c r="C520" s="206">
        <v>319.57000699999998</v>
      </c>
      <c r="D520" s="207">
        <f t="shared" si="16"/>
        <v>2.1911424100151677E-4</v>
      </c>
      <c r="E520" s="206">
        <v>90.550003000000004</v>
      </c>
      <c r="F520" s="10">
        <f t="shared" si="17"/>
        <v>6.6311196072743606E-4</v>
      </c>
    </row>
    <row r="521" spans="2:6" x14ac:dyDescent="0.25">
      <c r="B521" s="210">
        <v>43817</v>
      </c>
      <c r="C521" s="206">
        <v>319.58999599999999</v>
      </c>
      <c r="D521" s="207">
        <f t="shared" si="16"/>
        <v>6.2549674757272911E-5</v>
      </c>
      <c r="E521" s="206">
        <v>90.610000999999997</v>
      </c>
      <c r="F521" s="10">
        <f t="shared" si="17"/>
        <v>6.6259522929001946E-4</v>
      </c>
    </row>
    <row r="522" spans="2:6" x14ac:dyDescent="0.25">
      <c r="B522" s="210">
        <v>43818</v>
      </c>
      <c r="C522" s="206">
        <v>320.89999399999999</v>
      </c>
      <c r="D522" s="207">
        <f t="shared" si="16"/>
        <v>4.0989956394004157E-3</v>
      </c>
      <c r="E522" s="206">
        <v>89.949996999999996</v>
      </c>
      <c r="F522" s="10">
        <f t="shared" si="17"/>
        <v>-7.2840083072066575E-3</v>
      </c>
    </row>
    <row r="523" spans="2:6" x14ac:dyDescent="0.25">
      <c r="B523" s="210">
        <v>43819</v>
      </c>
      <c r="C523" s="206">
        <v>320.73001099999999</v>
      </c>
      <c r="D523" s="207">
        <f t="shared" si="16"/>
        <v>-5.2970708375899012E-4</v>
      </c>
      <c r="E523" s="206">
        <v>90.620002999999997</v>
      </c>
      <c r="F523" s="10">
        <f t="shared" si="17"/>
        <v>7.4486494980094964E-3</v>
      </c>
    </row>
    <row r="524" spans="2:6" x14ac:dyDescent="0.25">
      <c r="B524" s="210">
        <v>43822</v>
      </c>
      <c r="C524" s="206">
        <v>321.22000100000002</v>
      </c>
      <c r="D524" s="207">
        <f t="shared" si="16"/>
        <v>1.527733555311217E-3</v>
      </c>
      <c r="E524" s="206">
        <v>90.150002000000001</v>
      </c>
      <c r="F524" s="10">
        <f t="shared" si="17"/>
        <v>-5.186503911283169E-3</v>
      </c>
    </row>
    <row r="525" spans="2:6" x14ac:dyDescent="0.25">
      <c r="B525" s="210">
        <v>43823</v>
      </c>
      <c r="C525" s="206">
        <v>321.23001099999999</v>
      </c>
      <c r="D525" s="207">
        <f t="shared" si="16"/>
        <v>3.116244308820626E-5</v>
      </c>
      <c r="E525" s="206">
        <v>90.230002999999996</v>
      </c>
      <c r="F525" s="10">
        <f t="shared" si="17"/>
        <v>8.8742094537064276E-4</v>
      </c>
    </row>
    <row r="526" spans="2:6" x14ac:dyDescent="0.25">
      <c r="B526" s="210">
        <v>43825</v>
      </c>
      <c r="C526" s="206">
        <v>322.94000199999999</v>
      </c>
      <c r="D526" s="207">
        <f t="shared" si="16"/>
        <v>5.3232604098127911E-3</v>
      </c>
      <c r="E526" s="206">
        <v>90.389999000000003</v>
      </c>
      <c r="F526" s="10">
        <f t="shared" si="17"/>
        <v>1.77320175862139E-3</v>
      </c>
    </row>
    <row r="527" spans="2:6" x14ac:dyDescent="0.25">
      <c r="B527" s="210">
        <v>43826</v>
      </c>
      <c r="C527" s="206">
        <v>322.85998499999999</v>
      </c>
      <c r="D527" s="207">
        <f t="shared" si="16"/>
        <v>-2.4777667524755742E-4</v>
      </c>
      <c r="E527" s="206">
        <v>90.970000999999996</v>
      </c>
      <c r="F527" s="10">
        <f t="shared" si="17"/>
        <v>6.4166612060698736E-3</v>
      </c>
    </row>
    <row r="528" spans="2:6" x14ac:dyDescent="0.25">
      <c r="B528" s="210">
        <v>43829</v>
      </c>
      <c r="C528" s="206">
        <v>321.07998700000002</v>
      </c>
      <c r="D528" s="207">
        <f t="shared" si="16"/>
        <v>-5.5132196081839613E-3</v>
      </c>
      <c r="E528" s="206">
        <v>90.790001000000004</v>
      </c>
      <c r="F528" s="10">
        <f t="shared" si="17"/>
        <v>-1.9786742664759105E-3</v>
      </c>
    </row>
    <row r="529" spans="2:6" x14ac:dyDescent="0.25">
      <c r="B529" s="210">
        <v>43830</v>
      </c>
      <c r="C529" s="206">
        <v>321.85998499999999</v>
      </c>
      <c r="D529" s="207">
        <f t="shared" si="16"/>
        <v>2.4292949781388185E-3</v>
      </c>
      <c r="E529" s="206">
        <v>91.209998999999996</v>
      </c>
      <c r="F529" s="10">
        <f t="shared" si="17"/>
        <v>4.6260380589706607E-3</v>
      </c>
    </row>
    <row r="530" spans="2:6" x14ac:dyDescent="0.25">
      <c r="B530" s="210">
        <v>43832</v>
      </c>
      <c r="C530" s="206">
        <v>324.86999500000002</v>
      </c>
      <c r="D530" s="207">
        <f t="shared" si="16"/>
        <v>9.3519236322590071E-3</v>
      </c>
      <c r="E530" s="206">
        <v>90.339995999999999</v>
      </c>
      <c r="F530" s="10">
        <f t="shared" si="17"/>
        <v>-9.5384607996761295E-3</v>
      </c>
    </row>
    <row r="531" spans="2:6" x14ac:dyDescent="0.25">
      <c r="B531" s="210">
        <v>43833</v>
      </c>
      <c r="C531" s="206">
        <v>322.41000400000001</v>
      </c>
      <c r="D531" s="207">
        <f t="shared" si="16"/>
        <v>-7.5722320862534609E-3</v>
      </c>
      <c r="E531" s="206">
        <v>90.400002000000001</v>
      </c>
      <c r="F531" s="10">
        <f t="shared" si="17"/>
        <v>6.6422407191613075E-4</v>
      </c>
    </row>
    <row r="532" spans="2:6" x14ac:dyDescent="0.25">
      <c r="B532" s="210">
        <v>43836</v>
      </c>
      <c r="C532" s="206">
        <v>323.64001500000001</v>
      </c>
      <c r="D532" s="207">
        <f t="shared" si="16"/>
        <v>3.8150522153153066E-3</v>
      </c>
      <c r="E532" s="206">
        <v>90.839995999999999</v>
      </c>
      <c r="F532" s="10">
        <f t="shared" si="17"/>
        <v>4.8671901578054566E-3</v>
      </c>
    </row>
    <row r="533" spans="2:6" x14ac:dyDescent="0.25">
      <c r="B533" s="210">
        <v>43837</v>
      </c>
      <c r="C533" s="206">
        <v>322.73001099999999</v>
      </c>
      <c r="D533" s="207">
        <f t="shared" si="16"/>
        <v>-2.811778389022801E-3</v>
      </c>
      <c r="E533" s="206">
        <v>90.269997000000004</v>
      </c>
      <c r="F533" s="10">
        <f t="shared" si="17"/>
        <v>-6.2747580922394297E-3</v>
      </c>
    </row>
    <row r="534" spans="2:6" x14ac:dyDescent="0.25">
      <c r="B534" s="210">
        <v>43838</v>
      </c>
      <c r="C534" s="206">
        <v>324.45001200000002</v>
      </c>
      <c r="D534" s="207">
        <f t="shared" si="16"/>
        <v>5.3295353433988613E-3</v>
      </c>
      <c r="E534" s="206">
        <v>90.400002000000001</v>
      </c>
      <c r="F534" s="10">
        <f t="shared" si="17"/>
        <v>1.4401795094776126E-3</v>
      </c>
    </row>
    <row r="535" spans="2:6" x14ac:dyDescent="0.25">
      <c r="B535" s="210">
        <v>43839</v>
      </c>
      <c r="C535" s="206">
        <v>326.64999399999999</v>
      </c>
      <c r="D535" s="207">
        <f t="shared" si="16"/>
        <v>6.7806500805429604E-3</v>
      </c>
      <c r="E535" s="206">
        <v>90.620002999999997</v>
      </c>
      <c r="F535" s="10">
        <f t="shared" si="17"/>
        <v>2.4336393266892742E-3</v>
      </c>
    </row>
    <row r="536" spans="2:6" x14ac:dyDescent="0.25">
      <c r="B536" s="210">
        <v>43840</v>
      </c>
      <c r="C536" s="206">
        <v>325.709991</v>
      </c>
      <c r="D536" s="207">
        <f t="shared" si="16"/>
        <v>-2.877707078727143E-3</v>
      </c>
      <c r="E536" s="206">
        <v>90.440002000000007</v>
      </c>
      <c r="F536" s="10">
        <f t="shared" si="17"/>
        <v>-1.9863274557604393E-3</v>
      </c>
    </row>
    <row r="537" spans="2:6" x14ac:dyDescent="0.25">
      <c r="B537" s="210">
        <v>43843</v>
      </c>
      <c r="C537" s="206">
        <v>327.95001200000002</v>
      </c>
      <c r="D537" s="207">
        <f t="shared" si="16"/>
        <v>6.8773481375952183E-3</v>
      </c>
      <c r="E537" s="206">
        <v>91.239998</v>
      </c>
      <c r="F537" s="10">
        <f t="shared" si="17"/>
        <v>8.8455990967359899E-3</v>
      </c>
    </row>
    <row r="538" spans="2:6" x14ac:dyDescent="0.25">
      <c r="B538" s="210">
        <v>43844</v>
      </c>
      <c r="C538" s="206">
        <v>327.45001200000002</v>
      </c>
      <c r="D538" s="207">
        <f t="shared" si="16"/>
        <v>-1.5246226001053298E-3</v>
      </c>
      <c r="E538" s="206">
        <v>91.300003000000004</v>
      </c>
      <c r="F538" s="10">
        <f t="shared" si="17"/>
        <v>6.5766112796272758E-4</v>
      </c>
    </row>
    <row r="539" spans="2:6" x14ac:dyDescent="0.25">
      <c r="B539" s="210">
        <v>43845</v>
      </c>
      <c r="C539" s="206">
        <v>328.19000199999999</v>
      </c>
      <c r="D539" s="207">
        <f t="shared" si="16"/>
        <v>2.2598563838194252E-3</v>
      </c>
      <c r="E539" s="206">
        <v>92.489998</v>
      </c>
      <c r="F539" s="10">
        <f t="shared" si="17"/>
        <v>1.3033898805019817E-2</v>
      </c>
    </row>
    <row r="540" spans="2:6" x14ac:dyDescent="0.25">
      <c r="B540" s="210">
        <v>43846</v>
      </c>
      <c r="C540" s="206">
        <v>330.92001299999998</v>
      </c>
      <c r="D540" s="207">
        <f t="shared" si="16"/>
        <v>8.3183856405228962E-3</v>
      </c>
      <c r="E540" s="206">
        <v>93.18</v>
      </c>
      <c r="F540" s="10">
        <f t="shared" si="17"/>
        <v>7.4602877599803108E-3</v>
      </c>
    </row>
    <row r="541" spans="2:6" x14ac:dyDescent="0.25">
      <c r="B541" s="210">
        <v>43847</v>
      </c>
      <c r="C541" s="206">
        <v>331.95001200000002</v>
      </c>
      <c r="D541" s="207">
        <f t="shared" si="16"/>
        <v>3.1125316074493981E-3</v>
      </c>
      <c r="E541" s="206">
        <v>93.720000999999996</v>
      </c>
      <c r="F541" s="10">
        <f t="shared" si="17"/>
        <v>5.7952457608927421E-3</v>
      </c>
    </row>
    <row r="542" spans="2:6" x14ac:dyDescent="0.25">
      <c r="B542" s="210">
        <v>43851</v>
      </c>
      <c r="C542" s="206">
        <v>331.29998799999998</v>
      </c>
      <c r="D542" s="207">
        <f t="shared" si="16"/>
        <v>-1.9581984530852026E-3</v>
      </c>
      <c r="E542" s="206">
        <v>94.790001000000004</v>
      </c>
      <c r="F542" s="10">
        <f t="shared" si="17"/>
        <v>1.1416986647279304E-2</v>
      </c>
    </row>
    <row r="543" spans="2:6" x14ac:dyDescent="0.25">
      <c r="B543" s="210">
        <v>43852</v>
      </c>
      <c r="C543" s="206">
        <v>331.33999599999999</v>
      </c>
      <c r="D543" s="207">
        <f t="shared" si="16"/>
        <v>1.2076064427746225E-4</v>
      </c>
      <c r="E543" s="206">
        <v>95.309997999999993</v>
      </c>
      <c r="F543" s="10">
        <f t="shared" si="17"/>
        <v>5.4857790327482725E-3</v>
      </c>
    </row>
    <row r="544" spans="2:6" x14ac:dyDescent="0.25">
      <c r="B544" s="210">
        <v>43853</v>
      </c>
      <c r="C544" s="206">
        <v>331.72000100000002</v>
      </c>
      <c r="D544" s="207">
        <f t="shared" si="16"/>
        <v>1.146873316193453E-3</v>
      </c>
      <c r="E544" s="206">
        <v>96.080001999999993</v>
      </c>
      <c r="F544" s="10">
        <f t="shared" si="17"/>
        <v>8.0789425680189986E-3</v>
      </c>
    </row>
    <row r="545" spans="2:6" x14ac:dyDescent="0.25">
      <c r="B545" s="210">
        <v>43854</v>
      </c>
      <c r="C545" s="206">
        <v>328.76998900000001</v>
      </c>
      <c r="D545" s="207">
        <f t="shared" si="16"/>
        <v>-8.893078473130811E-3</v>
      </c>
      <c r="E545" s="206">
        <v>96.279999000000004</v>
      </c>
      <c r="F545" s="10">
        <f t="shared" si="17"/>
        <v>2.0815674004670548E-3</v>
      </c>
    </row>
    <row r="546" spans="2:6" x14ac:dyDescent="0.25">
      <c r="B546" s="210">
        <v>43857</v>
      </c>
      <c r="C546" s="206">
        <v>323.5</v>
      </c>
      <c r="D546" s="207">
        <f t="shared" si="16"/>
        <v>-1.6029410153978518E-2</v>
      </c>
      <c r="E546" s="206">
        <v>96.099997999999999</v>
      </c>
      <c r="F546" s="10">
        <f t="shared" si="17"/>
        <v>-1.8695575599247949E-3</v>
      </c>
    </row>
    <row r="547" spans="2:6" x14ac:dyDescent="0.25">
      <c r="B547" s="210">
        <v>43858</v>
      </c>
      <c r="C547" s="206">
        <v>326.89001500000001</v>
      </c>
      <c r="D547" s="207">
        <f t="shared" si="16"/>
        <v>1.0479180834621404E-2</v>
      </c>
      <c r="E547" s="206">
        <v>96.209998999999996</v>
      </c>
      <c r="F547" s="10">
        <f t="shared" si="17"/>
        <v>1.1446514286086451E-3</v>
      </c>
    </row>
    <row r="548" spans="2:6" x14ac:dyDescent="0.25">
      <c r="B548" s="210">
        <v>43859</v>
      </c>
      <c r="C548" s="206">
        <v>326.61999500000002</v>
      </c>
      <c r="D548" s="207">
        <f t="shared" si="16"/>
        <v>-8.260270660148672E-4</v>
      </c>
      <c r="E548" s="206">
        <v>96.75</v>
      </c>
      <c r="F548" s="10">
        <f t="shared" si="17"/>
        <v>5.6127326225208218E-3</v>
      </c>
    </row>
    <row r="549" spans="2:6" x14ac:dyDescent="0.25">
      <c r="B549" s="210">
        <v>43860</v>
      </c>
      <c r="C549" s="206">
        <v>327.67999300000002</v>
      </c>
      <c r="D549" s="207">
        <f t="shared" si="16"/>
        <v>3.2453555086240371E-3</v>
      </c>
      <c r="E549" s="206">
        <v>97.470000999999996</v>
      </c>
      <c r="F549" s="10">
        <f t="shared" si="17"/>
        <v>7.4418708010335344E-3</v>
      </c>
    </row>
    <row r="550" spans="2:6" x14ac:dyDescent="0.25">
      <c r="B550" s="210">
        <v>43861</v>
      </c>
      <c r="C550" s="206">
        <v>321.73001099999999</v>
      </c>
      <c r="D550" s="207">
        <f t="shared" si="16"/>
        <v>-1.8157904440629147E-2</v>
      </c>
      <c r="E550" s="206">
        <v>97.629997000000003</v>
      </c>
      <c r="F550" s="10">
        <f t="shared" si="17"/>
        <v>1.6414896722942718E-3</v>
      </c>
    </row>
    <row r="551" spans="2:6" x14ac:dyDescent="0.25">
      <c r="B551" s="210">
        <v>43864</v>
      </c>
      <c r="C551" s="206">
        <v>324.11999500000002</v>
      </c>
      <c r="D551" s="207">
        <f t="shared" si="16"/>
        <v>7.4285392045694287E-3</v>
      </c>
      <c r="E551" s="206">
        <v>97.669998000000007</v>
      </c>
      <c r="F551" s="10">
        <f t="shared" si="17"/>
        <v>4.0972038542630429E-4</v>
      </c>
    </row>
    <row r="552" spans="2:6" x14ac:dyDescent="0.25">
      <c r="B552" s="210">
        <v>43865</v>
      </c>
      <c r="C552" s="206">
        <v>329.05999800000001</v>
      </c>
      <c r="D552" s="207">
        <f t="shared" si="16"/>
        <v>1.5241278156875149E-2</v>
      </c>
      <c r="E552" s="206">
        <v>96.599997999999999</v>
      </c>
      <c r="F552" s="10">
        <f t="shared" si="17"/>
        <v>-1.0955257724076239E-2</v>
      </c>
    </row>
    <row r="553" spans="2:6" x14ac:dyDescent="0.25">
      <c r="B553" s="210">
        <v>43866</v>
      </c>
      <c r="C553" s="206">
        <v>332.85998499999999</v>
      </c>
      <c r="D553" s="207">
        <f t="shared" si="16"/>
        <v>1.1548006512781761E-2</v>
      </c>
      <c r="E553" s="206">
        <v>97.139999000000003</v>
      </c>
      <c r="F553" s="10">
        <f t="shared" si="17"/>
        <v>5.5900725795046124E-3</v>
      </c>
    </row>
    <row r="554" spans="2:6" x14ac:dyDescent="0.25">
      <c r="B554" s="210">
        <v>43867</v>
      </c>
      <c r="C554" s="206">
        <v>333.98001099999999</v>
      </c>
      <c r="D554" s="207">
        <f t="shared" si="16"/>
        <v>3.3648562472896604E-3</v>
      </c>
      <c r="E554" s="206">
        <v>96.93</v>
      </c>
      <c r="F554" s="10">
        <f t="shared" si="17"/>
        <v>-2.1618180169015178E-3</v>
      </c>
    </row>
    <row r="555" spans="2:6" x14ac:dyDescent="0.25">
      <c r="B555" s="210">
        <v>43868</v>
      </c>
      <c r="C555" s="206">
        <v>332.20001200000002</v>
      </c>
      <c r="D555" s="207">
        <f t="shared" si="16"/>
        <v>-5.3296572889806049E-3</v>
      </c>
      <c r="E555" s="206">
        <v>96.269997000000004</v>
      </c>
      <c r="F555" s="10">
        <f t="shared" si="17"/>
        <v>-6.8090683998762724E-3</v>
      </c>
    </row>
    <row r="556" spans="2:6" x14ac:dyDescent="0.25">
      <c r="B556" s="210">
        <v>43871</v>
      </c>
      <c r="C556" s="206">
        <v>334.67999300000002</v>
      </c>
      <c r="D556" s="207">
        <f t="shared" si="16"/>
        <v>7.465324835689735E-3</v>
      </c>
      <c r="E556" s="206">
        <v>96.230002999999996</v>
      </c>
      <c r="F556" s="10">
        <f t="shared" si="17"/>
        <v>-4.1543576655567183E-4</v>
      </c>
    </row>
    <row r="557" spans="2:6" x14ac:dyDescent="0.25">
      <c r="B557" s="210">
        <v>43872</v>
      </c>
      <c r="C557" s="206">
        <v>335.26001000000002</v>
      </c>
      <c r="D557" s="207">
        <f t="shared" si="16"/>
        <v>1.7330495163478954E-3</v>
      </c>
      <c r="E557" s="206">
        <v>96.989998</v>
      </c>
      <c r="F557" s="10">
        <f t="shared" si="17"/>
        <v>7.8976927809095709E-3</v>
      </c>
    </row>
    <row r="558" spans="2:6" x14ac:dyDescent="0.25">
      <c r="B558" s="210">
        <v>43873</v>
      </c>
      <c r="C558" s="206">
        <v>337.42001299999998</v>
      </c>
      <c r="D558" s="207">
        <f t="shared" si="16"/>
        <v>6.4427695984379252E-3</v>
      </c>
      <c r="E558" s="206">
        <v>97.919998000000007</v>
      </c>
      <c r="F558" s="10">
        <f t="shared" si="17"/>
        <v>9.5886175809591911E-3</v>
      </c>
    </row>
    <row r="559" spans="2:6" x14ac:dyDescent="0.25">
      <c r="B559" s="210">
        <v>43874</v>
      </c>
      <c r="C559" s="206">
        <v>337.05999800000001</v>
      </c>
      <c r="D559" s="207">
        <f t="shared" si="16"/>
        <v>-1.0669639799936181E-3</v>
      </c>
      <c r="E559" s="206">
        <v>100.110001</v>
      </c>
      <c r="F559" s="10">
        <f t="shared" si="17"/>
        <v>2.2365227172492341E-2</v>
      </c>
    </row>
    <row r="560" spans="2:6" x14ac:dyDescent="0.25">
      <c r="B560" s="210">
        <v>43875</v>
      </c>
      <c r="C560" s="206">
        <v>337.60000600000001</v>
      </c>
      <c r="D560" s="207">
        <f t="shared" si="16"/>
        <v>1.602112393058297E-3</v>
      </c>
      <c r="E560" s="206">
        <v>101.279999</v>
      </c>
      <c r="F560" s="10">
        <f t="shared" si="17"/>
        <v>1.1687124046677377E-2</v>
      </c>
    </row>
    <row r="561" spans="2:6" x14ac:dyDescent="0.25">
      <c r="B561" s="210">
        <v>43879</v>
      </c>
      <c r="C561" s="206">
        <v>336.73001099999999</v>
      </c>
      <c r="D561" s="207">
        <f t="shared" si="16"/>
        <v>-2.5769993617832387E-3</v>
      </c>
      <c r="E561" s="206">
        <v>102.019997</v>
      </c>
      <c r="F561" s="10">
        <f t="shared" si="17"/>
        <v>7.3064574181127551E-3</v>
      </c>
    </row>
    <row r="562" spans="2:6" x14ac:dyDescent="0.25">
      <c r="B562" s="210">
        <v>43880</v>
      </c>
      <c r="C562" s="206">
        <v>338.33999599999999</v>
      </c>
      <c r="D562" s="207">
        <f t="shared" si="16"/>
        <v>4.781234067075868E-3</v>
      </c>
      <c r="E562" s="206">
        <v>101.41999800000001</v>
      </c>
      <c r="F562" s="10">
        <f t="shared" si="17"/>
        <v>-5.8811901356946583E-3</v>
      </c>
    </row>
    <row r="563" spans="2:6" x14ac:dyDescent="0.25">
      <c r="B563" s="210">
        <v>43881</v>
      </c>
      <c r="C563" s="206">
        <v>336.95001200000002</v>
      </c>
      <c r="D563" s="207">
        <f t="shared" si="16"/>
        <v>-4.1082461915025181E-3</v>
      </c>
      <c r="E563" s="206">
        <v>101.43</v>
      </c>
      <c r="F563" s="10">
        <f t="shared" si="17"/>
        <v>9.8619603601246553E-5</v>
      </c>
    </row>
    <row r="564" spans="2:6" x14ac:dyDescent="0.25">
      <c r="B564" s="210">
        <v>43882</v>
      </c>
      <c r="C564" s="206">
        <v>333.48001099999999</v>
      </c>
      <c r="D564" s="207">
        <f t="shared" si="16"/>
        <v>-1.0298266438405812E-2</v>
      </c>
      <c r="E564" s="206">
        <v>102.43</v>
      </c>
      <c r="F564" s="10">
        <f t="shared" si="17"/>
        <v>9.8590160701961249E-3</v>
      </c>
    </row>
    <row r="565" spans="2:6" x14ac:dyDescent="0.25">
      <c r="B565" s="210">
        <v>43885</v>
      </c>
      <c r="C565" s="206">
        <v>322.42001299999998</v>
      </c>
      <c r="D565" s="207">
        <f t="shared" si="16"/>
        <v>-3.3165400129484879E-2</v>
      </c>
      <c r="E565" s="206">
        <v>102.300003</v>
      </c>
      <c r="F565" s="10">
        <f t="shared" si="17"/>
        <v>-1.2691301376550612E-3</v>
      </c>
    </row>
    <row r="566" spans="2:6" x14ac:dyDescent="0.25">
      <c r="B566" s="210">
        <v>43886</v>
      </c>
      <c r="C566" s="206">
        <v>312.64999399999999</v>
      </c>
      <c r="D566" s="207">
        <f t="shared" si="16"/>
        <v>-3.0302148148601438E-2</v>
      </c>
      <c r="E566" s="206">
        <v>99.269997000000004</v>
      </c>
      <c r="F566" s="10">
        <f t="shared" si="17"/>
        <v>-2.9618826110884844E-2</v>
      </c>
    </row>
    <row r="567" spans="2:6" x14ac:dyDescent="0.25">
      <c r="B567" s="210">
        <v>43887</v>
      </c>
      <c r="C567" s="206">
        <v>311.5</v>
      </c>
      <c r="D567" s="207">
        <f t="shared" si="16"/>
        <v>-3.6782153272646445E-3</v>
      </c>
      <c r="E567" s="206">
        <v>98.940002000000007</v>
      </c>
      <c r="F567" s="10">
        <f t="shared" si="17"/>
        <v>-3.3242168829721308E-3</v>
      </c>
    </row>
    <row r="568" spans="2:6" x14ac:dyDescent="0.25">
      <c r="B568" s="210">
        <v>43888</v>
      </c>
      <c r="C568" s="206">
        <v>297.51001000000002</v>
      </c>
      <c r="D568" s="207">
        <f t="shared" si="16"/>
        <v>-4.4911685393258405E-2</v>
      </c>
      <c r="E568" s="206">
        <v>94.989998</v>
      </c>
      <c r="F568" s="10">
        <f t="shared" si="17"/>
        <v>-3.992322539067672E-2</v>
      </c>
    </row>
    <row r="569" spans="2:6" x14ac:dyDescent="0.25">
      <c r="B569" s="210">
        <v>43889</v>
      </c>
      <c r="C569" s="206">
        <v>296.26001000000002</v>
      </c>
      <c r="D569" s="207">
        <f t="shared" si="16"/>
        <v>-4.2015393028288495E-3</v>
      </c>
      <c r="E569" s="206">
        <v>91.699996999999996</v>
      </c>
      <c r="F569" s="10">
        <f t="shared" si="17"/>
        <v>-3.4635236017164672E-2</v>
      </c>
    </row>
    <row r="570" spans="2:6" x14ac:dyDescent="0.25">
      <c r="B570" s="210">
        <v>43892</v>
      </c>
      <c r="C570" s="206">
        <v>309.08999599999999</v>
      </c>
      <c r="D570" s="207">
        <f t="shared" si="16"/>
        <v>4.3306506335431427E-2</v>
      </c>
      <c r="E570" s="206">
        <v>96.669998000000007</v>
      </c>
      <c r="F570" s="10">
        <f t="shared" si="17"/>
        <v>5.41984859606921E-2</v>
      </c>
    </row>
    <row r="571" spans="2:6" x14ac:dyDescent="0.25">
      <c r="B571" s="210">
        <v>43893</v>
      </c>
      <c r="C571" s="206">
        <v>300.23998999999998</v>
      </c>
      <c r="D571" s="207">
        <f t="shared" si="16"/>
        <v>-2.8632456936587558E-2</v>
      </c>
      <c r="E571" s="206">
        <v>95.610000999999997</v>
      </c>
      <c r="F571" s="10">
        <f t="shared" si="17"/>
        <v>-1.0965108326577266E-2</v>
      </c>
    </row>
    <row r="572" spans="2:6" x14ac:dyDescent="0.25">
      <c r="B572" s="210">
        <v>43894</v>
      </c>
      <c r="C572" s="206">
        <v>312.85998499999999</v>
      </c>
      <c r="D572" s="207">
        <f t="shared" si="16"/>
        <v>4.2033024981116052E-2</v>
      </c>
      <c r="E572" s="206">
        <v>101.650002</v>
      </c>
      <c r="F572" s="10">
        <f t="shared" si="17"/>
        <v>6.3173318029773995E-2</v>
      </c>
    </row>
    <row r="573" spans="2:6" x14ac:dyDescent="0.25">
      <c r="B573" s="210">
        <v>43895</v>
      </c>
      <c r="C573" s="206">
        <v>302.459991</v>
      </c>
      <c r="D573" s="207">
        <f t="shared" si="16"/>
        <v>-3.3241687971058309E-2</v>
      </c>
      <c r="E573" s="206">
        <v>100.129997</v>
      </c>
      <c r="F573" s="10">
        <f t="shared" si="17"/>
        <v>-1.4953319922217045E-2</v>
      </c>
    </row>
    <row r="574" spans="2:6" x14ac:dyDescent="0.25">
      <c r="B574" s="210">
        <v>43896</v>
      </c>
      <c r="C574" s="206">
        <v>297.459991</v>
      </c>
      <c r="D574" s="207">
        <f t="shared" si="16"/>
        <v>-1.6531112043840501E-2</v>
      </c>
      <c r="E574" s="206">
        <v>99.050003000000004</v>
      </c>
      <c r="F574" s="10">
        <f t="shared" si="17"/>
        <v>-1.0785918629359403E-2</v>
      </c>
    </row>
    <row r="575" spans="2:6" x14ac:dyDescent="0.25">
      <c r="B575" s="210">
        <v>43899</v>
      </c>
      <c r="C575" s="206">
        <v>274.23001099999999</v>
      </c>
      <c r="D575" s="207">
        <f t="shared" si="16"/>
        <v>-7.8094468845727905E-2</v>
      </c>
      <c r="E575" s="206">
        <v>94.580001999999993</v>
      </c>
      <c r="F575" s="10">
        <f t="shared" si="17"/>
        <v>-4.512873159630304E-2</v>
      </c>
    </row>
    <row r="576" spans="2:6" x14ac:dyDescent="0.25">
      <c r="B576" s="210">
        <v>43900</v>
      </c>
      <c r="C576" s="206">
        <v>288.42001299999998</v>
      </c>
      <c r="D576" s="207">
        <f t="shared" si="16"/>
        <v>5.1744890897444495E-2</v>
      </c>
      <c r="E576" s="206">
        <v>95.050003000000004</v>
      </c>
      <c r="F576" s="10">
        <f t="shared" si="17"/>
        <v>4.969348594431322E-3</v>
      </c>
    </row>
    <row r="577" spans="2:6" x14ac:dyDescent="0.25">
      <c r="B577" s="210">
        <v>43901</v>
      </c>
      <c r="C577" s="206">
        <v>274.35998499999999</v>
      </c>
      <c r="D577" s="207">
        <f t="shared" si="16"/>
        <v>-4.8748447979579002E-2</v>
      </c>
      <c r="E577" s="206">
        <v>90.940002000000007</v>
      </c>
      <c r="F577" s="10">
        <f t="shared" si="17"/>
        <v>-4.3240408945594666E-2</v>
      </c>
    </row>
    <row r="578" spans="2:6" x14ac:dyDescent="0.25">
      <c r="B578" s="210">
        <v>43902</v>
      </c>
      <c r="C578" s="206">
        <v>248.11000100000001</v>
      </c>
      <c r="D578" s="207">
        <f t="shared" si="16"/>
        <v>-9.5677159335024742E-2</v>
      </c>
      <c r="E578" s="206">
        <v>80.480002999999996</v>
      </c>
      <c r="F578" s="10">
        <f t="shared" si="17"/>
        <v>-0.11502087937055472</v>
      </c>
    </row>
    <row r="579" spans="2:6" x14ac:dyDescent="0.25">
      <c r="B579" s="210">
        <v>43903</v>
      </c>
      <c r="C579" s="206">
        <v>269.32000699999998</v>
      </c>
      <c r="D579" s="207">
        <f t="shared" si="16"/>
        <v>8.5486300086710099E-2</v>
      </c>
      <c r="E579" s="206">
        <v>85.769997000000004</v>
      </c>
      <c r="F579" s="10">
        <f t="shared" si="17"/>
        <v>6.5730539299309054E-2</v>
      </c>
    </row>
    <row r="580" spans="2:6" x14ac:dyDescent="0.25">
      <c r="B580" s="210">
        <v>43906</v>
      </c>
      <c r="C580" s="206">
        <v>239.85000600000001</v>
      </c>
      <c r="D580" s="207">
        <f t="shared" si="16"/>
        <v>-0.1094237347171908</v>
      </c>
      <c r="E580" s="206">
        <v>76.580001999999993</v>
      </c>
      <c r="F580" s="10">
        <f t="shared" si="17"/>
        <v>-0.10714696655521638</v>
      </c>
    </row>
    <row r="581" spans="2:6" x14ac:dyDescent="0.25">
      <c r="B581" s="210">
        <v>43907</v>
      </c>
      <c r="C581" s="206">
        <v>252.800003</v>
      </c>
      <c r="D581" s="207">
        <f t="shared" ref="D581:D644" si="18">C581/C580-1</f>
        <v>5.3992064523859185E-2</v>
      </c>
      <c r="E581" s="206">
        <v>86</v>
      </c>
      <c r="F581" s="10">
        <f t="shared" ref="F581:F644" si="19">E581/E580-1</f>
        <v>0.12300858910920387</v>
      </c>
    </row>
    <row r="582" spans="2:6" x14ac:dyDescent="0.25">
      <c r="B582" s="210">
        <v>43908</v>
      </c>
      <c r="C582" s="206">
        <v>240</v>
      </c>
      <c r="D582" s="207">
        <f t="shared" si="18"/>
        <v>-5.0632922658628288E-2</v>
      </c>
      <c r="E582" s="206">
        <v>79.279999000000004</v>
      </c>
      <c r="F582" s="10">
        <f t="shared" si="19"/>
        <v>-7.8139546511627911E-2</v>
      </c>
    </row>
    <row r="583" spans="2:6" x14ac:dyDescent="0.25">
      <c r="B583" s="210">
        <v>43909</v>
      </c>
      <c r="C583" s="206">
        <v>240.509995</v>
      </c>
      <c r="D583" s="207">
        <f t="shared" si="18"/>
        <v>2.1249791666666518E-3</v>
      </c>
      <c r="E583" s="206">
        <v>75.050003000000004</v>
      </c>
      <c r="F583" s="10">
        <f t="shared" si="19"/>
        <v>-5.3355146989848001E-2</v>
      </c>
    </row>
    <row r="584" spans="2:6" x14ac:dyDescent="0.25">
      <c r="B584" s="210">
        <v>43910</v>
      </c>
      <c r="C584" s="206">
        <v>228.800003</v>
      </c>
      <c r="D584" s="207">
        <f t="shared" si="18"/>
        <v>-4.8688171982208095E-2</v>
      </c>
      <c r="E584" s="206">
        <v>68.400002000000001</v>
      </c>
      <c r="F584" s="10">
        <f t="shared" si="19"/>
        <v>-8.860760471921636E-2</v>
      </c>
    </row>
    <row r="585" spans="2:6" x14ac:dyDescent="0.25">
      <c r="B585" s="210">
        <v>43913</v>
      </c>
      <c r="C585" s="206">
        <v>222.949997</v>
      </c>
      <c r="D585" s="207">
        <f t="shared" si="18"/>
        <v>-2.5568207706710644E-2</v>
      </c>
      <c r="E585" s="206">
        <v>64.150002000000001</v>
      </c>
      <c r="F585" s="10">
        <f t="shared" si="19"/>
        <v>-6.213450110717833E-2</v>
      </c>
    </row>
    <row r="586" spans="2:6" x14ac:dyDescent="0.25">
      <c r="B586" s="210">
        <v>43914</v>
      </c>
      <c r="C586" s="206">
        <v>243.14999399999999</v>
      </c>
      <c r="D586" s="207">
        <f t="shared" si="18"/>
        <v>9.0603262039963051E-2</v>
      </c>
      <c r="E586" s="206">
        <v>71.5</v>
      </c>
      <c r="F586" s="10">
        <f t="shared" si="19"/>
        <v>0.11457517959235597</v>
      </c>
    </row>
    <row r="587" spans="2:6" x14ac:dyDescent="0.25">
      <c r="B587" s="210">
        <v>43915</v>
      </c>
      <c r="C587" s="206">
        <v>246.78999300000001</v>
      </c>
      <c r="D587" s="207">
        <f t="shared" si="18"/>
        <v>1.4970179271318607E-2</v>
      </c>
      <c r="E587" s="206">
        <v>74.709998999999996</v>
      </c>
      <c r="F587" s="10">
        <f t="shared" si="19"/>
        <v>4.4895090909090829E-2</v>
      </c>
    </row>
    <row r="588" spans="2:6" x14ac:dyDescent="0.25">
      <c r="B588" s="210">
        <v>43916</v>
      </c>
      <c r="C588" s="206">
        <v>261.20001200000002</v>
      </c>
      <c r="D588" s="207">
        <f t="shared" si="18"/>
        <v>5.8389802701602989E-2</v>
      </c>
      <c r="E588" s="206">
        <v>81.190002000000007</v>
      </c>
      <c r="F588" s="10">
        <f t="shared" si="19"/>
        <v>8.6735418106484108E-2</v>
      </c>
    </row>
    <row r="589" spans="2:6" x14ac:dyDescent="0.25">
      <c r="B589" s="210">
        <v>43917</v>
      </c>
      <c r="C589" s="206">
        <v>253.41999799999999</v>
      </c>
      <c r="D589" s="207">
        <f t="shared" si="18"/>
        <v>-2.9785657130827481E-2</v>
      </c>
      <c r="E589" s="206">
        <v>80.190002000000007</v>
      </c>
      <c r="F589" s="10">
        <f t="shared" si="19"/>
        <v>-1.2316787478339974E-2</v>
      </c>
    </row>
    <row r="590" spans="2:6" x14ac:dyDescent="0.25">
      <c r="B590" s="210">
        <v>43920</v>
      </c>
      <c r="C590" s="206">
        <v>261.64999399999999</v>
      </c>
      <c r="D590" s="207">
        <f t="shared" si="18"/>
        <v>3.2475716458651327E-2</v>
      </c>
      <c r="E590" s="206">
        <v>83.459998999999996</v>
      </c>
      <c r="F590" s="10">
        <f t="shared" si="19"/>
        <v>4.0778113461076959E-2</v>
      </c>
    </row>
    <row r="591" spans="2:6" x14ac:dyDescent="0.25">
      <c r="B591" s="210">
        <v>43921</v>
      </c>
      <c r="C591" s="206">
        <v>257.75</v>
      </c>
      <c r="D591" s="207">
        <f t="shared" si="18"/>
        <v>-1.490538539817432E-2</v>
      </c>
      <c r="E591" s="206">
        <v>80.879997000000003</v>
      </c>
      <c r="F591" s="10">
        <f t="shared" si="19"/>
        <v>-3.0913036555392126E-2</v>
      </c>
    </row>
    <row r="592" spans="2:6" x14ac:dyDescent="0.25">
      <c r="B592" s="210">
        <v>43922</v>
      </c>
      <c r="C592" s="206">
        <v>246.14999399999999</v>
      </c>
      <c r="D592" s="207">
        <f t="shared" si="18"/>
        <v>-4.5004872938894325E-2</v>
      </c>
      <c r="E592" s="206">
        <v>77.569999999999993</v>
      </c>
      <c r="F592" s="10">
        <f t="shared" si="19"/>
        <v>-4.0924791330049226E-2</v>
      </c>
    </row>
    <row r="593" spans="2:6" x14ac:dyDescent="0.25">
      <c r="B593" s="210">
        <v>43923</v>
      </c>
      <c r="C593" s="206">
        <v>251.83000200000001</v>
      </c>
      <c r="D593" s="207">
        <f t="shared" si="18"/>
        <v>2.3075393615487938E-2</v>
      </c>
      <c r="E593" s="206">
        <v>79.389999000000003</v>
      </c>
      <c r="F593" s="10">
        <f t="shared" si="19"/>
        <v>2.3462665979115727E-2</v>
      </c>
    </row>
    <row r="594" spans="2:6" x14ac:dyDescent="0.25">
      <c r="B594" s="210">
        <v>43924</v>
      </c>
      <c r="C594" s="206">
        <v>248.19000199999999</v>
      </c>
      <c r="D594" s="207">
        <f t="shared" si="18"/>
        <v>-1.4454195175680473E-2</v>
      </c>
      <c r="E594" s="206">
        <v>76.019997000000004</v>
      </c>
      <c r="F594" s="10">
        <f t="shared" si="19"/>
        <v>-4.2448696844044509E-2</v>
      </c>
    </row>
    <row r="595" spans="2:6" x14ac:dyDescent="0.25">
      <c r="B595" s="210">
        <v>43927</v>
      </c>
      <c r="C595" s="206">
        <v>264.85998499999999</v>
      </c>
      <c r="D595" s="207">
        <f t="shared" si="18"/>
        <v>6.7166214858243922E-2</v>
      </c>
      <c r="E595" s="206">
        <v>81.25</v>
      </c>
      <c r="F595" s="10">
        <f t="shared" si="19"/>
        <v>6.8797726998068631E-2</v>
      </c>
    </row>
    <row r="596" spans="2:6" x14ac:dyDescent="0.25">
      <c r="B596" s="210">
        <v>43928</v>
      </c>
      <c r="C596" s="206">
        <v>265.13000499999998</v>
      </c>
      <c r="D596" s="207">
        <f t="shared" si="18"/>
        <v>1.0194820482225531E-3</v>
      </c>
      <c r="E596" s="206">
        <v>80.110000999999997</v>
      </c>
      <c r="F596" s="10">
        <f t="shared" si="19"/>
        <v>-1.4030756923076981E-2</v>
      </c>
    </row>
    <row r="597" spans="2:6" x14ac:dyDescent="0.25">
      <c r="B597" s="210">
        <v>43929</v>
      </c>
      <c r="C597" s="206">
        <v>274.02999899999998</v>
      </c>
      <c r="D597" s="207">
        <f t="shared" si="18"/>
        <v>3.3568414861230078E-2</v>
      </c>
      <c r="E597" s="206">
        <v>85.5</v>
      </c>
      <c r="F597" s="10">
        <f t="shared" si="19"/>
        <v>6.7282473258239106E-2</v>
      </c>
    </row>
    <row r="598" spans="2:6" x14ac:dyDescent="0.25">
      <c r="B598" s="210">
        <v>43930</v>
      </c>
      <c r="C598" s="206">
        <v>278.20001200000002</v>
      </c>
      <c r="D598" s="207">
        <f t="shared" si="18"/>
        <v>1.5217359468734815E-2</v>
      </c>
      <c r="E598" s="206">
        <v>90.309997999999993</v>
      </c>
      <c r="F598" s="10">
        <f t="shared" si="19"/>
        <v>5.6257286549707519E-2</v>
      </c>
    </row>
    <row r="599" spans="2:6" x14ac:dyDescent="0.25">
      <c r="B599" s="210">
        <v>43934</v>
      </c>
      <c r="C599" s="206">
        <v>275.66000400000001</v>
      </c>
      <c r="D599" s="207">
        <f t="shared" si="18"/>
        <v>-9.1301505767008573E-3</v>
      </c>
      <c r="E599" s="206">
        <v>87.360000999999997</v>
      </c>
      <c r="F599" s="10">
        <f t="shared" si="19"/>
        <v>-3.2665231594845134E-2</v>
      </c>
    </row>
    <row r="600" spans="2:6" x14ac:dyDescent="0.25">
      <c r="B600" s="210">
        <v>43935</v>
      </c>
      <c r="C600" s="206">
        <v>283.790009</v>
      </c>
      <c r="D600" s="207">
        <f t="shared" si="18"/>
        <v>2.9492871225526018E-2</v>
      </c>
      <c r="E600" s="206">
        <v>90.419998000000007</v>
      </c>
      <c r="F600" s="10">
        <f t="shared" si="19"/>
        <v>3.5027437785858151E-2</v>
      </c>
    </row>
    <row r="601" spans="2:6" x14ac:dyDescent="0.25">
      <c r="B601" s="210">
        <v>43936</v>
      </c>
      <c r="C601" s="206">
        <v>277.76001000000002</v>
      </c>
      <c r="D601" s="207">
        <f t="shared" si="18"/>
        <v>-2.124810179628267E-2</v>
      </c>
      <c r="E601" s="206">
        <v>87.540001000000004</v>
      </c>
      <c r="F601" s="10">
        <f t="shared" si="19"/>
        <v>-3.1851327844532817E-2</v>
      </c>
    </row>
    <row r="602" spans="2:6" x14ac:dyDescent="0.25">
      <c r="B602" s="210">
        <v>43937</v>
      </c>
      <c r="C602" s="206">
        <v>279.10000600000001</v>
      </c>
      <c r="D602" s="207">
        <f t="shared" si="18"/>
        <v>4.8242941811529327E-3</v>
      </c>
      <c r="E602" s="206">
        <v>87.589995999999999</v>
      </c>
      <c r="F602" s="10">
        <f t="shared" si="19"/>
        <v>5.7111034303036767E-4</v>
      </c>
    </row>
    <row r="603" spans="2:6" x14ac:dyDescent="0.25">
      <c r="B603" s="210">
        <v>43938</v>
      </c>
      <c r="C603" s="206">
        <v>286.64001500000001</v>
      </c>
      <c r="D603" s="207">
        <f t="shared" si="18"/>
        <v>2.7015438330015629E-2</v>
      </c>
      <c r="E603" s="206">
        <v>90.099997999999999</v>
      </c>
      <c r="F603" s="10">
        <f t="shared" si="19"/>
        <v>2.8656263439034824E-2</v>
      </c>
    </row>
    <row r="604" spans="2:6" x14ac:dyDescent="0.25">
      <c r="B604" s="210">
        <v>43941</v>
      </c>
      <c r="C604" s="206">
        <v>281.58999599999999</v>
      </c>
      <c r="D604" s="207">
        <f t="shared" si="18"/>
        <v>-1.7617983309134333E-2</v>
      </c>
      <c r="E604" s="206">
        <v>86.650002000000001</v>
      </c>
      <c r="F604" s="10">
        <f t="shared" si="19"/>
        <v>-3.8290744468163052E-2</v>
      </c>
    </row>
    <row r="605" spans="2:6" x14ac:dyDescent="0.25">
      <c r="B605" s="210">
        <v>43942</v>
      </c>
      <c r="C605" s="206">
        <v>273.040009</v>
      </c>
      <c r="D605" s="207">
        <f t="shared" si="18"/>
        <v>-3.0363248415969935E-2</v>
      </c>
      <c r="E605" s="206">
        <v>85.440002000000007</v>
      </c>
      <c r="F605" s="10">
        <f t="shared" si="19"/>
        <v>-1.3964223566896083E-2</v>
      </c>
    </row>
    <row r="606" spans="2:6" x14ac:dyDescent="0.25">
      <c r="B606" s="210">
        <v>43943</v>
      </c>
      <c r="C606" s="206">
        <v>279.10000600000001</v>
      </c>
      <c r="D606" s="207">
        <f t="shared" si="18"/>
        <v>2.2194538530065699E-2</v>
      </c>
      <c r="E606" s="206">
        <v>87.150002000000001</v>
      </c>
      <c r="F606" s="10">
        <f t="shared" si="19"/>
        <v>2.0014044475326509E-2</v>
      </c>
    </row>
    <row r="607" spans="2:6" x14ac:dyDescent="0.25">
      <c r="B607" s="210">
        <v>43944</v>
      </c>
      <c r="C607" s="206">
        <v>279.07998700000002</v>
      </c>
      <c r="D607" s="207">
        <f t="shared" si="18"/>
        <v>-7.1726978035258071E-5</v>
      </c>
      <c r="E607" s="206">
        <v>85.120002999999997</v>
      </c>
      <c r="F607" s="10">
        <f t="shared" si="19"/>
        <v>-2.3293160681740477E-2</v>
      </c>
    </row>
    <row r="608" spans="2:6" x14ac:dyDescent="0.25">
      <c r="B608" s="210">
        <v>43945</v>
      </c>
      <c r="C608" s="206">
        <v>282.97000100000002</v>
      </c>
      <c r="D608" s="207">
        <f t="shared" si="18"/>
        <v>1.393870639674355E-2</v>
      </c>
      <c r="E608" s="206">
        <v>85.690002000000007</v>
      </c>
      <c r="F608" s="10">
        <f t="shared" si="19"/>
        <v>6.6964165872973602E-3</v>
      </c>
    </row>
    <row r="609" spans="2:6" x14ac:dyDescent="0.25">
      <c r="B609" s="210">
        <v>43948</v>
      </c>
      <c r="C609" s="206">
        <v>287.04998799999998</v>
      </c>
      <c r="D609" s="207">
        <f t="shared" si="18"/>
        <v>1.44184436003163E-2</v>
      </c>
      <c r="E609" s="206">
        <v>86.75</v>
      </c>
      <c r="F609" s="10">
        <f t="shared" si="19"/>
        <v>1.2370147919940511E-2</v>
      </c>
    </row>
    <row r="610" spans="2:6" x14ac:dyDescent="0.25">
      <c r="B610" s="210">
        <v>43949</v>
      </c>
      <c r="C610" s="206">
        <v>285.73001099999999</v>
      </c>
      <c r="D610" s="207">
        <f t="shared" si="18"/>
        <v>-4.5984220699566425E-3</v>
      </c>
      <c r="E610" s="206">
        <v>87.629997000000003</v>
      </c>
      <c r="F610" s="10">
        <f t="shared" si="19"/>
        <v>1.0144057636887638E-2</v>
      </c>
    </row>
    <row r="611" spans="2:6" x14ac:dyDescent="0.25">
      <c r="B611" s="210">
        <v>43950</v>
      </c>
      <c r="C611" s="206">
        <v>293.209991</v>
      </c>
      <c r="D611" s="207">
        <f t="shared" si="18"/>
        <v>2.6178489175223474E-2</v>
      </c>
      <c r="E611" s="206">
        <v>86.629997000000003</v>
      </c>
      <c r="F611" s="10">
        <f t="shared" si="19"/>
        <v>-1.1411617416807629E-2</v>
      </c>
    </row>
    <row r="612" spans="2:6" x14ac:dyDescent="0.25">
      <c r="B612" s="210">
        <v>43951</v>
      </c>
      <c r="C612" s="206">
        <v>290.48001099999999</v>
      </c>
      <c r="D612" s="207">
        <f t="shared" si="18"/>
        <v>-9.3106649970874367E-3</v>
      </c>
      <c r="E612" s="206">
        <v>84.660004000000001</v>
      </c>
      <c r="F612" s="10">
        <f t="shared" si="19"/>
        <v>-2.2740310149150789E-2</v>
      </c>
    </row>
    <row r="613" spans="2:6" x14ac:dyDescent="0.25">
      <c r="B613" s="210">
        <v>43952</v>
      </c>
      <c r="C613" s="206">
        <v>282.790009</v>
      </c>
      <c r="D613" s="207">
        <f t="shared" si="18"/>
        <v>-2.6473429182016894E-2</v>
      </c>
      <c r="E613" s="206">
        <v>82.639999000000003</v>
      </c>
      <c r="F613" s="10">
        <f t="shared" si="19"/>
        <v>-2.386020440065173E-2</v>
      </c>
    </row>
    <row r="614" spans="2:6" x14ac:dyDescent="0.25">
      <c r="B614" s="210">
        <v>43955</v>
      </c>
      <c r="C614" s="206">
        <v>283.57000699999998</v>
      </c>
      <c r="D614" s="207">
        <f t="shared" si="18"/>
        <v>2.7582233288869773E-3</v>
      </c>
      <c r="E614" s="206">
        <v>82.629997000000003</v>
      </c>
      <c r="F614" s="10">
        <f t="shared" si="19"/>
        <v>-1.2103097919935468E-4</v>
      </c>
    </row>
    <row r="615" spans="2:6" x14ac:dyDescent="0.25">
      <c r="B615" s="210">
        <v>43956</v>
      </c>
      <c r="C615" s="206">
        <v>286.19000199999999</v>
      </c>
      <c r="D615" s="207">
        <f t="shared" si="18"/>
        <v>9.2393233957215326E-3</v>
      </c>
      <c r="E615" s="206">
        <v>83.139999000000003</v>
      </c>
      <c r="F615" s="10">
        <f t="shared" si="19"/>
        <v>6.1721168887372002E-3</v>
      </c>
    </row>
    <row r="616" spans="2:6" x14ac:dyDescent="0.25">
      <c r="B616" s="210">
        <v>43957</v>
      </c>
      <c r="C616" s="206">
        <v>284.25</v>
      </c>
      <c r="D616" s="207">
        <f t="shared" si="18"/>
        <v>-6.7787203831110032E-3</v>
      </c>
      <c r="E616" s="206">
        <v>80.069999999999993</v>
      </c>
      <c r="F616" s="10">
        <f t="shared" si="19"/>
        <v>-3.692565596494668E-2</v>
      </c>
    </row>
    <row r="617" spans="2:6" x14ac:dyDescent="0.25">
      <c r="B617" s="210">
        <v>43958</v>
      </c>
      <c r="C617" s="206">
        <v>287.67999300000002</v>
      </c>
      <c r="D617" s="207">
        <f t="shared" si="18"/>
        <v>1.2066817941952523E-2</v>
      </c>
      <c r="E617" s="206">
        <v>80.309997999999993</v>
      </c>
      <c r="F617" s="10">
        <f t="shared" si="19"/>
        <v>2.9973523167228233E-3</v>
      </c>
    </row>
    <row r="618" spans="2:6" x14ac:dyDescent="0.25">
      <c r="B618" s="210">
        <v>43959</v>
      </c>
      <c r="C618" s="206">
        <v>292.44000199999999</v>
      </c>
      <c r="D618" s="207">
        <f t="shared" si="18"/>
        <v>1.654619409004221E-2</v>
      </c>
      <c r="E618" s="206">
        <v>81.779999000000004</v>
      </c>
      <c r="F618" s="10">
        <f t="shared" si="19"/>
        <v>1.8304084629662265E-2</v>
      </c>
    </row>
    <row r="619" spans="2:6" x14ac:dyDescent="0.25">
      <c r="B619" s="210">
        <v>43962</v>
      </c>
      <c r="C619" s="206">
        <v>292.5</v>
      </c>
      <c r="D619" s="207">
        <f t="shared" si="18"/>
        <v>2.0516345092902455E-4</v>
      </c>
      <c r="E619" s="206">
        <v>81.660004000000001</v>
      </c>
      <c r="F619" s="10">
        <f t="shared" si="19"/>
        <v>-1.46729030896664E-3</v>
      </c>
    </row>
    <row r="620" spans="2:6" x14ac:dyDescent="0.25">
      <c r="B620" s="210">
        <v>43963</v>
      </c>
      <c r="C620" s="206">
        <v>286.67001299999998</v>
      </c>
      <c r="D620" s="207">
        <f t="shared" si="18"/>
        <v>-1.9931579487179496E-2</v>
      </c>
      <c r="E620" s="206">
        <v>81.879997000000003</v>
      </c>
      <c r="F620" s="10">
        <f t="shared" si="19"/>
        <v>2.694011624099435E-3</v>
      </c>
    </row>
    <row r="621" spans="2:6" x14ac:dyDescent="0.25">
      <c r="B621" s="210">
        <v>43964</v>
      </c>
      <c r="C621" s="206">
        <v>281.60000600000001</v>
      </c>
      <c r="D621" s="207">
        <f t="shared" si="18"/>
        <v>-1.768586447861209E-2</v>
      </c>
      <c r="E621" s="206">
        <v>81.889999000000003</v>
      </c>
      <c r="F621" s="10">
        <f t="shared" si="19"/>
        <v>1.2215437672757901E-4</v>
      </c>
    </row>
    <row r="622" spans="2:6" x14ac:dyDescent="0.25">
      <c r="B622" s="210">
        <v>43965</v>
      </c>
      <c r="C622" s="206">
        <v>284.97000100000002</v>
      </c>
      <c r="D622" s="207">
        <f t="shared" si="18"/>
        <v>1.1967311534787362E-2</v>
      </c>
      <c r="E622" s="206">
        <v>82.300003000000004</v>
      </c>
      <c r="F622" s="10">
        <f t="shared" si="19"/>
        <v>5.0067652339329527E-3</v>
      </c>
    </row>
    <row r="623" spans="2:6" x14ac:dyDescent="0.25">
      <c r="B623" s="210">
        <v>43966</v>
      </c>
      <c r="C623" s="206">
        <v>286.27999899999998</v>
      </c>
      <c r="D623" s="207">
        <f t="shared" si="18"/>
        <v>4.5969680857738116E-3</v>
      </c>
      <c r="E623" s="206">
        <v>81.190002000000007</v>
      </c>
      <c r="F623" s="10">
        <f t="shared" si="19"/>
        <v>-1.3487253457329706E-2</v>
      </c>
    </row>
    <row r="624" spans="2:6" x14ac:dyDescent="0.25">
      <c r="B624" s="210">
        <v>43969</v>
      </c>
      <c r="C624" s="206">
        <v>295</v>
      </c>
      <c r="D624" s="207">
        <f t="shared" si="18"/>
        <v>3.0459693413650069E-2</v>
      </c>
      <c r="E624" s="206">
        <v>84.919998000000007</v>
      </c>
      <c r="F624" s="10">
        <f t="shared" si="19"/>
        <v>4.5941568027058288E-2</v>
      </c>
    </row>
    <row r="625" spans="2:6" x14ac:dyDescent="0.25">
      <c r="B625" s="210">
        <v>43970</v>
      </c>
      <c r="C625" s="206">
        <v>291.97000100000002</v>
      </c>
      <c r="D625" s="207">
        <f t="shared" si="18"/>
        <v>-1.0271183050847399E-2</v>
      </c>
      <c r="E625" s="206">
        <v>83.290001000000004</v>
      </c>
      <c r="F625" s="10">
        <f t="shared" si="19"/>
        <v>-1.9194501158608213E-2</v>
      </c>
    </row>
    <row r="626" spans="2:6" x14ac:dyDescent="0.25">
      <c r="B626" s="210">
        <v>43971</v>
      </c>
      <c r="C626" s="206">
        <v>296.92999300000002</v>
      </c>
      <c r="D626" s="207">
        <f t="shared" si="18"/>
        <v>1.6988019258868947E-2</v>
      </c>
      <c r="E626" s="206">
        <v>83.309997999999993</v>
      </c>
      <c r="F626" s="10">
        <f t="shared" si="19"/>
        <v>2.4008884331738756E-4</v>
      </c>
    </row>
    <row r="627" spans="2:6" x14ac:dyDescent="0.25">
      <c r="B627" s="210">
        <v>43972</v>
      </c>
      <c r="C627" s="206">
        <v>294.88000499999998</v>
      </c>
      <c r="D627" s="207">
        <f t="shared" si="18"/>
        <v>-6.9039438531898201E-3</v>
      </c>
      <c r="E627" s="206">
        <v>82.339995999999999</v>
      </c>
      <c r="F627" s="10">
        <f t="shared" si="19"/>
        <v>-1.1643284399070475E-2</v>
      </c>
    </row>
    <row r="628" spans="2:6" x14ac:dyDescent="0.25">
      <c r="B628" s="210">
        <v>43973</v>
      </c>
      <c r="C628" s="206">
        <v>295.44000199999999</v>
      </c>
      <c r="D628" s="207">
        <f t="shared" si="18"/>
        <v>1.8990673850538542E-3</v>
      </c>
      <c r="E628" s="206">
        <v>83.230002999999996</v>
      </c>
      <c r="F628" s="10">
        <f t="shared" si="19"/>
        <v>1.0808926927807994E-2</v>
      </c>
    </row>
    <row r="629" spans="2:6" x14ac:dyDescent="0.25">
      <c r="B629" s="210">
        <v>43977</v>
      </c>
      <c r="C629" s="206">
        <v>299.07998700000002</v>
      </c>
      <c r="D629" s="207">
        <f t="shared" si="18"/>
        <v>1.2320555697802993E-2</v>
      </c>
      <c r="E629" s="206">
        <v>82.809997999999993</v>
      </c>
      <c r="F629" s="10">
        <f t="shared" si="19"/>
        <v>-5.0463172517247745E-3</v>
      </c>
    </row>
    <row r="630" spans="2:6" x14ac:dyDescent="0.25">
      <c r="B630" s="210">
        <v>43978</v>
      </c>
      <c r="C630" s="206">
        <v>303.52999899999998</v>
      </c>
      <c r="D630" s="207">
        <f t="shared" si="18"/>
        <v>1.4879002920379136E-2</v>
      </c>
      <c r="E630" s="206">
        <v>83.720000999999996</v>
      </c>
      <c r="F630" s="10">
        <f t="shared" si="19"/>
        <v>1.0989047481923642E-2</v>
      </c>
    </row>
    <row r="631" spans="2:6" x14ac:dyDescent="0.25">
      <c r="B631" s="210">
        <v>43979</v>
      </c>
      <c r="C631" s="206">
        <v>302.97000100000002</v>
      </c>
      <c r="D631" s="207">
        <f t="shared" si="18"/>
        <v>-1.8449510817543091E-3</v>
      </c>
      <c r="E631" s="206">
        <v>85.830001999999993</v>
      </c>
      <c r="F631" s="10">
        <f t="shared" si="19"/>
        <v>2.5203069455290494E-2</v>
      </c>
    </row>
    <row r="632" spans="2:6" x14ac:dyDescent="0.25">
      <c r="B632" s="210">
        <v>43980</v>
      </c>
      <c r="C632" s="206">
        <v>304.32000699999998</v>
      </c>
      <c r="D632" s="207">
        <f t="shared" si="18"/>
        <v>4.4559065106910545E-3</v>
      </c>
      <c r="E632" s="206">
        <v>85.629997000000003</v>
      </c>
      <c r="F632" s="10">
        <f t="shared" si="19"/>
        <v>-2.3302457804904586E-3</v>
      </c>
    </row>
    <row r="633" spans="2:6" x14ac:dyDescent="0.25">
      <c r="B633" s="210">
        <v>43983</v>
      </c>
      <c r="C633" s="206">
        <v>305.54998799999998</v>
      </c>
      <c r="D633" s="207">
        <f t="shared" si="18"/>
        <v>4.0417355800075327E-3</v>
      </c>
      <c r="E633" s="206">
        <v>87.440002000000007</v>
      </c>
      <c r="F633" s="10">
        <f t="shared" si="19"/>
        <v>2.1137510958922467E-2</v>
      </c>
    </row>
    <row r="634" spans="2:6" x14ac:dyDescent="0.25">
      <c r="B634" s="210">
        <v>43984</v>
      </c>
      <c r="C634" s="206">
        <v>308.07998700000002</v>
      </c>
      <c r="D634" s="207">
        <f t="shared" si="18"/>
        <v>8.2801476005949226E-3</v>
      </c>
      <c r="E634" s="206">
        <v>87.669998000000007</v>
      </c>
      <c r="F634" s="10">
        <f t="shared" si="19"/>
        <v>2.6303293085470081E-3</v>
      </c>
    </row>
    <row r="635" spans="2:6" x14ac:dyDescent="0.25">
      <c r="B635" s="210">
        <v>43985</v>
      </c>
      <c r="C635" s="206">
        <v>312.17999300000002</v>
      </c>
      <c r="D635" s="207">
        <f t="shared" si="18"/>
        <v>1.3308251665175463E-2</v>
      </c>
      <c r="E635" s="206">
        <v>89.230002999999996</v>
      </c>
      <c r="F635" s="10">
        <f t="shared" si="19"/>
        <v>1.7794057666112861E-2</v>
      </c>
    </row>
    <row r="636" spans="2:6" x14ac:dyDescent="0.25">
      <c r="B636" s="210">
        <v>43986</v>
      </c>
      <c r="C636" s="206">
        <v>311.35998499999999</v>
      </c>
      <c r="D636" s="207">
        <f t="shared" si="18"/>
        <v>-2.6267154154239192E-3</v>
      </c>
      <c r="E636" s="206">
        <v>88.440002000000007</v>
      </c>
      <c r="F636" s="10">
        <f t="shared" si="19"/>
        <v>-8.8535355086785117E-3</v>
      </c>
    </row>
    <row r="637" spans="2:6" x14ac:dyDescent="0.25">
      <c r="B637" s="210">
        <v>43987</v>
      </c>
      <c r="C637" s="206">
        <v>319.33999599999999</v>
      </c>
      <c r="D637" s="207">
        <f t="shared" si="18"/>
        <v>2.5629532966479296E-2</v>
      </c>
      <c r="E637" s="206">
        <v>89.489998</v>
      </c>
      <c r="F637" s="10">
        <f t="shared" si="19"/>
        <v>1.1872410405417977E-2</v>
      </c>
    </row>
    <row r="638" spans="2:6" x14ac:dyDescent="0.25">
      <c r="B638" s="210">
        <v>43990</v>
      </c>
      <c r="C638" s="206">
        <v>323.20001200000002</v>
      </c>
      <c r="D638" s="207">
        <f t="shared" si="18"/>
        <v>1.2087480579789478E-2</v>
      </c>
      <c r="E638" s="206">
        <v>91.910004000000001</v>
      </c>
      <c r="F638" s="10">
        <f t="shared" si="19"/>
        <v>2.704219526298357E-2</v>
      </c>
    </row>
    <row r="639" spans="2:6" x14ac:dyDescent="0.25">
      <c r="B639" s="210">
        <v>43991</v>
      </c>
      <c r="C639" s="206">
        <v>320.790009</v>
      </c>
      <c r="D639" s="207">
        <f t="shared" si="18"/>
        <v>-7.4566921736377578E-3</v>
      </c>
      <c r="E639" s="206">
        <v>90.32</v>
      </c>
      <c r="F639" s="10">
        <f t="shared" si="19"/>
        <v>-1.7299574918961058E-2</v>
      </c>
    </row>
    <row r="640" spans="2:6" x14ac:dyDescent="0.25">
      <c r="B640" s="210">
        <v>43992</v>
      </c>
      <c r="C640" s="206">
        <v>319</v>
      </c>
      <c r="D640" s="207">
        <f t="shared" si="18"/>
        <v>-5.580002337292278E-3</v>
      </c>
      <c r="E640" s="206">
        <v>90.190002000000007</v>
      </c>
      <c r="F640" s="10">
        <f t="shared" si="19"/>
        <v>-1.439304694419663E-3</v>
      </c>
    </row>
    <row r="641" spans="2:6" x14ac:dyDescent="0.25">
      <c r="B641" s="210">
        <v>43993</v>
      </c>
      <c r="C641" s="206">
        <v>300.60998499999999</v>
      </c>
      <c r="D641" s="207">
        <f t="shared" si="18"/>
        <v>-5.7648949843260189E-2</v>
      </c>
      <c r="E641" s="206">
        <v>87.080001999999993</v>
      </c>
      <c r="F641" s="10">
        <f t="shared" si="19"/>
        <v>-3.4482757856020618E-2</v>
      </c>
    </row>
    <row r="642" spans="2:6" x14ac:dyDescent="0.25">
      <c r="B642" s="210">
        <v>43994</v>
      </c>
      <c r="C642" s="206">
        <v>304.209991</v>
      </c>
      <c r="D642" s="207">
        <f t="shared" si="18"/>
        <v>1.1975670069641842E-2</v>
      </c>
      <c r="E642" s="206">
        <v>86.739998</v>
      </c>
      <c r="F642" s="10">
        <f t="shared" si="19"/>
        <v>-3.9045015180407816E-3</v>
      </c>
    </row>
    <row r="643" spans="2:6" x14ac:dyDescent="0.25">
      <c r="B643" s="210">
        <v>43997</v>
      </c>
      <c r="C643" s="206">
        <v>307.04998799999998</v>
      </c>
      <c r="D643" s="207">
        <f t="shared" si="18"/>
        <v>9.3356467046474823E-3</v>
      </c>
      <c r="E643" s="206">
        <v>86.959998999999996</v>
      </c>
      <c r="F643" s="10">
        <f t="shared" si="19"/>
        <v>2.5363270125968729E-3</v>
      </c>
    </row>
    <row r="644" spans="2:6" x14ac:dyDescent="0.25">
      <c r="B644" s="210">
        <v>43998</v>
      </c>
      <c r="C644" s="206">
        <v>312.959991</v>
      </c>
      <c r="D644" s="207">
        <f t="shared" si="18"/>
        <v>1.9247690053646904E-2</v>
      </c>
      <c r="E644" s="206">
        <v>86.949996999999996</v>
      </c>
      <c r="F644" s="10">
        <f t="shared" si="19"/>
        <v>-1.1501840058669721E-4</v>
      </c>
    </row>
    <row r="645" spans="2:6" x14ac:dyDescent="0.25">
      <c r="B645" s="210">
        <v>43999</v>
      </c>
      <c r="C645" s="206">
        <v>311.66000400000001</v>
      </c>
      <c r="D645" s="207">
        <f t="shared" ref="D645:D708" si="20">C645/C644-1</f>
        <v>-4.1538440611725846E-3</v>
      </c>
      <c r="E645" s="206">
        <v>86.209998999999996</v>
      </c>
      <c r="F645" s="10">
        <f t="shared" ref="F645:F708" si="21">E645/E644-1</f>
        <v>-8.5106155897854974E-3</v>
      </c>
    </row>
    <row r="646" spans="2:6" x14ac:dyDescent="0.25">
      <c r="B646" s="210">
        <v>44000</v>
      </c>
      <c r="C646" s="206">
        <v>311.77999899999998</v>
      </c>
      <c r="D646" s="207">
        <f t="shared" si="20"/>
        <v>3.8501892594466902E-4</v>
      </c>
      <c r="E646" s="206">
        <v>85.769997000000004</v>
      </c>
      <c r="F646" s="10">
        <f t="shared" si="21"/>
        <v>-5.1038395209817011E-3</v>
      </c>
    </row>
    <row r="647" spans="2:6" x14ac:dyDescent="0.25">
      <c r="B647" s="210">
        <v>44001</v>
      </c>
      <c r="C647" s="206">
        <v>308.64001500000001</v>
      </c>
      <c r="D647" s="207">
        <f t="shared" si="20"/>
        <v>-1.0071152768205582E-2</v>
      </c>
      <c r="E647" s="206">
        <v>82.110000999999997</v>
      </c>
      <c r="F647" s="10">
        <f t="shared" si="21"/>
        <v>-4.2672217885235675E-2</v>
      </c>
    </row>
    <row r="648" spans="2:6" x14ac:dyDescent="0.25">
      <c r="B648" s="210">
        <v>44004</v>
      </c>
      <c r="C648" s="206">
        <v>310.61999500000002</v>
      </c>
      <c r="D648" s="207">
        <f t="shared" si="20"/>
        <v>6.4151759453485724E-3</v>
      </c>
      <c r="E648" s="206">
        <v>82.529999000000004</v>
      </c>
      <c r="F648" s="10">
        <f t="shared" si="21"/>
        <v>5.1150650942022313E-3</v>
      </c>
    </row>
    <row r="649" spans="2:6" x14ac:dyDescent="0.25">
      <c r="B649" s="210">
        <v>44005</v>
      </c>
      <c r="C649" s="206">
        <v>312.04998799999998</v>
      </c>
      <c r="D649" s="207">
        <f t="shared" si="20"/>
        <v>4.6036733726686485E-3</v>
      </c>
      <c r="E649" s="206">
        <v>81.849997999999999</v>
      </c>
      <c r="F649" s="10">
        <f t="shared" si="21"/>
        <v>-8.2394403033980712E-3</v>
      </c>
    </row>
    <row r="650" spans="2:6" x14ac:dyDescent="0.25">
      <c r="B650" s="210">
        <v>44006</v>
      </c>
      <c r="C650" s="206">
        <v>304.08999599999999</v>
      </c>
      <c r="D650" s="207">
        <f t="shared" si="20"/>
        <v>-2.5508707918937668E-2</v>
      </c>
      <c r="E650" s="206">
        <v>80.470000999999996</v>
      </c>
      <c r="F650" s="10">
        <f t="shared" si="21"/>
        <v>-1.6860073716800872E-2</v>
      </c>
    </row>
    <row r="651" spans="2:6" x14ac:dyDescent="0.25">
      <c r="B651" s="210">
        <v>44007</v>
      </c>
      <c r="C651" s="206">
        <v>307.35000600000001</v>
      </c>
      <c r="D651" s="207">
        <f t="shared" si="20"/>
        <v>1.0720543401237181E-2</v>
      </c>
      <c r="E651" s="206">
        <v>79.449996999999996</v>
      </c>
      <c r="F651" s="10">
        <f t="shared" si="21"/>
        <v>-1.2675580804329845E-2</v>
      </c>
    </row>
    <row r="652" spans="2:6" x14ac:dyDescent="0.25">
      <c r="B652" s="210">
        <v>44008</v>
      </c>
      <c r="C652" s="206">
        <v>300.04998799999998</v>
      </c>
      <c r="D652" s="207">
        <f t="shared" si="20"/>
        <v>-2.3751481560081777E-2</v>
      </c>
      <c r="E652" s="206">
        <v>78.930000000000007</v>
      </c>
      <c r="F652" s="10">
        <f t="shared" si="21"/>
        <v>-6.5449593409045992E-3</v>
      </c>
    </row>
    <row r="653" spans="2:6" x14ac:dyDescent="0.25">
      <c r="B653" s="210">
        <v>44011</v>
      </c>
      <c r="C653" s="206">
        <v>304.459991</v>
      </c>
      <c r="D653" s="207">
        <f t="shared" si="20"/>
        <v>1.4697560994403336E-2</v>
      </c>
      <c r="E653" s="206">
        <v>80.25</v>
      </c>
      <c r="F653" s="10">
        <f t="shared" si="21"/>
        <v>1.6723679209426079E-2</v>
      </c>
    </row>
    <row r="654" spans="2:6" x14ac:dyDescent="0.25">
      <c r="B654" s="210">
        <v>44012</v>
      </c>
      <c r="C654" s="206">
        <v>308.35998499999999</v>
      </c>
      <c r="D654" s="207">
        <f t="shared" si="20"/>
        <v>1.2809545146442503E-2</v>
      </c>
      <c r="E654" s="206">
        <v>79.889999000000003</v>
      </c>
      <c r="F654" s="10">
        <f t="shared" si="21"/>
        <v>-4.4859937694703422E-3</v>
      </c>
    </row>
    <row r="655" spans="2:6" x14ac:dyDescent="0.25">
      <c r="B655" s="210">
        <v>44013</v>
      </c>
      <c r="C655" s="206">
        <v>310.51998900000001</v>
      </c>
      <c r="D655" s="207">
        <f t="shared" si="20"/>
        <v>7.0048128974971036E-3</v>
      </c>
      <c r="E655" s="206">
        <v>81.93</v>
      </c>
      <c r="F655" s="10">
        <f t="shared" si="21"/>
        <v>2.553512361415855E-2</v>
      </c>
    </row>
    <row r="656" spans="2:6" x14ac:dyDescent="0.25">
      <c r="B656" s="210">
        <v>44014</v>
      </c>
      <c r="C656" s="206">
        <v>312.23001099999999</v>
      </c>
      <c r="D656" s="207">
        <f t="shared" si="20"/>
        <v>5.5069627095729601E-3</v>
      </c>
      <c r="E656" s="206">
        <v>81.839995999999999</v>
      </c>
      <c r="F656" s="10">
        <f t="shared" si="21"/>
        <v>-1.0985475405834721E-3</v>
      </c>
    </row>
    <row r="657" spans="2:6" x14ac:dyDescent="0.25">
      <c r="B657" s="210">
        <v>44018</v>
      </c>
      <c r="C657" s="206">
        <v>317.04998799999998</v>
      </c>
      <c r="D657" s="207">
        <f t="shared" si="20"/>
        <v>1.5437263652404054E-2</v>
      </c>
      <c r="E657" s="206">
        <v>79.809997999999993</v>
      </c>
      <c r="F657" s="10">
        <f t="shared" si="21"/>
        <v>-2.480447335310243E-2</v>
      </c>
    </row>
    <row r="658" spans="2:6" x14ac:dyDescent="0.25">
      <c r="B658" s="210">
        <v>44019</v>
      </c>
      <c r="C658" s="206">
        <v>313.77999899999998</v>
      </c>
      <c r="D658" s="207">
        <f t="shared" si="20"/>
        <v>-1.0313796321607227E-2</v>
      </c>
      <c r="E658" s="206">
        <v>80.819999999999993</v>
      </c>
      <c r="F658" s="10">
        <f t="shared" si="21"/>
        <v>1.2655081134070434E-2</v>
      </c>
    </row>
    <row r="659" spans="2:6" x14ac:dyDescent="0.25">
      <c r="B659" s="210">
        <v>44020</v>
      </c>
      <c r="C659" s="206">
        <v>316.17999300000002</v>
      </c>
      <c r="D659" s="207">
        <f t="shared" si="20"/>
        <v>7.6486519461045344E-3</v>
      </c>
      <c r="E659" s="206">
        <v>81.440002000000007</v>
      </c>
      <c r="F659" s="10">
        <f t="shared" si="21"/>
        <v>7.6713932195002776E-3</v>
      </c>
    </row>
    <row r="660" spans="2:6" x14ac:dyDescent="0.25">
      <c r="B660" s="210">
        <v>44021</v>
      </c>
      <c r="C660" s="206">
        <v>314.38000499999998</v>
      </c>
      <c r="D660" s="207">
        <f t="shared" si="20"/>
        <v>-5.692921879468904E-3</v>
      </c>
      <c r="E660" s="206">
        <v>79.739998</v>
      </c>
      <c r="F660" s="10">
        <f t="shared" si="21"/>
        <v>-2.0874311864579886E-2</v>
      </c>
    </row>
    <row r="661" spans="2:6" x14ac:dyDescent="0.25">
      <c r="B661" s="210">
        <v>44022</v>
      </c>
      <c r="C661" s="206">
        <v>317.58999599999999</v>
      </c>
      <c r="D661" s="207">
        <f t="shared" si="20"/>
        <v>1.0210544401511701E-2</v>
      </c>
      <c r="E661" s="206">
        <v>81.319999999999993</v>
      </c>
      <c r="F661" s="10">
        <f t="shared" si="21"/>
        <v>1.981442236805675E-2</v>
      </c>
    </row>
    <row r="662" spans="2:6" x14ac:dyDescent="0.25">
      <c r="B662" s="210">
        <v>44025</v>
      </c>
      <c r="C662" s="206">
        <v>314.83999599999999</v>
      </c>
      <c r="D662" s="207">
        <f t="shared" si="20"/>
        <v>-8.6589629227490361E-3</v>
      </c>
      <c r="E662" s="206">
        <v>81.419998000000007</v>
      </c>
      <c r="F662" s="10">
        <f t="shared" si="21"/>
        <v>1.2296851942943388E-3</v>
      </c>
    </row>
    <row r="663" spans="2:6" x14ac:dyDescent="0.25">
      <c r="B663" s="210">
        <v>44026</v>
      </c>
      <c r="C663" s="206">
        <v>318.92001299999998</v>
      </c>
      <c r="D663" s="207">
        <f t="shared" si="20"/>
        <v>1.2959017443260334E-2</v>
      </c>
      <c r="E663" s="206">
        <v>81.690002000000007</v>
      </c>
      <c r="F663" s="10">
        <f t="shared" si="21"/>
        <v>3.3161877503362636E-3</v>
      </c>
    </row>
    <row r="664" spans="2:6" x14ac:dyDescent="0.25">
      <c r="B664" s="210">
        <v>44027</v>
      </c>
      <c r="C664" s="206">
        <v>321.85000600000001</v>
      </c>
      <c r="D664" s="207">
        <f t="shared" si="20"/>
        <v>9.1872346687758011E-3</v>
      </c>
      <c r="E664" s="206">
        <v>80.430000000000007</v>
      </c>
      <c r="F664" s="10">
        <f t="shared" si="21"/>
        <v>-1.5424188629595048E-2</v>
      </c>
    </row>
    <row r="665" spans="2:6" x14ac:dyDescent="0.25">
      <c r="B665" s="210">
        <v>44028</v>
      </c>
      <c r="C665" s="206">
        <v>320.790009</v>
      </c>
      <c r="D665" s="207">
        <f t="shared" si="20"/>
        <v>-3.2934503036796681E-3</v>
      </c>
      <c r="E665" s="206">
        <v>81.069999999999993</v>
      </c>
      <c r="F665" s="10">
        <f t="shared" si="21"/>
        <v>7.9572298893446636E-3</v>
      </c>
    </row>
    <row r="666" spans="2:6" x14ac:dyDescent="0.25">
      <c r="B666" s="210">
        <v>44029</v>
      </c>
      <c r="C666" s="206">
        <v>321.72000100000002</v>
      </c>
      <c r="D666" s="207">
        <f t="shared" si="20"/>
        <v>2.8990678447220475E-3</v>
      </c>
      <c r="E666" s="206">
        <v>82.400002000000001</v>
      </c>
      <c r="F666" s="10">
        <f t="shared" si="21"/>
        <v>1.6405600098680306E-2</v>
      </c>
    </row>
    <row r="667" spans="2:6" x14ac:dyDescent="0.25">
      <c r="B667" s="210">
        <v>44032</v>
      </c>
      <c r="C667" s="206">
        <v>324.32000699999998</v>
      </c>
      <c r="D667" s="207">
        <f t="shared" si="20"/>
        <v>8.0815802310032492E-3</v>
      </c>
      <c r="E667" s="206">
        <v>81.099997999999999</v>
      </c>
      <c r="F667" s="10">
        <f t="shared" si="21"/>
        <v>-1.5776747189884754E-2</v>
      </c>
    </row>
    <row r="668" spans="2:6" x14ac:dyDescent="0.25">
      <c r="B668" s="210">
        <v>44033</v>
      </c>
      <c r="C668" s="206">
        <v>325.01001000000002</v>
      </c>
      <c r="D668" s="207">
        <f t="shared" si="20"/>
        <v>2.1275375712483946E-3</v>
      </c>
      <c r="E668" s="206">
        <v>82.330001999999993</v>
      </c>
      <c r="F668" s="10">
        <f t="shared" si="21"/>
        <v>1.5166510854907722E-2</v>
      </c>
    </row>
    <row r="669" spans="2:6" x14ac:dyDescent="0.25">
      <c r="B669" s="210">
        <v>44034</v>
      </c>
      <c r="C669" s="206">
        <v>326.85998499999999</v>
      </c>
      <c r="D669" s="207">
        <f t="shared" si="20"/>
        <v>5.6920554539225954E-3</v>
      </c>
      <c r="E669" s="206">
        <v>84.150002000000001</v>
      </c>
      <c r="F669" s="10">
        <f t="shared" si="21"/>
        <v>2.2106157607041155E-2</v>
      </c>
    </row>
    <row r="670" spans="2:6" x14ac:dyDescent="0.25">
      <c r="B670" s="210">
        <v>44035</v>
      </c>
      <c r="C670" s="206">
        <v>322.959991</v>
      </c>
      <c r="D670" s="207">
        <f t="shared" si="20"/>
        <v>-1.1931696074696907E-2</v>
      </c>
      <c r="E670" s="206">
        <v>83.989998</v>
      </c>
      <c r="F670" s="10">
        <f t="shared" si="21"/>
        <v>-1.9014140962231307E-3</v>
      </c>
    </row>
    <row r="671" spans="2:6" x14ac:dyDescent="0.25">
      <c r="B671" s="210">
        <v>44036</v>
      </c>
      <c r="C671" s="206">
        <v>320.88000499999998</v>
      </c>
      <c r="D671" s="207">
        <f t="shared" si="20"/>
        <v>-6.4403828894088466E-3</v>
      </c>
      <c r="E671" s="206">
        <v>82.790001000000004</v>
      </c>
      <c r="F671" s="10">
        <f t="shared" si="21"/>
        <v>-1.4287379790150712E-2</v>
      </c>
    </row>
    <row r="672" spans="2:6" x14ac:dyDescent="0.25">
      <c r="B672" s="210">
        <v>44039</v>
      </c>
      <c r="C672" s="206">
        <v>323.22000100000002</v>
      </c>
      <c r="D672" s="207">
        <f t="shared" si="20"/>
        <v>7.2924331947703536E-3</v>
      </c>
      <c r="E672" s="206">
        <v>81.290001000000004</v>
      </c>
      <c r="F672" s="10">
        <f t="shared" si="21"/>
        <v>-1.811812999011797E-2</v>
      </c>
    </row>
    <row r="673" spans="2:6" x14ac:dyDescent="0.25">
      <c r="B673" s="210">
        <v>44040</v>
      </c>
      <c r="C673" s="206">
        <v>321.17001299999998</v>
      </c>
      <c r="D673" s="207">
        <f t="shared" si="20"/>
        <v>-6.3423921590793908E-3</v>
      </c>
      <c r="E673" s="206">
        <v>84.599997999999999</v>
      </c>
      <c r="F673" s="10">
        <f t="shared" si="21"/>
        <v>4.0718378143457024E-2</v>
      </c>
    </row>
    <row r="674" spans="2:6" x14ac:dyDescent="0.25">
      <c r="B674" s="210">
        <v>44041</v>
      </c>
      <c r="C674" s="206">
        <v>325.11999500000002</v>
      </c>
      <c r="D674" s="207">
        <f t="shared" si="20"/>
        <v>1.2298726033305174E-2</v>
      </c>
      <c r="E674" s="206">
        <v>84.970000999999996</v>
      </c>
      <c r="F674" s="10">
        <f t="shared" si="21"/>
        <v>4.3735580230155335E-3</v>
      </c>
    </row>
    <row r="675" spans="2:6" x14ac:dyDescent="0.25">
      <c r="B675" s="210">
        <v>44042</v>
      </c>
      <c r="C675" s="206">
        <v>323.959991</v>
      </c>
      <c r="D675" s="207">
        <f t="shared" si="20"/>
        <v>-3.5679257438473444E-3</v>
      </c>
      <c r="E675" s="206">
        <v>84.57</v>
      </c>
      <c r="F675" s="10">
        <f t="shared" si="21"/>
        <v>-4.7075555524590529E-3</v>
      </c>
    </row>
    <row r="676" spans="2:6" x14ac:dyDescent="0.25">
      <c r="B676" s="210">
        <v>44043</v>
      </c>
      <c r="C676" s="206">
        <v>326.51998900000001</v>
      </c>
      <c r="D676" s="207">
        <f t="shared" si="20"/>
        <v>7.9022041953322741E-3</v>
      </c>
      <c r="E676" s="206">
        <v>84.739998</v>
      </c>
      <c r="F676" s="10">
        <f t="shared" si="21"/>
        <v>2.0101454416461273E-3</v>
      </c>
    </row>
    <row r="677" spans="2:6" x14ac:dyDescent="0.25">
      <c r="B677" s="210">
        <v>44046</v>
      </c>
      <c r="C677" s="206">
        <v>328.790009</v>
      </c>
      <c r="D677" s="207">
        <f t="shared" si="20"/>
        <v>6.9521624294799356E-3</v>
      </c>
      <c r="E677" s="206">
        <v>83.809997999999993</v>
      </c>
      <c r="F677" s="10">
        <f t="shared" si="21"/>
        <v>-1.0974746541768887E-2</v>
      </c>
    </row>
    <row r="678" spans="2:6" x14ac:dyDescent="0.25">
      <c r="B678" s="210">
        <v>44047</v>
      </c>
      <c r="C678" s="206">
        <v>330.05999800000001</v>
      </c>
      <c r="D678" s="207">
        <f t="shared" si="20"/>
        <v>3.8626143290139137E-3</v>
      </c>
      <c r="E678" s="206">
        <v>84.690002000000007</v>
      </c>
      <c r="F678" s="10">
        <f t="shared" si="21"/>
        <v>1.0499988318816156E-2</v>
      </c>
    </row>
    <row r="679" spans="2:6" x14ac:dyDescent="0.25">
      <c r="B679" s="210">
        <v>44048</v>
      </c>
      <c r="C679" s="206">
        <v>332.10998499999999</v>
      </c>
      <c r="D679" s="207">
        <f t="shared" si="20"/>
        <v>6.2109525917162234E-3</v>
      </c>
      <c r="E679" s="206">
        <v>83.510002</v>
      </c>
      <c r="F679" s="10">
        <f t="shared" si="21"/>
        <v>-1.3933167695520998E-2</v>
      </c>
    </row>
    <row r="680" spans="2:6" x14ac:dyDescent="0.25">
      <c r="B680" s="210">
        <v>44049</v>
      </c>
      <c r="C680" s="206">
        <v>334.32998700000002</v>
      </c>
      <c r="D680" s="207">
        <f t="shared" si="20"/>
        <v>6.6845385573095495E-3</v>
      </c>
      <c r="E680" s="206">
        <v>84.209998999999996</v>
      </c>
      <c r="F680" s="10">
        <f t="shared" si="21"/>
        <v>8.3821935485044463E-3</v>
      </c>
    </row>
    <row r="681" spans="2:6" x14ac:dyDescent="0.25">
      <c r="B681" s="210">
        <v>44050</v>
      </c>
      <c r="C681" s="206">
        <v>334.57000699999998</v>
      </c>
      <c r="D681" s="207">
        <f t="shared" si="20"/>
        <v>7.1791346673300005E-4</v>
      </c>
      <c r="E681" s="206">
        <v>86.610000999999997</v>
      </c>
      <c r="F681" s="10">
        <f t="shared" si="21"/>
        <v>2.850020221470384E-2</v>
      </c>
    </row>
    <row r="682" spans="2:6" x14ac:dyDescent="0.25">
      <c r="B682" s="210">
        <v>44053</v>
      </c>
      <c r="C682" s="206">
        <v>335.57000699999998</v>
      </c>
      <c r="D682" s="207">
        <f t="shared" si="20"/>
        <v>2.9889110771366134E-3</v>
      </c>
      <c r="E682" s="206">
        <v>84.760002</v>
      </c>
      <c r="F682" s="10">
        <f t="shared" si="21"/>
        <v>-2.1360108285877977E-2</v>
      </c>
    </row>
    <row r="683" spans="2:6" x14ac:dyDescent="0.25">
      <c r="B683" s="210">
        <v>44054</v>
      </c>
      <c r="C683" s="206">
        <v>332.79998799999998</v>
      </c>
      <c r="D683" s="207">
        <f t="shared" si="20"/>
        <v>-8.2546680043428244E-3</v>
      </c>
      <c r="E683" s="206">
        <v>83.669998000000007</v>
      </c>
      <c r="F683" s="10">
        <f t="shared" si="21"/>
        <v>-1.2859886435585444E-2</v>
      </c>
    </row>
    <row r="684" spans="2:6" x14ac:dyDescent="0.25">
      <c r="B684" s="210">
        <v>44055</v>
      </c>
      <c r="C684" s="206">
        <v>337.44000199999999</v>
      </c>
      <c r="D684" s="207">
        <f t="shared" si="20"/>
        <v>1.3942350262344361E-2</v>
      </c>
      <c r="E684" s="206">
        <v>84.32</v>
      </c>
      <c r="F684" s="10">
        <f t="shared" si="21"/>
        <v>7.7686388853503985E-3</v>
      </c>
    </row>
    <row r="685" spans="2:6" x14ac:dyDescent="0.25">
      <c r="B685" s="210">
        <v>44056</v>
      </c>
      <c r="C685" s="206">
        <v>336.82998700000002</v>
      </c>
      <c r="D685" s="207">
        <f t="shared" si="20"/>
        <v>-1.8077732230453725E-3</v>
      </c>
      <c r="E685" s="206">
        <v>82.739998</v>
      </c>
      <c r="F685" s="10">
        <f t="shared" si="21"/>
        <v>-1.8738164136622326E-2</v>
      </c>
    </row>
    <row r="686" spans="2:6" x14ac:dyDescent="0.25">
      <c r="B686" s="210">
        <v>44057</v>
      </c>
      <c r="C686" s="206">
        <v>336.83999599999999</v>
      </c>
      <c r="D686" s="207">
        <f t="shared" si="20"/>
        <v>2.9715287789944256E-5</v>
      </c>
      <c r="E686" s="206">
        <v>82.150002000000001</v>
      </c>
      <c r="F686" s="10">
        <f t="shared" si="21"/>
        <v>-7.130722918315735E-3</v>
      </c>
    </row>
    <row r="687" spans="2:6" x14ac:dyDescent="0.25">
      <c r="B687" s="210">
        <v>44060</v>
      </c>
      <c r="C687" s="206">
        <v>337.91000400000001</v>
      </c>
      <c r="D687" s="207">
        <f t="shared" si="20"/>
        <v>3.1766061415106073E-3</v>
      </c>
      <c r="E687" s="206">
        <v>82.599997999999999</v>
      </c>
      <c r="F687" s="10">
        <f t="shared" si="21"/>
        <v>5.4777357156972073E-3</v>
      </c>
    </row>
    <row r="688" spans="2:6" x14ac:dyDescent="0.25">
      <c r="B688" s="210">
        <v>44061</v>
      </c>
      <c r="C688" s="206">
        <v>338.64001500000001</v>
      </c>
      <c r="D688" s="207">
        <f t="shared" si="20"/>
        <v>2.1603710791586739E-3</v>
      </c>
      <c r="E688" s="206">
        <v>81.660004000000001</v>
      </c>
      <c r="F688" s="10">
        <f t="shared" si="21"/>
        <v>-1.1380072914771722E-2</v>
      </c>
    </row>
    <row r="689" spans="2:6" x14ac:dyDescent="0.25">
      <c r="B689" s="210">
        <v>44062</v>
      </c>
      <c r="C689" s="206">
        <v>337.23001099999999</v>
      </c>
      <c r="D689" s="207">
        <f t="shared" si="20"/>
        <v>-4.1637253057645873E-3</v>
      </c>
      <c r="E689" s="206">
        <v>81.660004000000001</v>
      </c>
      <c r="F689" s="10">
        <f t="shared" si="21"/>
        <v>0</v>
      </c>
    </row>
    <row r="690" spans="2:6" x14ac:dyDescent="0.25">
      <c r="B690" s="210">
        <v>44063</v>
      </c>
      <c r="C690" s="206">
        <v>338.27999899999998</v>
      </c>
      <c r="D690" s="207">
        <f t="shared" si="20"/>
        <v>3.1135663071220065E-3</v>
      </c>
      <c r="E690" s="206">
        <v>81.040001000000004</v>
      </c>
      <c r="F690" s="10">
        <f t="shared" si="21"/>
        <v>-7.5924928928486901E-3</v>
      </c>
    </row>
    <row r="691" spans="2:6" x14ac:dyDescent="0.25">
      <c r="B691" s="210">
        <v>44064</v>
      </c>
      <c r="C691" s="206">
        <v>339.48001099999999</v>
      </c>
      <c r="D691" s="207">
        <f t="shared" si="20"/>
        <v>3.5473927029308072E-3</v>
      </c>
      <c r="E691" s="206">
        <v>81</v>
      </c>
      <c r="F691" s="10">
        <f t="shared" si="21"/>
        <v>-4.9359574909191295E-4</v>
      </c>
    </row>
    <row r="692" spans="2:6" x14ac:dyDescent="0.25">
      <c r="B692" s="210">
        <v>44067</v>
      </c>
      <c r="C692" s="206">
        <v>342.92001299999998</v>
      </c>
      <c r="D692" s="207">
        <f t="shared" si="20"/>
        <v>1.013315037273288E-2</v>
      </c>
      <c r="E692" s="206">
        <v>81.470000999999996</v>
      </c>
      <c r="F692" s="10">
        <f t="shared" si="21"/>
        <v>5.8024814814814363E-3</v>
      </c>
    </row>
    <row r="693" spans="2:6" x14ac:dyDescent="0.25">
      <c r="B693" s="210">
        <v>44068</v>
      </c>
      <c r="C693" s="206">
        <v>344.11999500000002</v>
      </c>
      <c r="D693" s="207">
        <f t="shared" si="20"/>
        <v>3.4993058279162437E-3</v>
      </c>
      <c r="E693" s="206">
        <v>80.849997999999999</v>
      </c>
      <c r="F693" s="10">
        <f t="shared" si="21"/>
        <v>-7.6101999802355991E-3</v>
      </c>
    </row>
    <row r="694" spans="2:6" x14ac:dyDescent="0.25">
      <c r="B694" s="210">
        <v>44069</v>
      </c>
      <c r="C694" s="206">
        <v>347.57000699999998</v>
      </c>
      <c r="D694" s="207">
        <f t="shared" si="20"/>
        <v>1.0025607491944699E-2</v>
      </c>
      <c r="E694" s="206">
        <v>79.550003000000004</v>
      </c>
      <c r="F694" s="10">
        <f t="shared" si="21"/>
        <v>-1.607909749113412E-2</v>
      </c>
    </row>
    <row r="695" spans="2:6" x14ac:dyDescent="0.25">
      <c r="B695" s="210">
        <v>44070</v>
      </c>
      <c r="C695" s="206">
        <v>348.32998700000002</v>
      </c>
      <c r="D695" s="207">
        <f t="shared" si="20"/>
        <v>2.1865523051303182E-3</v>
      </c>
      <c r="E695" s="206">
        <v>79.550003000000004</v>
      </c>
      <c r="F695" s="10">
        <f t="shared" si="21"/>
        <v>0</v>
      </c>
    </row>
    <row r="696" spans="2:6" x14ac:dyDescent="0.25">
      <c r="B696" s="210">
        <v>44071</v>
      </c>
      <c r="C696" s="206">
        <v>350.57998700000002</v>
      </c>
      <c r="D696" s="207">
        <f t="shared" si="20"/>
        <v>6.459392196974445E-3</v>
      </c>
      <c r="E696" s="206">
        <v>79.709998999999996</v>
      </c>
      <c r="F696" s="10">
        <f t="shared" si="21"/>
        <v>2.0112632805304731E-3</v>
      </c>
    </row>
    <row r="697" spans="2:6" x14ac:dyDescent="0.25">
      <c r="B697" s="210">
        <v>44074</v>
      </c>
      <c r="C697" s="206">
        <v>349.30999800000001</v>
      </c>
      <c r="D697" s="207">
        <f t="shared" si="20"/>
        <v>-3.6225370731159945E-3</v>
      </c>
      <c r="E697" s="206">
        <v>80.339995999999999</v>
      </c>
      <c r="F697" s="10">
        <f t="shared" si="21"/>
        <v>7.9036131966330192E-3</v>
      </c>
    </row>
    <row r="698" spans="2:6" x14ac:dyDescent="0.25">
      <c r="B698" s="210">
        <v>44075</v>
      </c>
      <c r="C698" s="206">
        <v>352.60000600000001</v>
      </c>
      <c r="D698" s="207">
        <f t="shared" si="20"/>
        <v>9.4185909903443665E-3</v>
      </c>
      <c r="E698" s="206">
        <v>79.209998999999996</v>
      </c>
      <c r="F698" s="10">
        <f t="shared" si="21"/>
        <v>-1.4065186162070531E-2</v>
      </c>
    </row>
    <row r="699" spans="2:6" x14ac:dyDescent="0.25">
      <c r="B699" s="210">
        <v>44076</v>
      </c>
      <c r="C699" s="206">
        <v>357.70001200000002</v>
      </c>
      <c r="D699" s="207">
        <f t="shared" si="20"/>
        <v>1.4463998619444141E-2</v>
      </c>
      <c r="E699" s="206">
        <v>81.470000999999996</v>
      </c>
      <c r="F699" s="10">
        <f t="shared" si="21"/>
        <v>2.8531776651076646E-2</v>
      </c>
    </row>
    <row r="700" spans="2:6" x14ac:dyDescent="0.25">
      <c r="B700" s="210">
        <v>44077</v>
      </c>
      <c r="C700" s="206">
        <v>345.39001500000001</v>
      </c>
      <c r="D700" s="207">
        <f t="shared" si="20"/>
        <v>-3.4414304129237849E-2</v>
      </c>
      <c r="E700" s="206">
        <v>81.139999000000003</v>
      </c>
      <c r="F700" s="10">
        <f t="shared" si="21"/>
        <v>-4.0505952614385832E-3</v>
      </c>
    </row>
    <row r="701" spans="2:6" x14ac:dyDescent="0.25">
      <c r="B701" s="210">
        <v>44078</v>
      </c>
      <c r="C701" s="206">
        <v>342.57000699999998</v>
      </c>
      <c r="D701" s="207">
        <f t="shared" si="20"/>
        <v>-8.1647062090084432E-3</v>
      </c>
      <c r="E701" s="206">
        <v>80.970000999999996</v>
      </c>
      <c r="F701" s="10">
        <f t="shared" si="21"/>
        <v>-2.0951195722840321E-3</v>
      </c>
    </row>
    <row r="702" spans="2:6" x14ac:dyDescent="0.25">
      <c r="B702" s="210">
        <v>44082</v>
      </c>
      <c r="C702" s="206">
        <v>333.209991</v>
      </c>
      <c r="D702" s="207">
        <f t="shared" si="20"/>
        <v>-2.7322929061912804E-2</v>
      </c>
      <c r="E702" s="206">
        <v>80.730002999999996</v>
      </c>
      <c r="F702" s="10">
        <f t="shared" si="21"/>
        <v>-2.9640360261327103E-3</v>
      </c>
    </row>
    <row r="703" spans="2:6" x14ac:dyDescent="0.25">
      <c r="B703" s="210">
        <v>44083</v>
      </c>
      <c r="C703" s="206">
        <v>339.790009</v>
      </c>
      <c r="D703" s="207">
        <f t="shared" si="20"/>
        <v>1.9747361056769774E-2</v>
      </c>
      <c r="E703" s="206">
        <v>82.589995999999999</v>
      </c>
      <c r="F703" s="10">
        <f t="shared" si="21"/>
        <v>2.303967460523948E-2</v>
      </c>
    </row>
    <row r="704" spans="2:6" x14ac:dyDescent="0.25">
      <c r="B704" s="210">
        <v>44084</v>
      </c>
      <c r="C704" s="206">
        <v>333.89001500000001</v>
      </c>
      <c r="D704" s="207">
        <f t="shared" si="20"/>
        <v>-1.7363647675703087E-2</v>
      </c>
      <c r="E704" s="206">
        <v>82</v>
      </c>
      <c r="F704" s="10">
        <f t="shared" si="21"/>
        <v>-7.1436739142111128E-3</v>
      </c>
    </row>
    <row r="705" spans="2:6" x14ac:dyDescent="0.25">
      <c r="B705" s="210">
        <v>44085</v>
      </c>
      <c r="C705" s="206">
        <v>334.05999800000001</v>
      </c>
      <c r="D705" s="207">
        <f t="shared" si="20"/>
        <v>5.0909878212435089E-4</v>
      </c>
      <c r="E705" s="206">
        <v>83.029999000000004</v>
      </c>
      <c r="F705" s="10">
        <f t="shared" si="21"/>
        <v>1.2560963414634196E-2</v>
      </c>
    </row>
    <row r="706" spans="2:6" x14ac:dyDescent="0.25">
      <c r="B706" s="210">
        <v>44088</v>
      </c>
      <c r="C706" s="206">
        <v>338.459991</v>
      </c>
      <c r="D706" s="207">
        <f t="shared" si="20"/>
        <v>1.3171265719758463E-2</v>
      </c>
      <c r="E706" s="206">
        <v>84.379997000000003</v>
      </c>
      <c r="F706" s="10">
        <f t="shared" si="21"/>
        <v>1.6259159535820356E-2</v>
      </c>
    </row>
    <row r="707" spans="2:6" x14ac:dyDescent="0.25">
      <c r="B707" s="210">
        <v>44089</v>
      </c>
      <c r="C707" s="206">
        <v>340.17001299999998</v>
      </c>
      <c r="D707" s="207">
        <f t="shared" si="20"/>
        <v>5.0523608268959741E-3</v>
      </c>
      <c r="E707" s="206">
        <v>84.449996999999996</v>
      </c>
      <c r="F707" s="10">
        <f t="shared" si="21"/>
        <v>8.2958049879988671E-4</v>
      </c>
    </row>
    <row r="708" spans="2:6" x14ac:dyDescent="0.25">
      <c r="B708" s="210">
        <v>44090</v>
      </c>
      <c r="C708" s="206">
        <v>338.82000699999998</v>
      </c>
      <c r="D708" s="207">
        <f t="shared" si="20"/>
        <v>-3.968621419901619E-3</v>
      </c>
      <c r="E708" s="206">
        <v>84.839995999999999</v>
      </c>
      <c r="F708" s="10">
        <f t="shared" si="21"/>
        <v>4.6181055518570435E-3</v>
      </c>
    </row>
    <row r="709" spans="2:6" x14ac:dyDescent="0.25">
      <c r="B709" s="210">
        <v>44091</v>
      </c>
      <c r="C709" s="206">
        <v>335.83999599999999</v>
      </c>
      <c r="D709" s="207">
        <f t="shared" ref="D709:D772" si="22">C709/C708-1</f>
        <v>-8.795262789779712E-3</v>
      </c>
      <c r="E709" s="206">
        <v>84.599997999999999</v>
      </c>
      <c r="F709" s="10">
        <f t="shared" ref="F709:F772" si="23">E709/E708-1</f>
        <v>-2.8288308735894274E-3</v>
      </c>
    </row>
    <row r="710" spans="2:6" x14ac:dyDescent="0.25">
      <c r="B710" s="210">
        <v>44092</v>
      </c>
      <c r="C710" s="206">
        <v>330.64999399999999</v>
      </c>
      <c r="D710" s="207">
        <f t="shared" si="22"/>
        <v>-1.5453793657143833E-2</v>
      </c>
      <c r="E710" s="206">
        <v>82.949996999999996</v>
      </c>
      <c r="F710" s="10">
        <f t="shared" si="23"/>
        <v>-1.9503558380698838E-2</v>
      </c>
    </row>
    <row r="711" spans="2:6" x14ac:dyDescent="0.25">
      <c r="B711" s="210">
        <v>44095</v>
      </c>
      <c r="C711" s="206">
        <v>326.97000100000002</v>
      </c>
      <c r="D711" s="207">
        <f t="shared" si="22"/>
        <v>-1.1129572257001064E-2</v>
      </c>
      <c r="E711" s="206">
        <v>82.57</v>
      </c>
      <c r="F711" s="10">
        <f t="shared" si="23"/>
        <v>-4.581036934817484E-3</v>
      </c>
    </row>
    <row r="712" spans="2:6" x14ac:dyDescent="0.25">
      <c r="B712" s="210">
        <v>44096</v>
      </c>
      <c r="C712" s="206">
        <v>330.29998799999998</v>
      </c>
      <c r="D712" s="207">
        <f t="shared" si="22"/>
        <v>1.0184380798897719E-2</v>
      </c>
      <c r="E712" s="206">
        <v>82.690002000000007</v>
      </c>
      <c r="F712" s="10">
        <f t="shared" si="23"/>
        <v>1.453336562916574E-3</v>
      </c>
    </row>
    <row r="713" spans="2:6" x14ac:dyDescent="0.25">
      <c r="B713" s="210">
        <v>44097</v>
      </c>
      <c r="C713" s="206">
        <v>322.64001500000001</v>
      </c>
      <c r="D713" s="207">
        <f t="shared" si="22"/>
        <v>-2.3190957548566371E-2</v>
      </c>
      <c r="E713" s="206">
        <v>81.279999000000004</v>
      </c>
      <c r="F713" s="10">
        <f t="shared" si="23"/>
        <v>-1.7051674518039128E-2</v>
      </c>
    </row>
    <row r="714" spans="2:6" x14ac:dyDescent="0.25">
      <c r="B714" s="210">
        <v>44098</v>
      </c>
      <c r="C714" s="206">
        <v>323.5</v>
      </c>
      <c r="D714" s="207">
        <f t="shared" si="22"/>
        <v>2.6654629308766609E-3</v>
      </c>
      <c r="E714" s="206">
        <v>81.669998000000007</v>
      </c>
      <c r="F714" s="10">
        <f t="shared" si="23"/>
        <v>4.7982161023403247E-3</v>
      </c>
    </row>
    <row r="715" spans="2:6" x14ac:dyDescent="0.25">
      <c r="B715" s="210">
        <v>44099</v>
      </c>
      <c r="C715" s="206">
        <v>328.73001099999999</v>
      </c>
      <c r="D715" s="207">
        <f t="shared" si="22"/>
        <v>1.616695826893344E-2</v>
      </c>
      <c r="E715" s="206">
        <v>82.470000999999996</v>
      </c>
      <c r="F715" s="10">
        <f t="shared" si="23"/>
        <v>9.7955555233391056E-3</v>
      </c>
    </row>
    <row r="716" spans="2:6" x14ac:dyDescent="0.25">
      <c r="B716" s="210">
        <v>44102</v>
      </c>
      <c r="C716" s="206">
        <v>334.19000199999999</v>
      </c>
      <c r="D716" s="207">
        <f t="shared" si="22"/>
        <v>1.6609347541438835E-2</v>
      </c>
      <c r="E716" s="206">
        <v>82.870002999999997</v>
      </c>
      <c r="F716" s="10">
        <f t="shared" si="23"/>
        <v>4.8502727676698054E-3</v>
      </c>
    </row>
    <row r="717" spans="2:6" x14ac:dyDescent="0.25">
      <c r="B717" s="210">
        <v>44103</v>
      </c>
      <c r="C717" s="206">
        <v>332.36999500000002</v>
      </c>
      <c r="D717" s="207">
        <f t="shared" si="22"/>
        <v>-5.4460246838862192E-3</v>
      </c>
      <c r="E717" s="206">
        <v>82.410004000000001</v>
      </c>
      <c r="F717" s="10">
        <f t="shared" si="23"/>
        <v>-5.5508505291111954E-3</v>
      </c>
    </row>
    <row r="718" spans="2:6" x14ac:dyDescent="0.25">
      <c r="B718" s="210">
        <v>44104</v>
      </c>
      <c r="C718" s="206">
        <v>334.89001500000001</v>
      </c>
      <c r="D718" s="207">
        <f t="shared" si="22"/>
        <v>7.5819720128467161E-3</v>
      </c>
      <c r="E718" s="206">
        <v>88.559997999999993</v>
      </c>
      <c r="F718" s="10">
        <f t="shared" si="23"/>
        <v>7.4626789242723479E-2</v>
      </c>
    </row>
    <row r="719" spans="2:6" x14ac:dyDescent="0.25">
      <c r="B719" s="210">
        <v>44105</v>
      </c>
      <c r="C719" s="206">
        <v>337.040009</v>
      </c>
      <c r="D719" s="207">
        <f t="shared" si="22"/>
        <v>6.4200003096539504E-3</v>
      </c>
      <c r="E719" s="206">
        <v>90.050003000000004</v>
      </c>
      <c r="F719" s="10">
        <f t="shared" si="23"/>
        <v>1.6824808419711346E-2</v>
      </c>
    </row>
    <row r="720" spans="2:6" x14ac:dyDescent="0.25">
      <c r="B720" s="210">
        <v>44106</v>
      </c>
      <c r="C720" s="206">
        <v>333.83999599999999</v>
      </c>
      <c r="D720" s="207">
        <f t="shared" si="22"/>
        <v>-9.494460344617428E-3</v>
      </c>
      <c r="E720" s="206">
        <v>91.580001999999993</v>
      </c>
      <c r="F720" s="10">
        <f t="shared" si="23"/>
        <v>1.6990549128576893E-2</v>
      </c>
    </row>
    <row r="721" spans="2:6" x14ac:dyDescent="0.25">
      <c r="B721" s="210">
        <v>44109</v>
      </c>
      <c r="C721" s="206">
        <v>339.76001000000002</v>
      </c>
      <c r="D721" s="207">
        <f t="shared" si="22"/>
        <v>1.7733087919159951E-2</v>
      </c>
      <c r="E721" s="206">
        <v>91.739998</v>
      </c>
      <c r="F721" s="10">
        <f t="shared" si="23"/>
        <v>1.7470626392868116E-3</v>
      </c>
    </row>
    <row r="722" spans="2:6" x14ac:dyDescent="0.25">
      <c r="B722" s="210">
        <v>44110</v>
      </c>
      <c r="C722" s="206">
        <v>334.92999300000002</v>
      </c>
      <c r="D722" s="207">
        <f t="shared" si="22"/>
        <v>-1.4215966734872687E-2</v>
      </c>
      <c r="E722" s="206">
        <v>90.769997000000004</v>
      </c>
      <c r="F722" s="10">
        <f t="shared" si="23"/>
        <v>-1.0573370625100664E-2</v>
      </c>
    </row>
    <row r="723" spans="2:6" x14ac:dyDescent="0.25">
      <c r="B723" s="210">
        <v>44111</v>
      </c>
      <c r="C723" s="206">
        <v>340.76001000000002</v>
      </c>
      <c r="D723" s="207">
        <f t="shared" si="22"/>
        <v>1.7406673399954276E-2</v>
      </c>
      <c r="E723" s="206">
        <v>91.300003000000004</v>
      </c>
      <c r="F723" s="10">
        <f t="shared" si="23"/>
        <v>5.8389998624766015E-3</v>
      </c>
    </row>
    <row r="724" spans="2:6" x14ac:dyDescent="0.25">
      <c r="B724" s="210">
        <v>44112</v>
      </c>
      <c r="C724" s="206">
        <v>343.77999899999998</v>
      </c>
      <c r="D724" s="207">
        <f t="shared" si="22"/>
        <v>8.8625100110777399E-3</v>
      </c>
      <c r="E724" s="206">
        <v>93.150002000000001</v>
      </c>
      <c r="F724" s="10">
        <f t="shared" si="23"/>
        <v>2.0262858041746101E-2</v>
      </c>
    </row>
    <row r="725" spans="2:6" x14ac:dyDescent="0.25">
      <c r="B725" s="210">
        <v>44113</v>
      </c>
      <c r="C725" s="206">
        <v>346.85000600000001</v>
      </c>
      <c r="D725" s="207">
        <f t="shared" si="22"/>
        <v>8.9301501219680723E-3</v>
      </c>
      <c r="E725" s="206">
        <v>93.300003000000004</v>
      </c>
      <c r="F725" s="10">
        <f t="shared" si="23"/>
        <v>1.6103166589305218E-3</v>
      </c>
    </row>
    <row r="726" spans="2:6" x14ac:dyDescent="0.25">
      <c r="B726" s="210">
        <v>44116</v>
      </c>
      <c r="C726" s="206">
        <v>352.42999300000002</v>
      </c>
      <c r="D726" s="207">
        <f t="shared" si="22"/>
        <v>1.6087608197994374E-2</v>
      </c>
      <c r="E726" s="206">
        <v>93.110000999999997</v>
      </c>
      <c r="F726" s="10">
        <f t="shared" si="23"/>
        <v>-2.0364629570269743E-3</v>
      </c>
    </row>
    <row r="727" spans="2:6" x14ac:dyDescent="0.25">
      <c r="B727" s="210">
        <v>44117</v>
      </c>
      <c r="C727" s="206">
        <v>350.13000499999998</v>
      </c>
      <c r="D727" s="207">
        <f t="shared" si="22"/>
        <v>-6.5260847421690915E-3</v>
      </c>
      <c r="E727" s="206">
        <v>92.919998000000007</v>
      </c>
      <c r="F727" s="10">
        <f t="shared" si="23"/>
        <v>-2.0406293412024157E-3</v>
      </c>
    </row>
    <row r="728" spans="2:6" x14ac:dyDescent="0.25">
      <c r="B728" s="210">
        <v>44118</v>
      </c>
      <c r="C728" s="206">
        <v>347.92999300000002</v>
      </c>
      <c r="D728" s="207">
        <f t="shared" si="22"/>
        <v>-6.2834146419412651E-3</v>
      </c>
      <c r="E728" s="206">
        <v>92.669998000000007</v>
      </c>
      <c r="F728" s="10">
        <f t="shared" si="23"/>
        <v>-2.69048649785808E-3</v>
      </c>
    </row>
    <row r="729" spans="2:6" x14ac:dyDescent="0.25">
      <c r="B729" s="210">
        <v>44119</v>
      </c>
      <c r="C729" s="206">
        <v>347.5</v>
      </c>
      <c r="D729" s="207">
        <f t="shared" si="22"/>
        <v>-1.2358606864917299E-3</v>
      </c>
      <c r="E729" s="206">
        <v>91.959998999999996</v>
      </c>
      <c r="F729" s="10">
        <f t="shared" si="23"/>
        <v>-7.6615842810313639E-3</v>
      </c>
    </row>
    <row r="730" spans="2:6" x14ac:dyDescent="0.25">
      <c r="B730" s="210">
        <v>44120</v>
      </c>
      <c r="C730" s="206">
        <v>347.290009</v>
      </c>
      <c r="D730" s="207">
        <f t="shared" si="22"/>
        <v>-6.0429064748201977E-4</v>
      </c>
      <c r="E730" s="206">
        <v>92.370002999999997</v>
      </c>
      <c r="F730" s="10">
        <f t="shared" si="23"/>
        <v>4.4585037457427479E-3</v>
      </c>
    </row>
    <row r="731" spans="2:6" x14ac:dyDescent="0.25">
      <c r="B731" s="210">
        <v>44123</v>
      </c>
      <c r="C731" s="206">
        <v>342.01001000000002</v>
      </c>
      <c r="D731" s="207">
        <f t="shared" si="22"/>
        <v>-1.5203429016583003E-2</v>
      </c>
      <c r="E731" s="206">
        <v>92.07</v>
      </c>
      <c r="F731" s="10">
        <f t="shared" si="23"/>
        <v>-3.2478401023761094E-3</v>
      </c>
    </row>
    <row r="732" spans="2:6" x14ac:dyDescent="0.25">
      <c r="B732" s="210">
        <v>44124</v>
      </c>
      <c r="C732" s="206">
        <v>343.38000499999998</v>
      </c>
      <c r="D732" s="207">
        <f t="shared" si="22"/>
        <v>4.0057160900055511E-3</v>
      </c>
      <c r="E732" s="206">
        <v>92.059997999999993</v>
      </c>
      <c r="F732" s="10">
        <f t="shared" si="23"/>
        <v>-1.086347344412264E-4</v>
      </c>
    </row>
    <row r="733" spans="2:6" x14ac:dyDescent="0.25">
      <c r="B733" s="210">
        <v>44125</v>
      </c>
      <c r="C733" s="206">
        <v>342.73001099999999</v>
      </c>
      <c r="D733" s="207">
        <f t="shared" si="22"/>
        <v>-1.8929290888676231E-3</v>
      </c>
      <c r="E733" s="206">
        <v>92.510002</v>
      </c>
      <c r="F733" s="10">
        <f t="shared" si="23"/>
        <v>4.888160001915276E-3</v>
      </c>
    </row>
    <row r="734" spans="2:6" x14ac:dyDescent="0.25">
      <c r="B734" s="210">
        <v>44126</v>
      </c>
      <c r="C734" s="206">
        <v>344.60998499999999</v>
      </c>
      <c r="D734" s="207">
        <f t="shared" si="22"/>
        <v>5.48529145292731E-3</v>
      </c>
      <c r="E734" s="206">
        <v>93.889999000000003</v>
      </c>
      <c r="F734" s="10">
        <f t="shared" si="23"/>
        <v>1.4917273485736127E-2</v>
      </c>
    </row>
    <row r="735" spans="2:6" x14ac:dyDescent="0.25">
      <c r="B735" s="210">
        <v>44127</v>
      </c>
      <c r="C735" s="206">
        <v>345.77999899999998</v>
      </c>
      <c r="D735" s="207">
        <f t="shared" si="22"/>
        <v>3.3951831082317252E-3</v>
      </c>
      <c r="E735" s="206">
        <v>92.779999000000004</v>
      </c>
      <c r="F735" s="10">
        <f t="shared" si="23"/>
        <v>-1.1822345423605718E-2</v>
      </c>
    </row>
    <row r="736" spans="2:6" x14ac:dyDescent="0.25">
      <c r="B736" s="210">
        <v>44130</v>
      </c>
      <c r="C736" s="206">
        <v>339.39001500000001</v>
      </c>
      <c r="D736" s="207">
        <f t="shared" si="22"/>
        <v>-1.8479912136271315E-2</v>
      </c>
      <c r="E736" s="206">
        <v>93.18</v>
      </c>
      <c r="F736" s="10">
        <f t="shared" si="23"/>
        <v>4.3112848061144238E-3</v>
      </c>
    </row>
    <row r="737" spans="2:6" x14ac:dyDescent="0.25">
      <c r="B737" s="210">
        <v>44131</v>
      </c>
      <c r="C737" s="206">
        <v>338.22000100000002</v>
      </c>
      <c r="D737" s="207">
        <f t="shared" si="22"/>
        <v>-3.4474025407023046E-3</v>
      </c>
      <c r="E737" s="206">
        <v>93.059997999999993</v>
      </c>
      <c r="F737" s="10">
        <f t="shared" si="23"/>
        <v>-1.2878514702727717E-3</v>
      </c>
    </row>
    <row r="738" spans="2:6" x14ac:dyDescent="0.25">
      <c r="B738" s="210">
        <v>44132</v>
      </c>
      <c r="C738" s="206">
        <v>326.66000400000001</v>
      </c>
      <c r="D738" s="207">
        <f t="shared" si="22"/>
        <v>-3.4178927815685323E-2</v>
      </c>
      <c r="E738" s="206">
        <v>90.980002999999996</v>
      </c>
      <c r="F738" s="10">
        <f t="shared" si="23"/>
        <v>-2.2351118038923645E-2</v>
      </c>
    </row>
    <row r="739" spans="2:6" x14ac:dyDescent="0.25">
      <c r="B739" s="210">
        <v>44133</v>
      </c>
      <c r="C739" s="206">
        <v>329.98001099999999</v>
      </c>
      <c r="D739" s="207">
        <f t="shared" si="22"/>
        <v>1.0163494028488262E-2</v>
      </c>
      <c r="E739" s="206">
        <v>92.239998</v>
      </c>
      <c r="F739" s="10">
        <f t="shared" si="23"/>
        <v>1.3849142212053023E-2</v>
      </c>
    </row>
    <row r="740" spans="2:6" x14ac:dyDescent="0.25">
      <c r="B740" s="210">
        <v>44134</v>
      </c>
      <c r="C740" s="206">
        <v>326.540009</v>
      </c>
      <c r="D740" s="207">
        <f t="shared" si="22"/>
        <v>-1.042487994825847E-2</v>
      </c>
      <c r="E740" s="206">
        <v>92.110000999999997</v>
      </c>
      <c r="F740" s="10">
        <f t="shared" si="23"/>
        <v>-1.4093343757445309E-3</v>
      </c>
    </row>
    <row r="741" spans="2:6" x14ac:dyDescent="0.25">
      <c r="B741" s="210">
        <v>44137</v>
      </c>
      <c r="C741" s="206">
        <v>330.20001200000002</v>
      </c>
      <c r="D741" s="207">
        <f t="shared" si="22"/>
        <v>1.1208436636014341E-2</v>
      </c>
      <c r="E741" s="206">
        <v>93.82</v>
      </c>
      <c r="F741" s="10">
        <f t="shared" si="23"/>
        <v>1.8564748468518522E-2</v>
      </c>
    </row>
    <row r="742" spans="2:6" x14ac:dyDescent="0.25">
      <c r="B742" s="210">
        <v>44138</v>
      </c>
      <c r="C742" s="206">
        <v>336.02999899999998</v>
      </c>
      <c r="D742" s="207">
        <f t="shared" si="22"/>
        <v>1.7655926069439332E-2</v>
      </c>
      <c r="E742" s="206">
        <v>95.519997000000004</v>
      </c>
      <c r="F742" s="10">
        <f t="shared" si="23"/>
        <v>1.8119771903645443E-2</v>
      </c>
    </row>
    <row r="743" spans="2:6" x14ac:dyDescent="0.25">
      <c r="B743" s="210">
        <v>44139</v>
      </c>
      <c r="C743" s="206">
        <v>343.540009</v>
      </c>
      <c r="D743" s="207">
        <f t="shared" si="22"/>
        <v>2.2349224838107418E-2</v>
      </c>
      <c r="E743" s="206">
        <v>93.550003000000004</v>
      </c>
      <c r="F743" s="10">
        <f t="shared" si="23"/>
        <v>-2.0623890932492395E-2</v>
      </c>
    </row>
    <row r="744" spans="2:6" x14ac:dyDescent="0.25">
      <c r="B744" s="210">
        <v>44140</v>
      </c>
      <c r="C744" s="206">
        <v>350.23998999999998</v>
      </c>
      <c r="D744" s="207">
        <f t="shared" si="22"/>
        <v>1.9502767725665393E-2</v>
      </c>
      <c r="E744" s="206">
        <v>94.220000999999996</v>
      </c>
      <c r="F744" s="10">
        <f t="shared" si="23"/>
        <v>7.1619238750852965E-3</v>
      </c>
    </row>
    <row r="745" spans="2:6" x14ac:dyDescent="0.25">
      <c r="B745" s="210">
        <v>44141</v>
      </c>
      <c r="C745" s="206">
        <v>350.16000400000001</v>
      </c>
      <c r="D745" s="207">
        <f t="shared" si="22"/>
        <v>-2.2837483520932178E-4</v>
      </c>
      <c r="E745" s="206">
        <v>93.440002000000007</v>
      </c>
      <c r="F745" s="10">
        <f t="shared" si="23"/>
        <v>-8.2784864330450736E-3</v>
      </c>
    </row>
    <row r="746" spans="2:6" x14ac:dyDescent="0.25">
      <c r="B746" s="210">
        <v>44144</v>
      </c>
      <c r="C746" s="206">
        <v>354.55999800000001</v>
      </c>
      <c r="D746" s="207">
        <f t="shared" si="22"/>
        <v>1.2565666980058676E-2</v>
      </c>
      <c r="E746" s="206">
        <v>95.400002000000001</v>
      </c>
      <c r="F746" s="10">
        <f t="shared" si="23"/>
        <v>2.0976026948287041E-2</v>
      </c>
    </row>
    <row r="747" spans="2:6" x14ac:dyDescent="0.25">
      <c r="B747" s="210">
        <v>44145</v>
      </c>
      <c r="C747" s="206">
        <v>354.040009</v>
      </c>
      <c r="D747" s="207">
        <f t="shared" si="22"/>
        <v>-1.4665754820993859E-3</v>
      </c>
      <c r="E747" s="206">
        <v>97.139999000000003</v>
      </c>
      <c r="F747" s="10">
        <f t="shared" si="23"/>
        <v>1.8238961881782867E-2</v>
      </c>
    </row>
    <row r="748" spans="2:6" x14ac:dyDescent="0.25">
      <c r="B748" s="210">
        <v>44146</v>
      </c>
      <c r="C748" s="206">
        <v>356.67001299999998</v>
      </c>
      <c r="D748" s="207">
        <f t="shared" si="22"/>
        <v>7.4285502574371609E-3</v>
      </c>
      <c r="E748" s="206">
        <v>97.309997999999993</v>
      </c>
      <c r="F748" s="10">
        <f t="shared" si="23"/>
        <v>1.7500411956972162E-3</v>
      </c>
    </row>
    <row r="749" spans="2:6" x14ac:dyDescent="0.25">
      <c r="B749" s="210">
        <v>44147</v>
      </c>
      <c r="C749" s="206">
        <v>353.209991</v>
      </c>
      <c r="D749" s="207">
        <f t="shared" si="22"/>
        <v>-9.70090524543199E-3</v>
      </c>
      <c r="E749" s="206">
        <v>94.25</v>
      </c>
      <c r="F749" s="10">
        <f t="shared" si="23"/>
        <v>-3.1445874657195949E-2</v>
      </c>
    </row>
    <row r="750" spans="2:6" x14ac:dyDescent="0.25">
      <c r="B750" s="210">
        <v>44148</v>
      </c>
      <c r="C750" s="206">
        <v>358.10000600000001</v>
      </c>
      <c r="D750" s="207">
        <f t="shared" si="22"/>
        <v>1.3844497960421531E-2</v>
      </c>
      <c r="E750" s="206">
        <v>94.980002999999996</v>
      </c>
      <c r="F750" s="10">
        <f t="shared" si="23"/>
        <v>7.7453899204242838E-3</v>
      </c>
    </row>
    <row r="751" spans="2:6" x14ac:dyDescent="0.25">
      <c r="B751" s="210">
        <v>44151</v>
      </c>
      <c r="C751" s="206">
        <v>362.57000699999998</v>
      </c>
      <c r="D751" s="207">
        <f t="shared" si="22"/>
        <v>1.2482549358013628E-2</v>
      </c>
      <c r="E751" s="206">
        <v>95.010002</v>
      </c>
      <c r="F751" s="10">
        <f t="shared" si="23"/>
        <v>3.1584543116935926E-4</v>
      </c>
    </row>
    <row r="752" spans="2:6" x14ac:dyDescent="0.25">
      <c r="B752" s="210">
        <v>44152</v>
      </c>
      <c r="C752" s="206">
        <v>360.61999500000002</v>
      </c>
      <c r="D752" s="207">
        <f t="shared" si="22"/>
        <v>-5.3783047752208324E-3</v>
      </c>
      <c r="E752" s="206">
        <v>92.919998000000007</v>
      </c>
      <c r="F752" s="10">
        <f t="shared" si="23"/>
        <v>-2.1997726092038095E-2</v>
      </c>
    </row>
    <row r="753" spans="2:6" x14ac:dyDescent="0.25">
      <c r="B753" s="210">
        <v>44153</v>
      </c>
      <c r="C753" s="206">
        <v>356.27999899999998</v>
      </c>
      <c r="D753" s="207">
        <f t="shared" si="22"/>
        <v>-1.2034817980628221E-2</v>
      </c>
      <c r="E753" s="206">
        <v>91.529999000000004</v>
      </c>
      <c r="F753" s="10">
        <f t="shared" si="23"/>
        <v>-1.4959094166144937E-2</v>
      </c>
    </row>
    <row r="754" spans="2:6" x14ac:dyDescent="0.25">
      <c r="B754" s="210">
        <v>44154</v>
      </c>
      <c r="C754" s="206">
        <v>357.77999899999998</v>
      </c>
      <c r="D754" s="207">
        <f t="shared" si="22"/>
        <v>4.2101717868254784E-3</v>
      </c>
      <c r="E754" s="206">
        <v>91.699996999999996</v>
      </c>
      <c r="F754" s="10">
        <f t="shared" si="23"/>
        <v>1.8572927112125992E-3</v>
      </c>
    </row>
    <row r="755" spans="2:6" x14ac:dyDescent="0.25">
      <c r="B755" s="210">
        <v>44155</v>
      </c>
      <c r="C755" s="206">
        <v>355.32998700000002</v>
      </c>
      <c r="D755" s="207">
        <f t="shared" si="22"/>
        <v>-6.8478171134433996E-3</v>
      </c>
      <c r="E755" s="206">
        <v>92.580001999999993</v>
      </c>
      <c r="F755" s="10">
        <f t="shared" si="23"/>
        <v>9.5965651994514012E-3</v>
      </c>
    </row>
    <row r="756" spans="2:6" x14ac:dyDescent="0.25">
      <c r="B756" s="210">
        <v>44158</v>
      </c>
      <c r="C756" s="206">
        <v>357.459991</v>
      </c>
      <c r="D756" s="207">
        <f t="shared" si="22"/>
        <v>5.9944391915338624E-3</v>
      </c>
      <c r="E756" s="206">
        <v>93.330001999999993</v>
      </c>
      <c r="F756" s="10">
        <f t="shared" si="23"/>
        <v>8.1011015748304605E-3</v>
      </c>
    </row>
    <row r="757" spans="2:6" x14ac:dyDescent="0.25">
      <c r="B757" s="210">
        <v>44159</v>
      </c>
      <c r="C757" s="206">
        <v>363.22000100000002</v>
      </c>
      <c r="D757" s="207">
        <f t="shared" si="22"/>
        <v>1.6113719423217931E-2</v>
      </c>
      <c r="E757" s="206">
        <v>96.260002</v>
      </c>
      <c r="F757" s="10">
        <f t="shared" si="23"/>
        <v>3.1393977683617846E-2</v>
      </c>
    </row>
    <row r="758" spans="2:6" x14ac:dyDescent="0.25">
      <c r="B758" s="210">
        <v>44160</v>
      </c>
      <c r="C758" s="206">
        <v>362.66000400000001</v>
      </c>
      <c r="D758" s="207">
        <f t="shared" si="22"/>
        <v>-1.5417570575911865E-3</v>
      </c>
      <c r="E758" s="206">
        <v>96.150002000000001</v>
      </c>
      <c r="F758" s="10">
        <f t="shared" si="23"/>
        <v>-1.1427383930451285E-3</v>
      </c>
    </row>
    <row r="759" spans="2:6" x14ac:dyDescent="0.25">
      <c r="B759" s="210">
        <v>44162</v>
      </c>
      <c r="C759" s="206">
        <v>363.67001299999998</v>
      </c>
      <c r="D759" s="207">
        <f t="shared" si="22"/>
        <v>2.7850024509457061E-3</v>
      </c>
      <c r="E759" s="206">
        <v>94.599997999999999</v>
      </c>
      <c r="F759" s="10">
        <f t="shared" si="23"/>
        <v>-1.6120686092133463E-2</v>
      </c>
    </row>
    <row r="760" spans="2:6" x14ac:dyDescent="0.25">
      <c r="B760" s="210">
        <v>44165</v>
      </c>
      <c r="C760" s="206">
        <v>362.05999800000001</v>
      </c>
      <c r="D760" s="207">
        <f t="shared" si="22"/>
        <v>-4.4271315820586521E-3</v>
      </c>
      <c r="E760" s="206">
        <v>92.660004000000001</v>
      </c>
      <c r="F760" s="10">
        <f t="shared" si="23"/>
        <v>-2.0507336585778746E-2</v>
      </c>
    </row>
    <row r="761" spans="2:6" x14ac:dyDescent="0.25">
      <c r="B761" s="210">
        <v>44166</v>
      </c>
      <c r="C761" s="206">
        <v>366.01998900000001</v>
      </c>
      <c r="D761" s="207">
        <f t="shared" si="22"/>
        <v>1.0937388890998045E-2</v>
      </c>
      <c r="E761" s="206">
        <v>93.260002</v>
      </c>
      <c r="F761" s="10">
        <f t="shared" si="23"/>
        <v>6.4752641279834933E-3</v>
      </c>
    </row>
    <row r="762" spans="2:6" x14ac:dyDescent="0.25">
      <c r="B762" s="210">
        <v>44167</v>
      </c>
      <c r="C762" s="206">
        <v>366.790009</v>
      </c>
      <c r="D762" s="207">
        <f t="shared" si="22"/>
        <v>2.1037648848187818E-3</v>
      </c>
      <c r="E762" s="206">
        <v>93.870002999999997</v>
      </c>
      <c r="F762" s="10">
        <f t="shared" si="23"/>
        <v>6.5408641102109311E-3</v>
      </c>
    </row>
    <row r="763" spans="2:6" x14ac:dyDescent="0.25">
      <c r="B763" s="210">
        <v>44168</v>
      </c>
      <c r="C763" s="206">
        <v>366.69000199999999</v>
      </c>
      <c r="D763" s="207">
        <f t="shared" si="22"/>
        <v>-2.7265464583581256E-4</v>
      </c>
      <c r="E763" s="206">
        <v>92.349997999999999</v>
      </c>
      <c r="F763" s="10">
        <f t="shared" si="23"/>
        <v>-1.6192659544284838E-2</v>
      </c>
    </row>
    <row r="764" spans="2:6" x14ac:dyDescent="0.25">
      <c r="B764" s="210">
        <v>44169</v>
      </c>
      <c r="C764" s="206">
        <v>369.85000600000001</v>
      </c>
      <c r="D764" s="207">
        <f t="shared" si="22"/>
        <v>8.6176442847221146E-3</v>
      </c>
      <c r="E764" s="206">
        <v>91.150002000000001</v>
      </c>
      <c r="F764" s="10">
        <f t="shared" si="23"/>
        <v>-1.2994001364244778E-2</v>
      </c>
    </row>
    <row r="765" spans="2:6" x14ac:dyDescent="0.25">
      <c r="B765" s="210">
        <v>44172</v>
      </c>
      <c r="C765" s="206">
        <v>369.08999599999999</v>
      </c>
      <c r="D765" s="207">
        <f t="shared" si="22"/>
        <v>-2.0549141210505217E-3</v>
      </c>
      <c r="E765" s="206">
        <v>91.870002999999997</v>
      </c>
      <c r="F765" s="10">
        <f t="shared" si="23"/>
        <v>7.8990782688079797E-3</v>
      </c>
    </row>
    <row r="766" spans="2:6" x14ac:dyDescent="0.25">
      <c r="B766" s="210">
        <v>44173</v>
      </c>
      <c r="C766" s="206">
        <v>370.17001299999998</v>
      </c>
      <c r="D766" s="207">
        <f t="shared" si="22"/>
        <v>2.9261616725044792E-3</v>
      </c>
      <c r="E766" s="206">
        <v>91.510002</v>
      </c>
      <c r="F766" s="10">
        <f t="shared" si="23"/>
        <v>-3.9185913600111588E-3</v>
      </c>
    </row>
    <row r="767" spans="2:6" x14ac:dyDescent="0.25">
      <c r="B767" s="210">
        <v>44174</v>
      </c>
      <c r="C767" s="206">
        <v>366.85000600000001</v>
      </c>
      <c r="D767" s="207">
        <f t="shared" si="22"/>
        <v>-8.9688707442652227E-3</v>
      </c>
      <c r="E767" s="206">
        <v>91.389999000000003</v>
      </c>
      <c r="F767" s="10">
        <f t="shared" si="23"/>
        <v>-1.3113648494947894E-3</v>
      </c>
    </row>
    <row r="768" spans="2:6" x14ac:dyDescent="0.25">
      <c r="B768" s="210">
        <v>44175</v>
      </c>
      <c r="C768" s="206">
        <v>366.73001099999999</v>
      </c>
      <c r="D768" s="207">
        <f t="shared" si="22"/>
        <v>-3.2709553778775824E-4</v>
      </c>
      <c r="E768" s="206">
        <v>91.760002</v>
      </c>
      <c r="F768" s="10">
        <f t="shared" si="23"/>
        <v>4.0486158666004357E-3</v>
      </c>
    </row>
    <row r="769" spans="2:6" x14ac:dyDescent="0.25">
      <c r="B769" s="210">
        <v>44176</v>
      </c>
      <c r="C769" s="206">
        <v>366.29998799999998</v>
      </c>
      <c r="D769" s="207">
        <f t="shared" si="22"/>
        <v>-1.1725874269941094E-3</v>
      </c>
      <c r="E769" s="206">
        <v>91.540001000000004</v>
      </c>
      <c r="F769" s="10">
        <f t="shared" si="23"/>
        <v>-2.3975696949091185E-3</v>
      </c>
    </row>
    <row r="770" spans="2:6" x14ac:dyDescent="0.25">
      <c r="B770" s="210">
        <v>44179</v>
      </c>
      <c r="C770" s="206">
        <v>364.66000400000001</v>
      </c>
      <c r="D770" s="207">
        <f t="shared" si="22"/>
        <v>-4.4771609438326587E-3</v>
      </c>
      <c r="E770" s="206">
        <v>91.129997000000003</v>
      </c>
      <c r="F770" s="10">
        <f t="shared" si="23"/>
        <v>-4.478959968549745E-3</v>
      </c>
    </row>
    <row r="771" spans="2:6" x14ac:dyDescent="0.25">
      <c r="B771" s="210">
        <v>44180</v>
      </c>
      <c r="C771" s="206">
        <v>369.58999599999999</v>
      </c>
      <c r="D771" s="207">
        <f t="shared" si="22"/>
        <v>1.3519420682066352E-2</v>
      </c>
      <c r="E771" s="206">
        <v>92.110000999999997</v>
      </c>
      <c r="F771" s="10">
        <f t="shared" si="23"/>
        <v>1.0753912347873706E-2</v>
      </c>
    </row>
    <row r="772" spans="2:6" x14ac:dyDescent="0.25">
      <c r="B772" s="210">
        <v>44181</v>
      </c>
      <c r="C772" s="206">
        <v>370.17001299999998</v>
      </c>
      <c r="D772" s="207">
        <f t="shared" si="22"/>
        <v>1.5693525427566968E-3</v>
      </c>
      <c r="E772" s="206">
        <v>90.610000999999997</v>
      </c>
      <c r="F772" s="10">
        <f t="shared" si="23"/>
        <v>-1.6284876600967557E-2</v>
      </c>
    </row>
    <row r="773" spans="2:6" x14ac:dyDescent="0.25">
      <c r="B773" s="210">
        <v>44182</v>
      </c>
      <c r="C773" s="206">
        <v>372.23998999999998</v>
      </c>
      <c r="D773" s="207">
        <f t="shared" ref="D773:D836" si="24">C773/C772-1</f>
        <v>5.5919629556810957E-3</v>
      </c>
      <c r="E773" s="206">
        <v>91.519997000000004</v>
      </c>
      <c r="F773" s="10">
        <f t="shared" ref="F773:F836" si="25">E773/E772-1</f>
        <v>1.0042997350811378E-2</v>
      </c>
    </row>
    <row r="774" spans="2:6" x14ac:dyDescent="0.25">
      <c r="B774" s="210">
        <v>44183</v>
      </c>
      <c r="C774" s="206">
        <v>369.17999300000002</v>
      </c>
      <c r="D774" s="207">
        <f t="shared" si="24"/>
        <v>-8.22049506287581E-3</v>
      </c>
      <c r="E774" s="206">
        <v>90.32</v>
      </c>
      <c r="F774" s="10">
        <f t="shared" si="25"/>
        <v>-1.3111855761970936E-2</v>
      </c>
    </row>
    <row r="775" spans="2:6" x14ac:dyDescent="0.25">
      <c r="B775" s="210">
        <v>44186</v>
      </c>
      <c r="C775" s="206">
        <v>367.85998499999999</v>
      </c>
      <c r="D775" s="207">
        <f t="shared" si="24"/>
        <v>-3.5755133675405837E-3</v>
      </c>
      <c r="E775" s="206">
        <v>89.099997999999999</v>
      </c>
      <c r="F775" s="10">
        <f t="shared" si="25"/>
        <v>-1.3507550930026535E-2</v>
      </c>
    </row>
    <row r="776" spans="2:6" x14ac:dyDescent="0.25">
      <c r="B776" s="210">
        <v>44187</v>
      </c>
      <c r="C776" s="206">
        <v>367.23998999999998</v>
      </c>
      <c r="D776" s="207">
        <f t="shared" si="24"/>
        <v>-1.6854102791311609E-3</v>
      </c>
      <c r="E776" s="206">
        <v>89.529999000000004</v>
      </c>
      <c r="F776" s="10">
        <f t="shared" si="25"/>
        <v>4.8260494910450369E-3</v>
      </c>
    </row>
    <row r="777" spans="2:6" x14ac:dyDescent="0.25">
      <c r="B777" s="210">
        <v>44188</v>
      </c>
      <c r="C777" s="206">
        <v>367.57000699999998</v>
      </c>
      <c r="D777" s="207">
        <f t="shared" si="24"/>
        <v>8.98641240024034E-4</v>
      </c>
      <c r="E777" s="206">
        <v>89.040001000000004</v>
      </c>
      <c r="F777" s="10">
        <f t="shared" si="25"/>
        <v>-5.4730035236568719E-3</v>
      </c>
    </row>
    <row r="778" spans="2:6" x14ac:dyDescent="0.25">
      <c r="B778" s="210">
        <v>44189</v>
      </c>
      <c r="C778" s="206">
        <v>369</v>
      </c>
      <c r="D778" s="207">
        <f t="shared" si="24"/>
        <v>3.8903963129941488E-3</v>
      </c>
      <c r="E778" s="206">
        <v>89.669998000000007</v>
      </c>
      <c r="F778" s="10">
        <f t="shared" si="25"/>
        <v>7.0754379259272415E-3</v>
      </c>
    </row>
    <row r="779" spans="2:6" x14ac:dyDescent="0.25">
      <c r="B779" s="210">
        <v>44193</v>
      </c>
      <c r="C779" s="206">
        <v>372.17001299999998</v>
      </c>
      <c r="D779" s="207">
        <f t="shared" si="24"/>
        <v>8.590821138211302E-3</v>
      </c>
      <c r="E779" s="206">
        <v>90.25</v>
      </c>
      <c r="F779" s="10">
        <f t="shared" si="25"/>
        <v>6.4681834831756824E-3</v>
      </c>
    </row>
    <row r="780" spans="2:6" x14ac:dyDescent="0.25">
      <c r="B780" s="210">
        <v>44194</v>
      </c>
      <c r="C780" s="206">
        <v>371.459991</v>
      </c>
      <c r="D780" s="207">
        <f t="shared" si="24"/>
        <v>-1.9077893844176019E-3</v>
      </c>
      <c r="E780" s="206">
        <v>89.860000999999997</v>
      </c>
      <c r="F780" s="10">
        <f t="shared" si="25"/>
        <v>-4.3213185595568637E-3</v>
      </c>
    </row>
    <row r="781" spans="2:6" x14ac:dyDescent="0.25">
      <c r="B781" s="210">
        <v>44195</v>
      </c>
      <c r="C781" s="206">
        <v>371.98998999999998</v>
      </c>
      <c r="D781" s="207">
        <f t="shared" si="24"/>
        <v>1.4267996899832713E-3</v>
      </c>
      <c r="E781" s="206">
        <v>90.559997999999993</v>
      </c>
      <c r="F781" s="10">
        <f t="shared" si="25"/>
        <v>7.7898619208784936E-3</v>
      </c>
    </row>
    <row r="782" spans="2:6" x14ac:dyDescent="0.25">
      <c r="B782" s="210">
        <v>44196</v>
      </c>
      <c r="C782" s="206">
        <v>373.88000499999998</v>
      </c>
      <c r="D782" s="207">
        <f t="shared" si="24"/>
        <v>5.0808222016942572E-3</v>
      </c>
      <c r="E782" s="206">
        <v>91.559997999999993</v>
      </c>
      <c r="F782" s="10">
        <f t="shared" si="25"/>
        <v>1.1042403070724349E-2</v>
      </c>
    </row>
    <row r="783" spans="2:6" x14ac:dyDescent="0.25">
      <c r="B783" s="210">
        <v>44200</v>
      </c>
      <c r="C783" s="206">
        <v>368.790009</v>
      </c>
      <c r="D783" s="207">
        <f t="shared" si="24"/>
        <v>-1.3613982914116973E-2</v>
      </c>
      <c r="E783" s="206">
        <v>89.709998999999996</v>
      </c>
      <c r="F783" s="10">
        <f t="shared" si="25"/>
        <v>-2.0205319357914364E-2</v>
      </c>
    </row>
    <row r="784" spans="2:6" x14ac:dyDescent="0.25">
      <c r="B784" s="210">
        <v>44201</v>
      </c>
      <c r="C784" s="206">
        <v>371.32998700000002</v>
      </c>
      <c r="D784" s="207">
        <f t="shared" si="24"/>
        <v>6.8873286640473985E-3</v>
      </c>
      <c r="E784" s="206">
        <v>89.75</v>
      </c>
      <c r="F784" s="10">
        <f t="shared" si="25"/>
        <v>4.4589232466729634E-4</v>
      </c>
    </row>
    <row r="785" spans="2:6" x14ac:dyDescent="0.25">
      <c r="B785" s="210">
        <v>44202</v>
      </c>
      <c r="C785" s="206">
        <v>373.54998799999998</v>
      </c>
      <c r="D785" s="207">
        <f t="shared" si="24"/>
        <v>5.9785125837412689E-3</v>
      </c>
      <c r="E785" s="206">
        <v>90.910004000000001</v>
      </c>
      <c r="F785" s="10">
        <f t="shared" si="25"/>
        <v>1.2924835654596123E-2</v>
      </c>
    </row>
    <row r="786" spans="2:6" x14ac:dyDescent="0.25">
      <c r="B786" s="210">
        <v>44203</v>
      </c>
      <c r="C786" s="206">
        <v>379.10000600000001</v>
      </c>
      <c r="D786" s="207">
        <f t="shared" si="24"/>
        <v>1.4857497465640357E-2</v>
      </c>
      <c r="E786" s="206">
        <v>89.889999000000003</v>
      </c>
      <c r="F786" s="10">
        <f t="shared" si="25"/>
        <v>-1.1219942306899489E-2</v>
      </c>
    </row>
    <row r="787" spans="2:6" x14ac:dyDescent="0.25">
      <c r="B787" s="210">
        <v>44204</v>
      </c>
      <c r="C787" s="206">
        <v>381.26001000000002</v>
      </c>
      <c r="D787" s="207">
        <f t="shared" si="24"/>
        <v>5.6977155521331646E-3</v>
      </c>
      <c r="E787" s="206">
        <v>90.050003000000004</v>
      </c>
      <c r="F787" s="10">
        <f t="shared" si="25"/>
        <v>1.7799977948602663E-3</v>
      </c>
    </row>
    <row r="788" spans="2:6" x14ac:dyDescent="0.25">
      <c r="B788" s="210">
        <v>44207</v>
      </c>
      <c r="C788" s="206">
        <v>378.69000199999999</v>
      </c>
      <c r="D788" s="207">
        <f t="shared" si="24"/>
        <v>-6.7408276047624671E-3</v>
      </c>
      <c r="E788" s="206">
        <v>89.290001000000004</v>
      </c>
      <c r="F788" s="10">
        <f t="shared" si="25"/>
        <v>-8.4397776199962582E-3</v>
      </c>
    </row>
    <row r="789" spans="2:6" x14ac:dyDescent="0.25">
      <c r="B789" s="210">
        <v>44208</v>
      </c>
      <c r="C789" s="206">
        <v>378.76998900000001</v>
      </c>
      <c r="D789" s="207">
        <f t="shared" si="24"/>
        <v>2.1122025819941825E-4</v>
      </c>
      <c r="E789" s="206">
        <v>88.93</v>
      </c>
      <c r="F789" s="10">
        <f t="shared" si="25"/>
        <v>-4.0318176275975226E-3</v>
      </c>
    </row>
    <row r="790" spans="2:6" x14ac:dyDescent="0.25">
      <c r="B790" s="210">
        <v>44209</v>
      </c>
      <c r="C790" s="206">
        <v>379.790009</v>
      </c>
      <c r="D790" s="207">
        <f t="shared" si="24"/>
        <v>2.6929799868595783E-3</v>
      </c>
      <c r="E790" s="206">
        <v>91.559997999999993</v>
      </c>
      <c r="F790" s="10">
        <f t="shared" si="25"/>
        <v>2.9573799617676588E-2</v>
      </c>
    </row>
    <row r="791" spans="2:6" x14ac:dyDescent="0.25">
      <c r="B791" s="210">
        <v>44210</v>
      </c>
      <c r="C791" s="206">
        <v>378.459991</v>
      </c>
      <c r="D791" s="207">
        <f t="shared" si="24"/>
        <v>-3.501982591648467E-3</v>
      </c>
      <c r="E791" s="206">
        <v>91.660004000000001</v>
      </c>
      <c r="F791" s="10">
        <f t="shared" si="25"/>
        <v>1.0922455459208003E-3</v>
      </c>
    </row>
    <row r="792" spans="2:6" x14ac:dyDescent="0.25">
      <c r="B792" s="210">
        <v>44211</v>
      </c>
      <c r="C792" s="206">
        <v>375.70001200000002</v>
      </c>
      <c r="D792" s="207">
        <f t="shared" si="24"/>
        <v>-7.292657257395474E-3</v>
      </c>
      <c r="E792" s="206">
        <v>92.110000999999997</v>
      </c>
      <c r="F792" s="10">
        <f t="shared" si="25"/>
        <v>4.9094150159538774E-3</v>
      </c>
    </row>
    <row r="793" spans="2:6" x14ac:dyDescent="0.25">
      <c r="B793" s="210">
        <v>44215</v>
      </c>
      <c r="C793" s="206">
        <v>378.64999399999999</v>
      </c>
      <c r="D793" s="207">
        <f t="shared" si="24"/>
        <v>7.8519614207517296E-3</v>
      </c>
      <c r="E793" s="206">
        <v>90.379997000000003</v>
      </c>
      <c r="F793" s="10">
        <f t="shared" si="25"/>
        <v>-1.8781934439453529E-2</v>
      </c>
    </row>
    <row r="794" spans="2:6" x14ac:dyDescent="0.25">
      <c r="B794" s="210">
        <v>44216</v>
      </c>
      <c r="C794" s="206">
        <v>383.89001500000001</v>
      </c>
      <c r="D794" s="207">
        <f t="shared" si="24"/>
        <v>1.3838692943436426E-2</v>
      </c>
      <c r="E794" s="206">
        <v>90.779999000000004</v>
      </c>
      <c r="F794" s="10">
        <f t="shared" si="25"/>
        <v>4.4257801867375601E-3</v>
      </c>
    </row>
    <row r="795" spans="2:6" x14ac:dyDescent="0.25">
      <c r="B795" s="210">
        <v>44217</v>
      </c>
      <c r="C795" s="206">
        <v>384.23998999999998</v>
      </c>
      <c r="D795" s="207">
        <f t="shared" si="24"/>
        <v>9.1165434453910343E-4</v>
      </c>
      <c r="E795" s="206">
        <v>90.18</v>
      </c>
      <c r="F795" s="10">
        <f t="shared" si="25"/>
        <v>-6.6093743843288477E-3</v>
      </c>
    </row>
    <row r="796" spans="2:6" x14ac:dyDescent="0.25">
      <c r="B796" s="210">
        <v>44218</v>
      </c>
      <c r="C796" s="206">
        <v>382.88000499999998</v>
      </c>
      <c r="D796" s="207">
        <f t="shared" si="24"/>
        <v>-3.5394155616129686E-3</v>
      </c>
      <c r="E796" s="206">
        <v>90.290001000000004</v>
      </c>
      <c r="F796" s="10">
        <f t="shared" si="25"/>
        <v>1.2197937458415797E-3</v>
      </c>
    </row>
    <row r="797" spans="2:6" x14ac:dyDescent="0.25">
      <c r="B797" s="210">
        <v>44221</v>
      </c>
      <c r="C797" s="206">
        <v>384.39001500000001</v>
      </c>
      <c r="D797" s="207">
        <f t="shared" si="24"/>
        <v>3.9438204666759624E-3</v>
      </c>
      <c r="E797" s="206">
        <v>92.910004000000001</v>
      </c>
      <c r="F797" s="10">
        <f t="shared" si="25"/>
        <v>2.901764282846786E-2</v>
      </c>
    </row>
    <row r="798" spans="2:6" x14ac:dyDescent="0.25">
      <c r="B798" s="210">
        <v>44222</v>
      </c>
      <c r="C798" s="206">
        <v>383.790009</v>
      </c>
      <c r="D798" s="207">
        <f t="shared" si="24"/>
        <v>-1.5609302442468609E-3</v>
      </c>
      <c r="E798" s="206">
        <v>92.919998000000007</v>
      </c>
      <c r="F798" s="10">
        <f t="shared" si="25"/>
        <v>1.0756645753673411E-4</v>
      </c>
    </row>
    <row r="799" spans="2:6" x14ac:dyDescent="0.25">
      <c r="B799" s="210">
        <v>44223</v>
      </c>
      <c r="C799" s="206">
        <v>374.41000400000001</v>
      </c>
      <c r="D799" s="207">
        <f t="shared" si="24"/>
        <v>-2.4440461658812973E-2</v>
      </c>
      <c r="E799" s="206">
        <v>91.709998999999996</v>
      </c>
      <c r="F799" s="10">
        <f t="shared" si="25"/>
        <v>-1.3021943887687293E-2</v>
      </c>
    </row>
    <row r="800" spans="2:6" x14ac:dyDescent="0.25">
      <c r="B800" s="210">
        <v>44224</v>
      </c>
      <c r="C800" s="206">
        <v>377.63000499999998</v>
      </c>
      <c r="D800" s="207">
        <f t="shared" si="24"/>
        <v>8.6002002232823394E-3</v>
      </c>
      <c r="E800" s="206">
        <v>91.480002999999996</v>
      </c>
      <c r="F800" s="10">
        <f t="shared" si="25"/>
        <v>-2.5078617654330504E-3</v>
      </c>
    </row>
    <row r="801" spans="2:6" x14ac:dyDescent="0.25">
      <c r="B801" s="210">
        <v>44225</v>
      </c>
      <c r="C801" s="206">
        <v>370.07000699999998</v>
      </c>
      <c r="D801" s="207">
        <f t="shared" si="24"/>
        <v>-2.0019590339491189E-2</v>
      </c>
      <c r="E801" s="206">
        <v>94</v>
      </c>
      <c r="F801" s="10">
        <f t="shared" si="25"/>
        <v>2.7546971112364371E-2</v>
      </c>
    </row>
    <row r="802" spans="2:6" x14ac:dyDescent="0.25">
      <c r="B802" s="210">
        <v>44228</v>
      </c>
      <c r="C802" s="206">
        <v>376.23001099999999</v>
      </c>
      <c r="D802" s="207">
        <f t="shared" si="24"/>
        <v>1.6645509994005048E-2</v>
      </c>
      <c r="E802" s="206">
        <v>93.160004000000001</v>
      </c>
      <c r="F802" s="10">
        <f t="shared" si="25"/>
        <v>-8.936127659574411E-3</v>
      </c>
    </row>
    <row r="803" spans="2:6" x14ac:dyDescent="0.25">
      <c r="B803" s="210">
        <v>44229</v>
      </c>
      <c r="C803" s="206">
        <v>381.54998799999998</v>
      </c>
      <c r="D803" s="207">
        <f t="shared" si="24"/>
        <v>1.4140224980617067E-2</v>
      </c>
      <c r="E803" s="206">
        <v>93.099997999999999</v>
      </c>
      <c r="F803" s="10">
        <f t="shared" si="25"/>
        <v>-6.4411761940241785E-4</v>
      </c>
    </row>
    <row r="804" spans="2:6" x14ac:dyDescent="0.25">
      <c r="B804" s="210">
        <v>44230</v>
      </c>
      <c r="C804" s="206">
        <v>381.85000600000001</v>
      </c>
      <c r="D804" s="207">
        <f t="shared" si="24"/>
        <v>7.8631374508142393E-4</v>
      </c>
      <c r="E804" s="206">
        <v>93.389999000000003</v>
      </c>
      <c r="F804" s="10">
        <f t="shared" si="25"/>
        <v>3.1149409906539027E-3</v>
      </c>
    </row>
    <row r="805" spans="2:6" x14ac:dyDescent="0.25">
      <c r="B805" s="210">
        <v>44231</v>
      </c>
      <c r="C805" s="206">
        <v>386.19000199999999</v>
      </c>
      <c r="D805" s="207">
        <f t="shared" si="24"/>
        <v>1.1365708869466307E-2</v>
      </c>
      <c r="E805" s="206">
        <v>94.349997999999999</v>
      </c>
      <c r="F805" s="10">
        <f t="shared" si="25"/>
        <v>1.0279462579285248E-2</v>
      </c>
    </row>
    <row r="806" spans="2:6" x14ac:dyDescent="0.25">
      <c r="B806" s="210">
        <v>44232</v>
      </c>
      <c r="C806" s="206">
        <v>387.709991</v>
      </c>
      <c r="D806" s="207">
        <f t="shared" si="24"/>
        <v>3.9358579769759316E-3</v>
      </c>
      <c r="E806" s="206">
        <v>94.739998</v>
      </c>
      <c r="F806" s="10">
        <f t="shared" si="25"/>
        <v>4.1335453976374392E-3</v>
      </c>
    </row>
    <row r="807" spans="2:6" x14ac:dyDescent="0.25">
      <c r="B807" s="210">
        <v>44235</v>
      </c>
      <c r="C807" s="206">
        <v>390.51001000000002</v>
      </c>
      <c r="D807" s="207">
        <f t="shared" si="24"/>
        <v>7.2219418250689671E-3</v>
      </c>
      <c r="E807" s="206">
        <v>93.599997999999999</v>
      </c>
      <c r="F807" s="10">
        <f t="shared" si="25"/>
        <v>-1.2032932489612236E-2</v>
      </c>
    </row>
    <row r="808" spans="2:6" x14ac:dyDescent="0.25">
      <c r="B808" s="210">
        <v>44236</v>
      </c>
      <c r="C808" s="206">
        <v>390.25</v>
      </c>
      <c r="D808" s="207">
        <f t="shared" si="24"/>
        <v>-6.658216008342821E-4</v>
      </c>
      <c r="E808" s="206">
        <v>93.32</v>
      </c>
      <c r="F808" s="10">
        <f t="shared" si="25"/>
        <v>-2.9914316878512093E-3</v>
      </c>
    </row>
    <row r="809" spans="2:6" x14ac:dyDescent="0.25">
      <c r="B809" s="210">
        <v>44237</v>
      </c>
      <c r="C809" s="206">
        <v>390.07998700000002</v>
      </c>
      <c r="D809" s="207">
        <f t="shared" si="24"/>
        <v>-4.3565150544522258E-4</v>
      </c>
      <c r="E809" s="206">
        <v>93.699996999999996</v>
      </c>
      <c r="F809" s="10">
        <f t="shared" si="25"/>
        <v>4.0719781397342558E-3</v>
      </c>
    </row>
    <row r="810" spans="2:6" x14ac:dyDescent="0.25">
      <c r="B810" s="210">
        <v>44238</v>
      </c>
      <c r="C810" s="206">
        <v>390.709991</v>
      </c>
      <c r="D810" s="207">
        <f t="shared" si="24"/>
        <v>1.6150636305265476E-3</v>
      </c>
      <c r="E810" s="206">
        <v>90.419998000000007</v>
      </c>
      <c r="F810" s="10">
        <f t="shared" si="25"/>
        <v>-3.5005326627705169E-2</v>
      </c>
    </row>
    <row r="811" spans="2:6" x14ac:dyDescent="0.25">
      <c r="B811" s="210">
        <v>44239</v>
      </c>
      <c r="C811" s="206">
        <v>392.64001500000001</v>
      </c>
      <c r="D811" s="207">
        <f t="shared" si="24"/>
        <v>4.9397866562364001E-3</v>
      </c>
      <c r="E811" s="206">
        <v>89.82</v>
      </c>
      <c r="F811" s="10">
        <f t="shared" si="25"/>
        <v>-6.6356780941314586E-3</v>
      </c>
    </row>
    <row r="812" spans="2:6" x14ac:dyDescent="0.25">
      <c r="B812" s="210">
        <v>44243</v>
      </c>
      <c r="C812" s="206">
        <v>392.29998799999998</v>
      </c>
      <c r="D812" s="207">
        <f t="shared" si="24"/>
        <v>-8.6600190253161013E-4</v>
      </c>
      <c r="E812" s="206">
        <v>88.379997000000003</v>
      </c>
      <c r="F812" s="10">
        <f t="shared" si="25"/>
        <v>-1.6032097528389966E-2</v>
      </c>
    </row>
    <row r="813" spans="2:6" x14ac:dyDescent="0.25">
      <c r="B813" s="210">
        <v>44244</v>
      </c>
      <c r="C813" s="206">
        <v>392.39001500000001</v>
      </c>
      <c r="D813" s="207">
        <f t="shared" si="24"/>
        <v>2.294850949626781E-4</v>
      </c>
      <c r="E813" s="206">
        <v>89.199996999999996</v>
      </c>
      <c r="F813" s="10">
        <f t="shared" si="25"/>
        <v>9.2781175360301393E-3</v>
      </c>
    </row>
    <row r="814" spans="2:6" x14ac:dyDescent="0.25">
      <c r="B814" s="210">
        <v>44245</v>
      </c>
      <c r="C814" s="206">
        <v>390.72000100000002</v>
      </c>
      <c r="D814" s="207">
        <f t="shared" si="24"/>
        <v>-4.2560053420318544E-3</v>
      </c>
      <c r="E814" s="206">
        <v>89.529999000000004</v>
      </c>
      <c r="F814" s="10">
        <f t="shared" si="25"/>
        <v>3.6995741154566275E-3</v>
      </c>
    </row>
    <row r="815" spans="2:6" x14ac:dyDescent="0.25">
      <c r="B815" s="210">
        <v>44246</v>
      </c>
      <c r="C815" s="206">
        <v>390.02999899999998</v>
      </c>
      <c r="D815" s="207">
        <f t="shared" si="24"/>
        <v>-1.7659756302059737E-3</v>
      </c>
      <c r="E815" s="206">
        <v>88.43</v>
      </c>
      <c r="F815" s="10">
        <f t="shared" si="25"/>
        <v>-1.2286373419930441E-2</v>
      </c>
    </row>
    <row r="816" spans="2:6" x14ac:dyDescent="0.25">
      <c r="B816" s="210">
        <v>44249</v>
      </c>
      <c r="C816" s="206">
        <v>387.02999899999998</v>
      </c>
      <c r="D816" s="207">
        <f t="shared" si="24"/>
        <v>-7.6917160415652663E-3</v>
      </c>
      <c r="E816" s="206">
        <v>88.349997999999999</v>
      </c>
      <c r="F816" s="10">
        <f t="shared" si="25"/>
        <v>-9.0469297749640187E-4</v>
      </c>
    </row>
    <row r="817" spans="2:6" x14ac:dyDescent="0.25">
      <c r="B817" s="210">
        <v>44250</v>
      </c>
      <c r="C817" s="206">
        <v>387.5</v>
      </c>
      <c r="D817" s="207">
        <f t="shared" si="24"/>
        <v>1.2143787334686351E-3</v>
      </c>
      <c r="E817" s="206">
        <v>89.040001000000004</v>
      </c>
      <c r="F817" s="10">
        <f t="shared" si="25"/>
        <v>7.8098813312934556E-3</v>
      </c>
    </row>
    <row r="818" spans="2:6" x14ac:dyDescent="0.25">
      <c r="B818" s="210">
        <v>44251</v>
      </c>
      <c r="C818" s="206">
        <v>391.76998900000001</v>
      </c>
      <c r="D818" s="207">
        <f t="shared" si="24"/>
        <v>1.1019326451612965E-2</v>
      </c>
      <c r="E818" s="206">
        <v>87.339995999999999</v>
      </c>
      <c r="F818" s="10">
        <f t="shared" si="25"/>
        <v>-1.9092598617558521E-2</v>
      </c>
    </row>
    <row r="819" spans="2:6" x14ac:dyDescent="0.25">
      <c r="B819" s="210">
        <v>44252</v>
      </c>
      <c r="C819" s="206">
        <v>382.32998700000002</v>
      </c>
      <c r="D819" s="207">
        <f t="shared" si="24"/>
        <v>-2.4095776259166146E-2</v>
      </c>
      <c r="E819" s="206">
        <v>87.120002999999997</v>
      </c>
      <c r="F819" s="10">
        <f t="shared" si="25"/>
        <v>-2.5188116564603957E-3</v>
      </c>
    </row>
    <row r="820" spans="2:6" x14ac:dyDescent="0.25">
      <c r="B820" s="210">
        <v>44253</v>
      </c>
      <c r="C820" s="206">
        <v>380.35998499999999</v>
      </c>
      <c r="D820" s="207">
        <f t="shared" si="24"/>
        <v>-5.1526222556014245E-3</v>
      </c>
      <c r="E820" s="206">
        <v>85.589995999999999</v>
      </c>
      <c r="F820" s="10">
        <f t="shared" si="25"/>
        <v>-1.7562063215264101E-2</v>
      </c>
    </row>
    <row r="821" spans="2:6" x14ac:dyDescent="0.25">
      <c r="B821" s="210">
        <v>44256</v>
      </c>
      <c r="C821" s="206">
        <v>389.57998700000002</v>
      </c>
      <c r="D821" s="207">
        <f t="shared" si="24"/>
        <v>2.4240199715014787E-2</v>
      </c>
      <c r="E821" s="206">
        <v>87.040001000000004</v>
      </c>
      <c r="F821" s="10">
        <f t="shared" si="25"/>
        <v>1.6941290662053632E-2</v>
      </c>
    </row>
    <row r="822" spans="2:6" x14ac:dyDescent="0.25">
      <c r="B822" s="210">
        <v>44257</v>
      </c>
      <c r="C822" s="206">
        <v>386.540009</v>
      </c>
      <c r="D822" s="207">
        <f t="shared" si="24"/>
        <v>-7.8032191114582039E-3</v>
      </c>
      <c r="E822" s="206">
        <v>87.239998</v>
      </c>
      <c r="F822" s="10">
        <f t="shared" si="25"/>
        <v>2.2977596243363152E-3</v>
      </c>
    </row>
    <row r="823" spans="2:6" x14ac:dyDescent="0.25">
      <c r="B823" s="210">
        <v>44258</v>
      </c>
      <c r="C823" s="206">
        <v>381.42001299999998</v>
      </c>
      <c r="D823" s="207">
        <f t="shared" si="24"/>
        <v>-1.3245707768377524E-2</v>
      </c>
      <c r="E823" s="206">
        <v>87.269997000000004</v>
      </c>
      <c r="F823" s="10">
        <f t="shared" si="25"/>
        <v>3.4386749985948484E-4</v>
      </c>
    </row>
    <row r="824" spans="2:6" x14ac:dyDescent="0.25">
      <c r="B824" s="210">
        <v>44259</v>
      </c>
      <c r="C824" s="206">
        <v>376.70001200000002</v>
      </c>
      <c r="D824" s="207">
        <f t="shared" si="24"/>
        <v>-1.2374812120831136E-2</v>
      </c>
      <c r="E824" s="206">
        <v>86.459998999999996</v>
      </c>
      <c r="F824" s="10">
        <f t="shared" si="25"/>
        <v>-9.2815174498058761E-3</v>
      </c>
    </row>
    <row r="825" spans="2:6" x14ac:dyDescent="0.25">
      <c r="B825" s="210">
        <v>44260</v>
      </c>
      <c r="C825" s="206">
        <v>383.63000499999998</v>
      </c>
      <c r="D825" s="207">
        <f t="shared" si="24"/>
        <v>1.8396582902152847E-2</v>
      </c>
      <c r="E825" s="206">
        <v>88.529999000000004</v>
      </c>
      <c r="F825" s="10">
        <f t="shared" si="25"/>
        <v>2.394170742472479E-2</v>
      </c>
    </row>
    <row r="826" spans="2:6" x14ac:dyDescent="0.25">
      <c r="B826" s="210">
        <v>44263</v>
      </c>
      <c r="C826" s="206">
        <v>381.72000100000002</v>
      </c>
      <c r="D826" s="207">
        <f t="shared" si="24"/>
        <v>-4.9787659335978063E-3</v>
      </c>
      <c r="E826" s="206">
        <v>90.220000999999996</v>
      </c>
      <c r="F826" s="10">
        <f t="shared" si="25"/>
        <v>1.9089596962494015E-2</v>
      </c>
    </row>
    <row r="827" spans="2:6" x14ac:dyDescent="0.25">
      <c r="B827" s="210">
        <v>44264</v>
      </c>
      <c r="C827" s="206">
        <v>387.17001299999998</v>
      </c>
      <c r="D827" s="207">
        <f t="shared" si="24"/>
        <v>1.427751227528673E-2</v>
      </c>
      <c r="E827" s="206">
        <v>90.949996999999996</v>
      </c>
      <c r="F827" s="10">
        <f t="shared" si="25"/>
        <v>8.0912878730736715E-3</v>
      </c>
    </row>
    <row r="828" spans="2:6" x14ac:dyDescent="0.25">
      <c r="B828" s="210">
        <v>44265</v>
      </c>
      <c r="C828" s="206">
        <v>389.57998700000002</v>
      </c>
      <c r="D828" s="207">
        <f t="shared" si="24"/>
        <v>6.2245884729714707E-3</v>
      </c>
      <c r="E828" s="206">
        <v>90.790001000000004</v>
      </c>
      <c r="F828" s="10">
        <f t="shared" si="25"/>
        <v>-1.7591644340569923E-3</v>
      </c>
    </row>
    <row r="829" spans="2:6" x14ac:dyDescent="0.25">
      <c r="B829" s="210">
        <v>44266</v>
      </c>
      <c r="C829" s="206">
        <v>393.52999899999998</v>
      </c>
      <c r="D829" s="207">
        <f t="shared" si="24"/>
        <v>1.0139155325758376E-2</v>
      </c>
      <c r="E829" s="206">
        <v>90.690002000000007</v>
      </c>
      <c r="F829" s="10">
        <f t="shared" si="25"/>
        <v>-1.101431863625546E-3</v>
      </c>
    </row>
    <row r="830" spans="2:6" x14ac:dyDescent="0.25">
      <c r="B830" s="210">
        <v>44267</v>
      </c>
      <c r="C830" s="206">
        <v>394.05999800000001</v>
      </c>
      <c r="D830" s="207">
        <f t="shared" si="24"/>
        <v>1.3467816973211644E-3</v>
      </c>
      <c r="E830" s="206">
        <v>91.400002000000001</v>
      </c>
      <c r="F830" s="10">
        <f t="shared" si="25"/>
        <v>7.82886739819455E-3</v>
      </c>
    </row>
    <row r="831" spans="2:6" x14ac:dyDescent="0.25">
      <c r="B831" s="210">
        <v>44270</v>
      </c>
      <c r="C831" s="206">
        <v>396.41000400000001</v>
      </c>
      <c r="D831" s="207">
        <f t="shared" si="24"/>
        <v>5.9635741052812552E-3</v>
      </c>
      <c r="E831" s="206">
        <v>92.330001999999993</v>
      </c>
      <c r="F831" s="10">
        <f t="shared" si="25"/>
        <v>1.0175054481946111E-2</v>
      </c>
    </row>
    <row r="832" spans="2:6" x14ac:dyDescent="0.25">
      <c r="B832" s="210">
        <v>44271</v>
      </c>
      <c r="C832" s="206">
        <v>395.91000400000001</v>
      </c>
      <c r="D832" s="207">
        <f t="shared" si="24"/>
        <v>-1.2613203374151061E-3</v>
      </c>
      <c r="E832" s="206">
        <v>93.019997000000004</v>
      </c>
      <c r="F832" s="10">
        <f t="shared" si="25"/>
        <v>7.4731396626637192E-3</v>
      </c>
    </row>
    <row r="833" spans="2:6" x14ac:dyDescent="0.25">
      <c r="B833" s="210">
        <v>44272</v>
      </c>
      <c r="C833" s="206">
        <v>397.26001000000002</v>
      </c>
      <c r="D833" s="207">
        <f t="shared" si="24"/>
        <v>3.4098809991172097E-3</v>
      </c>
      <c r="E833" s="206">
        <v>91.849997999999999</v>
      </c>
      <c r="F833" s="10">
        <f t="shared" si="25"/>
        <v>-1.257792988318418E-2</v>
      </c>
    </row>
    <row r="834" spans="2:6" x14ac:dyDescent="0.25">
      <c r="B834" s="210">
        <v>44273</v>
      </c>
      <c r="C834" s="206">
        <v>391.48001099999999</v>
      </c>
      <c r="D834" s="207">
        <f t="shared" si="24"/>
        <v>-1.454966232317223E-2</v>
      </c>
      <c r="E834" s="206">
        <v>92.330001999999993</v>
      </c>
      <c r="F834" s="10">
        <f t="shared" si="25"/>
        <v>5.2259554757965176E-3</v>
      </c>
    </row>
    <row r="835" spans="2:6" x14ac:dyDescent="0.25">
      <c r="B835" s="210">
        <v>44274</v>
      </c>
      <c r="C835" s="206">
        <v>389.48001099999999</v>
      </c>
      <c r="D835" s="207">
        <f t="shared" si="24"/>
        <v>-5.1088176760064608E-3</v>
      </c>
      <c r="E835" s="206">
        <v>92.720000999999996</v>
      </c>
      <c r="F835" s="10">
        <f t="shared" si="25"/>
        <v>4.2239682828124625E-3</v>
      </c>
    </row>
    <row r="836" spans="2:6" x14ac:dyDescent="0.25">
      <c r="B836" s="210">
        <v>44277</v>
      </c>
      <c r="C836" s="206">
        <v>392.58999599999999</v>
      </c>
      <c r="D836" s="207">
        <f t="shared" si="24"/>
        <v>7.9849669101503817E-3</v>
      </c>
      <c r="E836" s="206">
        <v>93.120002999999997</v>
      </c>
      <c r="F836" s="10">
        <f t="shared" si="25"/>
        <v>4.3140853719361161E-3</v>
      </c>
    </row>
    <row r="837" spans="2:6" x14ac:dyDescent="0.25">
      <c r="B837" s="210">
        <v>44278</v>
      </c>
      <c r="C837" s="206">
        <v>389.5</v>
      </c>
      <c r="D837" s="207">
        <f t="shared" ref="D837:D900" si="26">C837/C836-1</f>
        <v>-7.8707965854534212E-3</v>
      </c>
      <c r="E837" s="206">
        <v>94.019997000000004</v>
      </c>
      <c r="F837" s="10">
        <f t="shared" ref="F837:F900" si="27">E837/E836-1</f>
        <v>9.664883709249894E-3</v>
      </c>
    </row>
    <row r="838" spans="2:6" x14ac:dyDescent="0.25">
      <c r="B838" s="210">
        <v>44279</v>
      </c>
      <c r="C838" s="206">
        <v>387.51998900000001</v>
      </c>
      <c r="D838" s="207">
        <f t="shared" si="26"/>
        <v>-5.0834685494223208E-3</v>
      </c>
      <c r="E838" s="206">
        <v>94.389999000000003</v>
      </c>
      <c r="F838" s="10">
        <f t="shared" si="27"/>
        <v>3.93535430553138E-3</v>
      </c>
    </row>
    <row r="839" spans="2:6" x14ac:dyDescent="0.25">
      <c r="B839" s="210">
        <v>44280</v>
      </c>
      <c r="C839" s="206">
        <v>389.70001200000002</v>
      </c>
      <c r="D839" s="207">
        <f t="shared" si="26"/>
        <v>5.6255756138556823E-3</v>
      </c>
      <c r="E839" s="206">
        <v>95.529999000000004</v>
      </c>
      <c r="F839" s="10">
        <f t="shared" si="27"/>
        <v>1.2077550715939633E-2</v>
      </c>
    </row>
    <row r="840" spans="2:6" x14ac:dyDescent="0.25">
      <c r="B840" s="210">
        <v>44281</v>
      </c>
      <c r="C840" s="206">
        <v>395.98001099999999</v>
      </c>
      <c r="D840" s="207">
        <f t="shared" si="26"/>
        <v>1.6114957163511745E-2</v>
      </c>
      <c r="E840" s="206">
        <v>95.830001999999993</v>
      </c>
      <c r="F840" s="10">
        <f t="shared" si="27"/>
        <v>3.140406188007816E-3</v>
      </c>
    </row>
    <row r="841" spans="2:6" x14ac:dyDescent="0.25">
      <c r="B841" s="210">
        <v>44284</v>
      </c>
      <c r="C841" s="206">
        <v>395.77999899999998</v>
      </c>
      <c r="D841" s="207">
        <f t="shared" si="26"/>
        <v>-5.0510630446953808E-4</v>
      </c>
      <c r="E841" s="206">
        <v>97.580001999999993</v>
      </c>
      <c r="F841" s="10">
        <f t="shared" si="27"/>
        <v>1.8261504366868353E-2</v>
      </c>
    </row>
    <row r="842" spans="2:6" x14ac:dyDescent="0.25">
      <c r="B842" s="210">
        <v>44285</v>
      </c>
      <c r="C842" s="206">
        <v>394.73001099999999</v>
      </c>
      <c r="D842" s="207">
        <f t="shared" si="26"/>
        <v>-2.6529587211403527E-3</v>
      </c>
      <c r="E842" s="206">
        <v>96.239998</v>
      </c>
      <c r="F842" s="10">
        <f t="shared" si="27"/>
        <v>-1.3732362907719509E-2</v>
      </c>
    </row>
    <row r="843" spans="2:6" x14ac:dyDescent="0.25">
      <c r="B843" s="210">
        <v>44286</v>
      </c>
      <c r="C843" s="206">
        <v>396.32998700000002</v>
      </c>
      <c r="D843" s="207">
        <f t="shared" si="26"/>
        <v>4.0533426783200266E-3</v>
      </c>
      <c r="E843" s="206">
        <v>96.529999000000004</v>
      </c>
      <c r="F843" s="10">
        <f t="shared" si="27"/>
        <v>3.0133105364362756E-3</v>
      </c>
    </row>
    <row r="844" spans="2:6" x14ac:dyDescent="0.25">
      <c r="B844" s="210">
        <v>44287</v>
      </c>
      <c r="C844" s="206">
        <v>400.60998499999999</v>
      </c>
      <c r="D844" s="207">
        <f t="shared" si="26"/>
        <v>1.0799076881356395E-2</v>
      </c>
      <c r="E844" s="206">
        <v>96.279999000000004</v>
      </c>
      <c r="F844" s="10">
        <f t="shared" si="27"/>
        <v>-2.5898684615132117E-3</v>
      </c>
    </row>
    <row r="845" spans="2:6" x14ac:dyDescent="0.25">
      <c r="B845" s="210">
        <v>44291</v>
      </c>
      <c r="C845" s="206">
        <v>406.35998499999999</v>
      </c>
      <c r="D845" s="207">
        <f t="shared" si="26"/>
        <v>1.4353112042376992E-2</v>
      </c>
      <c r="E845" s="206">
        <v>96.93</v>
      </c>
      <c r="F845" s="10">
        <f t="shared" si="27"/>
        <v>6.7511529575317031E-3</v>
      </c>
    </row>
    <row r="846" spans="2:6" x14ac:dyDescent="0.25">
      <c r="B846" s="210">
        <v>44292</v>
      </c>
      <c r="C846" s="206">
        <v>406.11999500000002</v>
      </c>
      <c r="D846" s="207">
        <f t="shared" si="26"/>
        <v>-5.9058472501904991E-4</v>
      </c>
      <c r="E846" s="206">
        <v>97.57</v>
      </c>
      <c r="F846" s="10">
        <f t="shared" si="27"/>
        <v>6.6027029815329819E-3</v>
      </c>
    </row>
    <row r="847" spans="2:6" x14ac:dyDescent="0.25">
      <c r="B847" s="210">
        <v>44293</v>
      </c>
      <c r="C847" s="206">
        <v>406.58999599999999</v>
      </c>
      <c r="D847" s="207">
        <f t="shared" si="26"/>
        <v>1.1572958873891093E-3</v>
      </c>
      <c r="E847" s="206">
        <v>97.82</v>
      </c>
      <c r="F847" s="10">
        <f t="shared" si="27"/>
        <v>2.562262990673414E-3</v>
      </c>
    </row>
    <row r="848" spans="2:6" x14ac:dyDescent="0.25">
      <c r="B848" s="210">
        <v>44294</v>
      </c>
      <c r="C848" s="206">
        <v>408.51998900000001</v>
      </c>
      <c r="D848" s="207">
        <f t="shared" si="26"/>
        <v>4.7467793575521888E-3</v>
      </c>
      <c r="E848" s="206">
        <v>97.620002999999997</v>
      </c>
      <c r="F848" s="10">
        <f t="shared" si="27"/>
        <v>-2.0445409936618031E-3</v>
      </c>
    </row>
    <row r="849" spans="2:6" x14ac:dyDescent="0.25">
      <c r="B849" s="210">
        <v>44295</v>
      </c>
      <c r="C849" s="206">
        <v>411.48998999999998</v>
      </c>
      <c r="D849" s="207">
        <f t="shared" si="26"/>
        <v>7.270148536109966E-3</v>
      </c>
      <c r="E849" s="206">
        <v>97.540001000000004</v>
      </c>
      <c r="F849" s="10">
        <f t="shared" si="27"/>
        <v>-8.1952466237877886E-4</v>
      </c>
    </row>
    <row r="850" spans="2:6" x14ac:dyDescent="0.25">
      <c r="B850" s="210">
        <v>44298</v>
      </c>
      <c r="C850" s="206">
        <v>411.64001500000001</v>
      </c>
      <c r="D850" s="207">
        <f t="shared" si="26"/>
        <v>3.6458967082042548E-4</v>
      </c>
      <c r="E850" s="206">
        <v>97.639999000000003</v>
      </c>
      <c r="F850" s="10">
        <f t="shared" si="27"/>
        <v>1.0251999074717411E-3</v>
      </c>
    </row>
    <row r="851" spans="2:6" x14ac:dyDescent="0.25">
      <c r="B851" s="210">
        <v>44299</v>
      </c>
      <c r="C851" s="206">
        <v>412.85998499999999</v>
      </c>
      <c r="D851" s="207">
        <f t="shared" si="26"/>
        <v>2.9636817499387735E-3</v>
      </c>
      <c r="E851" s="206">
        <v>98.5</v>
      </c>
      <c r="F851" s="10">
        <f t="shared" si="27"/>
        <v>8.8078759607523871E-3</v>
      </c>
    </row>
    <row r="852" spans="2:6" x14ac:dyDescent="0.25">
      <c r="B852" s="210">
        <v>44300</v>
      </c>
      <c r="C852" s="206">
        <v>411.45001200000002</v>
      </c>
      <c r="D852" s="207">
        <f t="shared" si="26"/>
        <v>-3.4151360054910374E-3</v>
      </c>
      <c r="E852" s="206">
        <v>98.790001000000004</v>
      </c>
      <c r="F852" s="10">
        <f t="shared" si="27"/>
        <v>2.9441725888326165E-3</v>
      </c>
    </row>
    <row r="853" spans="2:6" x14ac:dyDescent="0.25">
      <c r="B853" s="210">
        <v>44301</v>
      </c>
      <c r="C853" s="206">
        <v>415.86999500000002</v>
      </c>
      <c r="D853" s="207">
        <f t="shared" si="26"/>
        <v>1.074245441995525E-2</v>
      </c>
      <c r="E853" s="206">
        <v>99.75</v>
      </c>
      <c r="F853" s="10">
        <f t="shared" si="27"/>
        <v>9.7175725304425864E-3</v>
      </c>
    </row>
    <row r="854" spans="2:6" x14ac:dyDescent="0.25">
      <c r="B854" s="210">
        <v>44302</v>
      </c>
      <c r="C854" s="206">
        <v>417.26001000000002</v>
      </c>
      <c r="D854" s="207">
        <f t="shared" si="26"/>
        <v>3.3424267600743462E-3</v>
      </c>
      <c r="E854" s="206">
        <v>100.66999800000001</v>
      </c>
      <c r="F854" s="10">
        <f t="shared" si="27"/>
        <v>9.2230375939850173E-3</v>
      </c>
    </row>
    <row r="855" spans="2:6" x14ac:dyDescent="0.25">
      <c r="B855" s="210">
        <v>44305</v>
      </c>
      <c r="C855" s="206">
        <v>415.209991</v>
      </c>
      <c r="D855" s="207">
        <f t="shared" si="26"/>
        <v>-4.9130492998837871E-3</v>
      </c>
      <c r="E855" s="206">
        <v>100.199997</v>
      </c>
      <c r="F855" s="10">
        <f t="shared" si="27"/>
        <v>-4.6687296050210714E-3</v>
      </c>
    </row>
    <row r="856" spans="2:6" x14ac:dyDescent="0.25">
      <c r="B856" s="210">
        <v>44306</v>
      </c>
      <c r="C856" s="206">
        <v>412.17001299999998</v>
      </c>
      <c r="D856" s="207">
        <f t="shared" si="26"/>
        <v>-7.3215434741309426E-3</v>
      </c>
      <c r="E856" s="206">
        <v>101.410004</v>
      </c>
      <c r="F856" s="10">
        <f t="shared" si="27"/>
        <v>1.2075918525227047E-2</v>
      </c>
    </row>
    <row r="857" spans="2:6" x14ac:dyDescent="0.25">
      <c r="B857" s="210">
        <v>44307</v>
      </c>
      <c r="C857" s="206">
        <v>416.07000699999998</v>
      </c>
      <c r="D857" s="207">
        <f t="shared" si="26"/>
        <v>9.4621002911243757E-3</v>
      </c>
      <c r="E857" s="206">
        <v>101.089996</v>
      </c>
      <c r="F857" s="10">
        <f t="shared" si="27"/>
        <v>-3.1555861096307369E-3</v>
      </c>
    </row>
    <row r="858" spans="2:6" x14ac:dyDescent="0.25">
      <c r="B858" s="210">
        <v>44308</v>
      </c>
      <c r="C858" s="206">
        <v>412.26998900000001</v>
      </c>
      <c r="D858" s="207">
        <f t="shared" si="26"/>
        <v>-9.1331216768046897E-3</v>
      </c>
      <c r="E858" s="206">
        <v>100.08000199999999</v>
      </c>
      <c r="F858" s="10">
        <f t="shared" si="27"/>
        <v>-9.9910380845202873E-3</v>
      </c>
    </row>
    <row r="859" spans="2:6" x14ac:dyDescent="0.25">
      <c r="B859" s="210">
        <v>44309</v>
      </c>
      <c r="C859" s="206">
        <v>416.73998999999998</v>
      </c>
      <c r="D859" s="207">
        <f t="shared" si="26"/>
        <v>1.08424118157191E-2</v>
      </c>
      <c r="E859" s="206">
        <v>99.849997999999999</v>
      </c>
      <c r="F859" s="10">
        <f t="shared" si="27"/>
        <v>-2.2982013929215839E-3</v>
      </c>
    </row>
    <row r="860" spans="2:6" x14ac:dyDescent="0.25">
      <c r="B860" s="210">
        <v>44312</v>
      </c>
      <c r="C860" s="206">
        <v>417.60998499999999</v>
      </c>
      <c r="D860" s="207">
        <f t="shared" si="26"/>
        <v>2.0876206288722443E-3</v>
      </c>
      <c r="E860" s="206">
        <v>99.199996999999996</v>
      </c>
      <c r="F860" s="10">
        <f t="shared" si="27"/>
        <v>-6.5097747923841265E-3</v>
      </c>
    </row>
    <row r="861" spans="2:6" x14ac:dyDescent="0.25">
      <c r="B861" s="210">
        <v>44313</v>
      </c>
      <c r="C861" s="206">
        <v>417.51998900000001</v>
      </c>
      <c r="D861" s="207">
        <f t="shared" si="26"/>
        <v>-2.1550251007529386E-4</v>
      </c>
      <c r="E861" s="206">
        <v>98.610000999999997</v>
      </c>
      <c r="F861" s="10">
        <f t="shared" si="27"/>
        <v>-5.9475405024457251E-3</v>
      </c>
    </row>
    <row r="862" spans="2:6" x14ac:dyDescent="0.25">
      <c r="B862" s="210">
        <v>44314</v>
      </c>
      <c r="C862" s="206">
        <v>417.39999399999999</v>
      </c>
      <c r="D862" s="207">
        <f t="shared" si="26"/>
        <v>-2.8739941358835175E-4</v>
      </c>
      <c r="E862" s="206">
        <v>98.57</v>
      </c>
      <c r="F862" s="10">
        <f t="shared" si="27"/>
        <v>-4.0564851023583426E-4</v>
      </c>
    </row>
    <row r="863" spans="2:6" x14ac:dyDescent="0.25">
      <c r="B863" s="210">
        <v>44315</v>
      </c>
      <c r="C863" s="206">
        <v>420.05999800000001</v>
      </c>
      <c r="D863" s="207">
        <f t="shared" si="26"/>
        <v>6.3727935750761411E-3</v>
      </c>
      <c r="E863" s="206">
        <v>99.550003000000004</v>
      </c>
      <c r="F863" s="10">
        <f t="shared" si="27"/>
        <v>9.9422035101959239E-3</v>
      </c>
    </row>
    <row r="864" spans="2:6" x14ac:dyDescent="0.25">
      <c r="B864" s="210">
        <v>44316</v>
      </c>
      <c r="C864" s="206">
        <v>417.29998799999998</v>
      </c>
      <c r="D864" s="207">
        <f t="shared" si="26"/>
        <v>-6.5705137674166858E-3</v>
      </c>
      <c r="E864" s="206">
        <v>100.69000200000001</v>
      </c>
      <c r="F864" s="10">
        <f t="shared" si="27"/>
        <v>1.1451521503218931E-2</v>
      </c>
    </row>
    <row r="865" spans="2:6" x14ac:dyDescent="0.25">
      <c r="B865" s="210">
        <v>44319</v>
      </c>
      <c r="C865" s="206">
        <v>418.20001200000002</v>
      </c>
      <c r="D865" s="207">
        <f t="shared" si="26"/>
        <v>2.1567793574919225E-3</v>
      </c>
      <c r="E865" s="206">
        <v>100.709999</v>
      </c>
      <c r="F865" s="10">
        <f t="shared" si="27"/>
        <v>1.9859965838509019E-4</v>
      </c>
    </row>
    <row r="866" spans="2:6" x14ac:dyDescent="0.25">
      <c r="B866" s="210">
        <v>44320</v>
      </c>
      <c r="C866" s="206">
        <v>415.61999500000002</v>
      </c>
      <c r="D866" s="207">
        <f t="shared" si="26"/>
        <v>-6.1693374604685491E-3</v>
      </c>
      <c r="E866" s="206">
        <v>100.779999</v>
      </c>
      <c r="F866" s="10">
        <f t="shared" si="27"/>
        <v>6.9506504513028311E-4</v>
      </c>
    </row>
    <row r="867" spans="2:6" x14ac:dyDescent="0.25">
      <c r="B867" s="210">
        <v>44321</v>
      </c>
      <c r="C867" s="206">
        <v>415.75</v>
      </c>
      <c r="D867" s="207">
        <f t="shared" si="26"/>
        <v>3.1279775170589552E-4</v>
      </c>
      <c r="E867" s="206">
        <v>99.360000999999997</v>
      </c>
      <c r="F867" s="10">
        <f t="shared" si="27"/>
        <v>-1.4090077536119128E-2</v>
      </c>
    </row>
    <row r="868" spans="2:6" x14ac:dyDescent="0.25">
      <c r="B868" s="210">
        <v>44322</v>
      </c>
      <c r="C868" s="206">
        <v>419.07000699999998</v>
      </c>
      <c r="D868" s="207">
        <f t="shared" si="26"/>
        <v>7.9855850871917156E-3</v>
      </c>
      <c r="E868" s="206">
        <v>100.540001</v>
      </c>
      <c r="F868" s="10">
        <f t="shared" si="27"/>
        <v>1.187600632169894E-2</v>
      </c>
    </row>
    <row r="869" spans="2:6" x14ac:dyDescent="0.25">
      <c r="B869" s="210">
        <v>44323</v>
      </c>
      <c r="C869" s="206">
        <v>422.11999500000002</v>
      </c>
      <c r="D869" s="207">
        <f t="shared" si="26"/>
        <v>7.277991622053781E-3</v>
      </c>
      <c r="E869" s="206">
        <v>100.860001</v>
      </c>
      <c r="F869" s="10">
        <f t="shared" si="27"/>
        <v>3.1828127791642125E-3</v>
      </c>
    </row>
    <row r="870" spans="2:6" x14ac:dyDescent="0.25">
      <c r="B870" s="210">
        <v>44326</v>
      </c>
      <c r="C870" s="206">
        <v>417.94000199999999</v>
      </c>
      <c r="D870" s="207">
        <f t="shared" si="26"/>
        <v>-9.9023809568651311E-3</v>
      </c>
      <c r="E870" s="206">
        <v>103.739998</v>
      </c>
      <c r="F870" s="10">
        <f t="shared" si="27"/>
        <v>2.8554401858473133E-2</v>
      </c>
    </row>
    <row r="871" spans="2:6" x14ac:dyDescent="0.25">
      <c r="B871" s="210">
        <v>44327</v>
      </c>
      <c r="C871" s="206">
        <v>414.209991</v>
      </c>
      <c r="D871" s="207">
        <f t="shared" si="26"/>
        <v>-8.9247523140892904E-3</v>
      </c>
      <c r="E871" s="206">
        <v>103.629997</v>
      </c>
      <c r="F871" s="10">
        <f t="shared" si="27"/>
        <v>-1.0603528255320738E-3</v>
      </c>
    </row>
    <row r="872" spans="2:6" x14ac:dyDescent="0.25">
      <c r="B872" s="210">
        <v>44328</v>
      </c>
      <c r="C872" s="206">
        <v>405.41000400000001</v>
      </c>
      <c r="D872" s="207">
        <f t="shared" si="26"/>
        <v>-2.1245231141708509E-2</v>
      </c>
      <c r="E872" s="206">
        <v>101.220001</v>
      </c>
      <c r="F872" s="10">
        <f t="shared" si="27"/>
        <v>-2.3255776027861996E-2</v>
      </c>
    </row>
    <row r="873" spans="2:6" x14ac:dyDescent="0.25">
      <c r="B873" s="210">
        <v>44329</v>
      </c>
      <c r="C873" s="206">
        <v>410.27999899999998</v>
      </c>
      <c r="D873" s="207">
        <f t="shared" si="26"/>
        <v>1.2012518072938239E-2</v>
      </c>
      <c r="E873" s="206">
        <v>103</v>
      </c>
      <c r="F873" s="10">
        <f t="shared" si="27"/>
        <v>1.7585447366276874E-2</v>
      </c>
    </row>
    <row r="874" spans="2:6" x14ac:dyDescent="0.25">
      <c r="B874" s="210">
        <v>44330</v>
      </c>
      <c r="C874" s="206">
        <v>416.57998700000002</v>
      </c>
      <c r="D874" s="207">
        <f t="shared" si="26"/>
        <v>1.5355337855502027E-2</v>
      </c>
      <c r="E874" s="206">
        <v>103.05999799999999</v>
      </c>
      <c r="F874" s="10">
        <f t="shared" si="27"/>
        <v>5.8250485436883714E-4</v>
      </c>
    </row>
    <row r="875" spans="2:6" x14ac:dyDescent="0.25">
      <c r="B875" s="210">
        <v>44333</v>
      </c>
      <c r="C875" s="206">
        <v>415.51998900000001</v>
      </c>
      <c r="D875" s="207">
        <f t="shared" si="26"/>
        <v>-2.5445245404935868E-3</v>
      </c>
      <c r="E875" s="206">
        <v>102.449997</v>
      </c>
      <c r="F875" s="10">
        <f t="shared" si="27"/>
        <v>-5.9188920224896302E-3</v>
      </c>
    </row>
    <row r="876" spans="2:6" x14ac:dyDescent="0.25">
      <c r="B876" s="210">
        <v>44334</v>
      </c>
      <c r="C876" s="206">
        <v>411.94000199999999</v>
      </c>
      <c r="D876" s="207">
        <f t="shared" si="26"/>
        <v>-8.6156793770997275E-3</v>
      </c>
      <c r="E876" s="206">
        <v>102.489998</v>
      </c>
      <c r="F876" s="10">
        <f t="shared" si="27"/>
        <v>3.9044413051581017E-4</v>
      </c>
    </row>
    <row r="877" spans="2:6" x14ac:dyDescent="0.25">
      <c r="B877" s="210">
        <v>44335</v>
      </c>
      <c r="C877" s="206">
        <v>410.85998499999999</v>
      </c>
      <c r="D877" s="207">
        <f t="shared" si="26"/>
        <v>-2.6217822856640094E-3</v>
      </c>
      <c r="E877" s="206">
        <v>101.160004</v>
      </c>
      <c r="F877" s="10">
        <f t="shared" si="27"/>
        <v>-1.2976817503694393E-2</v>
      </c>
    </row>
    <row r="878" spans="2:6" x14ac:dyDescent="0.25">
      <c r="B878" s="210">
        <v>44336</v>
      </c>
      <c r="C878" s="206">
        <v>415.27999899999998</v>
      </c>
      <c r="D878" s="207">
        <f t="shared" si="26"/>
        <v>1.0757956874286378E-2</v>
      </c>
      <c r="E878" s="206">
        <v>102.269997</v>
      </c>
      <c r="F878" s="10">
        <f t="shared" si="27"/>
        <v>1.097264685754662E-2</v>
      </c>
    </row>
    <row r="879" spans="2:6" x14ac:dyDescent="0.25">
      <c r="B879" s="210">
        <v>44337</v>
      </c>
      <c r="C879" s="206">
        <v>414.94000199999999</v>
      </c>
      <c r="D879" s="207">
        <f t="shared" si="26"/>
        <v>-8.1871749378414904E-4</v>
      </c>
      <c r="E879" s="206">
        <v>102.860001</v>
      </c>
      <c r="F879" s="10">
        <f t="shared" si="27"/>
        <v>5.7690820114133512E-3</v>
      </c>
    </row>
    <row r="880" spans="2:6" x14ac:dyDescent="0.25">
      <c r="B880" s="210">
        <v>44340</v>
      </c>
      <c r="C880" s="206">
        <v>419.17001299999998</v>
      </c>
      <c r="D880" s="207">
        <f t="shared" si="26"/>
        <v>1.0194271411797962E-2</v>
      </c>
      <c r="E880" s="206">
        <v>102.30999799999999</v>
      </c>
      <c r="F880" s="10">
        <f t="shared" si="27"/>
        <v>-5.3471028062697101E-3</v>
      </c>
    </row>
    <row r="881" spans="2:6" x14ac:dyDescent="0.25">
      <c r="B881" s="210">
        <v>44341</v>
      </c>
      <c r="C881" s="206">
        <v>418.23998999999998</v>
      </c>
      <c r="D881" s="207">
        <f t="shared" si="26"/>
        <v>-2.2187250307907913E-3</v>
      </c>
      <c r="E881" s="206">
        <v>101.30999799999999</v>
      </c>
      <c r="F881" s="10">
        <f t="shared" si="27"/>
        <v>-9.7742158102671617E-3</v>
      </c>
    </row>
    <row r="882" spans="2:6" x14ac:dyDescent="0.25">
      <c r="B882" s="210">
        <v>44342</v>
      </c>
      <c r="C882" s="206">
        <v>419.07000699999998</v>
      </c>
      <c r="D882" s="207">
        <f t="shared" si="26"/>
        <v>1.9845471974118123E-3</v>
      </c>
      <c r="E882" s="206">
        <v>101.110001</v>
      </c>
      <c r="F882" s="10">
        <f t="shared" si="27"/>
        <v>-1.9741092088462198E-3</v>
      </c>
    </row>
    <row r="883" spans="2:6" x14ac:dyDescent="0.25">
      <c r="B883" s="210">
        <v>44343</v>
      </c>
      <c r="C883" s="206">
        <v>419.290009</v>
      </c>
      <c r="D883" s="207">
        <f t="shared" si="26"/>
        <v>5.2497672542828333E-4</v>
      </c>
      <c r="E883" s="206">
        <v>100.010002</v>
      </c>
      <c r="F883" s="10">
        <f t="shared" si="27"/>
        <v>-1.0879230433397002E-2</v>
      </c>
    </row>
    <row r="884" spans="2:6" x14ac:dyDescent="0.25">
      <c r="B884" s="210">
        <v>44344</v>
      </c>
      <c r="C884" s="206">
        <v>420.040009</v>
      </c>
      <c r="D884" s="207">
        <f t="shared" si="26"/>
        <v>1.7887380664964869E-3</v>
      </c>
      <c r="E884" s="206">
        <v>100.220001</v>
      </c>
      <c r="F884" s="10">
        <f t="shared" si="27"/>
        <v>2.0997799800064332E-3</v>
      </c>
    </row>
    <row r="885" spans="2:6" x14ac:dyDescent="0.25">
      <c r="B885" s="210">
        <v>44348</v>
      </c>
      <c r="C885" s="206">
        <v>419.67001299999998</v>
      </c>
      <c r="D885" s="207">
        <f t="shared" si="26"/>
        <v>-8.8085894693901157E-4</v>
      </c>
      <c r="E885" s="206">
        <v>100.08000199999999</v>
      </c>
      <c r="F885" s="10">
        <f t="shared" si="27"/>
        <v>-1.3969167691387785E-3</v>
      </c>
    </row>
    <row r="886" spans="2:6" x14ac:dyDescent="0.25">
      <c r="B886" s="210">
        <v>44349</v>
      </c>
      <c r="C886" s="206">
        <v>420.32998700000002</v>
      </c>
      <c r="D886" s="207">
        <f t="shared" si="26"/>
        <v>1.5726022340318835E-3</v>
      </c>
      <c r="E886" s="206">
        <v>100.68</v>
      </c>
      <c r="F886" s="10">
        <f t="shared" si="27"/>
        <v>5.9951837331100322E-3</v>
      </c>
    </row>
    <row r="887" spans="2:6" x14ac:dyDescent="0.25">
      <c r="B887" s="210">
        <v>44350</v>
      </c>
      <c r="C887" s="206">
        <v>418.76998900000001</v>
      </c>
      <c r="D887" s="207">
        <f t="shared" si="26"/>
        <v>-3.7113649947606575E-3</v>
      </c>
      <c r="E887" s="206">
        <v>101.66999800000001</v>
      </c>
      <c r="F887" s="10">
        <f t="shared" si="27"/>
        <v>9.8331148192292162E-3</v>
      </c>
    </row>
    <row r="888" spans="2:6" x14ac:dyDescent="0.25">
      <c r="B888" s="210">
        <v>44351</v>
      </c>
      <c r="C888" s="206">
        <v>422.60000600000001</v>
      </c>
      <c r="D888" s="207">
        <f t="shared" si="26"/>
        <v>9.1458726761817211E-3</v>
      </c>
      <c r="E888" s="206">
        <v>101.480003</v>
      </c>
      <c r="F888" s="10">
        <f t="shared" si="27"/>
        <v>-1.8687420452198067E-3</v>
      </c>
    </row>
    <row r="889" spans="2:6" x14ac:dyDescent="0.25">
      <c r="B889" s="210">
        <v>44354</v>
      </c>
      <c r="C889" s="206">
        <v>422.19000199999999</v>
      </c>
      <c r="D889" s="207">
        <f t="shared" si="26"/>
        <v>-9.7019402313969216E-4</v>
      </c>
      <c r="E889" s="206">
        <v>101.860001</v>
      </c>
      <c r="F889" s="10">
        <f t="shared" si="27"/>
        <v>3.7445603938344174E-3</v>
      </c>
    </row>
    <row r="890" spans="2:6" x14ac:dyDescent="0.25">
      <c r="B890" s="210">
        <v>44355</v>
      </c>
      <c r="C890" s="206">
        <v>422.27999899999998</v>
      </c>
      <c r="D890" s="207">
        <f t="shared" si="26"/>
        <v>2.1316705647600465E-4</v>
      </c>
      <c r="E890" s="206">
        <v>100.589996</v>
      </c>
      <c r="F890" s="10">
        <f t="shared" si="27"/>
        <v>-1.2468142426191431E-2</v>
      </c>
    </row>
    <row r="891" spans="2:6" x14ac:dyDescent="0.25">
      <c r="B891" s="210">
        <v>44356</v>
      </c>
      <c r="C891" s="206">
        <v>421.64999399999999</v>
      </c>
      <c r="D891" s="207">
        <f t="shared" si="26"/>
        <v>-1.4919129522873442E-3</v>
      </c>
      <c r="E891" s="206">
        <v>101.389999</v>
      </c>
      <c r="F891" s="10">
        <f t="shared" si="27"/>
        <v>7.9531069869016591E-3</v>
      </c>
    </row>
    <row r="892" spans="2:6" x14ac:dyDescent="0.25">
      <c r="B892" s="210">
        <v>44357</v>
      </c>
      <c r="C892" s="206">
        <v>423.60998499999999</v>
      </c>
      <c r="D892" s="207">
        <f t="shared" si="26"/>
        <v>4.6483837967279396E-3</v>
      </c>
      <c r="E892" s="206">
        <v>101.709999</v>
      </c>
      <c r="F892" s="10">
        <f t="shared" si="27"/>
        <v>3.1561298269664473E-3</v>
      </c>
    </row>
    <row r="893" spans="2:6" x14ac:dyDescent="0.25">
      <c r="B893" s="210">
        <v>44358</v>
      </c>
      <c r="C893" s="206">
        <v>424.30999800000001</v>
      </c>
      <c r="D893" s="207">
        <f t="shared" si="26"/>
        <v>1.6524940978432934E-3</v>
      </c>
      <c r="E893" s="206">
        <v>101.93</v>
      </c>
      <c r="F893" s="10">
        <f t="shared" si="27"/>
        <v>2.1630223396227333E-3</v>
      </c>
    </row>
    <row r="894" spans="2:6" x14ac:dyDescent="0.25">
      <c r="B894" s="210">
        <v>44361</v>
      </c>
      <c r="C894" s="206">
        <v>425.26001000000002</v>
      </c>
      <c r="D894" s="207">
        <f t="shared" si="26"/>
        <v>2.2389573766301574E-3</v>
      </c>
      <c r="E894" s="206">
        <v>102.529999</v>
      </c>
      <c r="F894" s="10">
        <f t="shared" si="27"/>
        <v>5.8863828117334815E-3</v>
      </c>
    </row>
    <row r="895" spans="2:6" x14ac:dyDescent="0.25">
      <c r="B895" s="210">
        <v>44362</v>
      </c>
      <c r="C895" s="206">
        <v>424.48001099999999</v>
      </c>
      <c r="D895" s="207">
        <f t="shared" si="26"/>
        <v>-1.8341696412979003E-3</v>
      </c>
      <c r="E895" s="206">
        <v>103.220001</v>
      </c>
      <c r="F895" s="10">
        <f t="shared" si="27"/>
        <v>6.7297572098874436E-3</v>
      </c>
    </row>
    <row r="896" spans="2:6" x14ac:dyDescent="0.25">
      <c r="B896" s="210">
        <v>44363</v>
      </c>
      <c r="C896" s="206">
        <v>422.10998499999999</v>
      </c>
      <c r="D896" s="207">
        <f t="shared" si="26"/>
        <v>-5.5833630290779146E-3</v>
      </c>
      <c r="E896" s="206">
        <v>101.80999799999999</v>
      </c>
      <c r="F896" s="10">
        <f t="shared" si="27"/>
        <v>-1.3660172314859831E-2</v>
      </c>
    </row>
    <row r="897" spans="2:6" x14ac:dyDescent="0.25">
      <c r="B897" s="210">
        <v>44364</v>
      </c>
      <c r="C897" s="206">
        <v>421.97000100000002</v>
      </c>
      <c r="D897" s="207">
        <f t="shared" si="26"/>
        <v>-3.3162920796570017E-4</v>
      </c>
      <c r="E897" s="206">
        <v>102.41999800000001</v>
      </c>
      <c r="F897" s="10">
        <f t="shared" si="27"/>
        <v>5.9915530103440418E-3</v>
      </c>
    </row>
    <row r="898" spans="2:6" x14ac:dyDescent="0.25">
      <c r="B898" s="210">
        <v>44365</v>
      </c>
      <c r="C898" s="206">
        <v>414.92001299999998</v>
      </c>
      <c r="D898" s="207">
        <f t="shared" si="26"/>
        <v>-1.6707320386029179E-2</v>
      </c>
      <c r="E898" s="206">
        <v>99.610000999999997</v>
      </c>
      <c r="F898" s="10">
        <f t="shared" si="27"/>
        <v>-2.7436018891545122E-2</v>
      </c>
    </row>
    <row r="899" spans="2:6" x14ac:dyDescent="0.25">
      <c r="B899" s="210">
        <v>44368</v>
      </c>
      <c r="C899" s="206">
        <v>420.85998499999999</v>
      </c>
      <c r="D899" s="207">
        <f t="shared" si="26"/>
        <v>1.4315944793918733E-2</v>
      </c>
      <c r="E899" s="206">
        <v>101.30999799999999</v>
      </c>
      <c r="F899" s="10">
        <f t="shared" si="27"/>
        <v>1.7066529293579658E-2</v>
      </c>
    </row>
    <row r="900" spans="2:6" x14ac:dyDescent="0.25">
      <c r="B900" s="210">
        <v>44369</v>
      </c>
      <c r="C900" s="206">
        <v>423.10998499999999</v>
      </c>
      <c r="D900" s="207">
        <f t="shared" si="26"/>
        <v>5.3461960751626236E-3</v>
      </c>
      <c r="E900" s="206">
        <v>100.400002</v>
      </c>
      <c r="F900" s="10">
        <f t="shared" si="27"/>
        <v>-8.9822921524487231E-3</v>
      </c>
    </row>
    <row r="901" spans="2:6" x14ac:dyDescent="0.25">
      <c r="B901" s="210">
        <v>44370</v>
      </c>
      <c r="C901" s="206">
        <v>422.60000600000001</v>
      </c>
      <c r="D901" s="207">
        <f t="shared" ref="D901:D964" si="28">C901/C900-1</f>
        <v>-1.2053107184412104E-3</v>
      </c>
      <c r="E901" s="206">
        <v>99.230002999999996</v>
      </c>
      <c r="F901" s="10">
        <f t="shared" ref="F901:F964" si="29">E901/E900-1</f>
        <v>-1.1653376261885007E-2</v>
      </c>
    </row>
    <row r="902" spans="2:6" x14ac:dyDescent="0.25">
      <c r="B902" s="210">
        <v>44371</v>
      </c>
      <c r="C902" s="206">
        <v>425.10000600000001</v>
      </c>
      <c r="D902" s="207">
        <f t="shared" si="28"/>
        <v>5.9157594995395968E-3</v>
      </c>
      <c r="E902" s="206">
        <v>99.07</v>
      </c>
      <c r="F902" s="10">
        <f t="shared" si="29"/>
        <v>-1.612445784164751E-3</v>
      </c>
    </row>
    <row r="903" spans="2:6" x14ac:dyDescent="0.25">
      <c r="B903" s="210">
        <v>44372</v>
      </c>
      <c r="C903" s="206">
        <v>426.60998499999999</v>
      </c>
      <c r="D903" s="207">
        <f t="shared" si="28"/>
        <v>3.5520559366917226E-3</v>
      </c>
      <c r="E903" s="206">
        <v>99.720000999999996</v>
      </c>
      <c r="F903" s="10">
        <f t="shared" si="29"/>
        <v>6.5610275562733023E-3</v>
      </c>
    </row>
    <row r="904" spans="2:6" x14ac:dyDescent="0.25">
      <c r="B904" s="210">
        <v>44375</v>
      </c>
      <c r="C904" s="206">
        <v>427.47000100000002</v>
      </c>
      <c r="D904" s="207">
        <f t="shared" si="28"/>
        <v>2.0159303116171756E-3</v>
      </c>
      <c r="E904" s="206">
        <v>100.010002</v>
      </c>
      <c r="F904" s="10">
        <f t="shared" si="29"/>
        <v>2.9081527987551148E-3</v>
      </c>
    </row>
    <row r="905" spans="2:6" x14ac:dyDescent="0.25">
      <c r="B905" s="210">
        <v>44376</v>
      </c>
      <c r="C905" s="206">
        <v>427.70001200000002</v>
      </c>
      <c r="D905" s="207">
        <f t="shared" si="28"/>
        <v>5.3807518530413212E-4</v>
      </c>
      <c r="E905" s="206">
        <v>98.120002999999997</v>
      </c>
      <c r="F905" s="10">
        <f t="shared" si="29"/>
        <v>-1.8898099812056812E-2</v>
      </c>
    </row>
    <row r="906" spans="2:6" x14ac:dyDescent="0.25">
      <c r="B906" s="210">
        <v>44377</v>
      </c>
      <c r="C906" s="206">
        <v>428.05999800000001</v>
      </c>
      <c r="D906" s="207">
        <f t="shared" si="28"/>
        <v>8.4167872316998071E-4</v>
      </c>
      <c r="E906" s="206">
        <v>98.720000999999996</v>
      </c>
      <c r="F906" s="10">
        <f t="shared" si="29"/>
        <v>6.1149407017446755E-3</v>
      </c>
    </row>
    <row r="907" spans="2:6" x14ac:dyDescent="0.25">
      <c r="B907" s="210">
        <v>44378</v>
      </c>
      <c r="C907" s="206">
        <v>430.42999300000002</v>
      </c>
      <c r="D907" s="207">
        <f t="shared" si="28"/>
        <v>5.5365953629706866E-3</v>
      </c>
      <c r="E907" s="206">
        <v>99.550003000000004</v>
      </c>
      <c r="F907" s="10">
        <f t="shared" si="29"/>
        <v>8.407637678204738E-3</v>
      </c>
    </row>
    <row r="908" spans="2:6" x14ac:dyDescent="0.25">
      <c r="B908" s="210">
        <v>44379</v>
      </c>
      <c r="C908" s="206">
        <v>433.72000100000002</v>
      </c>
      <c r="D908" s="207">
        <f t="shared" si="28"/>
        <v>7.643537981796733E-3</v>
      </c>
      <c r="E908" s="206">
        <v>99.510002</v>
      </c>
      <c r="F908" s="10">
        <f t="shared" si="29"/>
        <v>-4.0181816970918938E-4</v>
      </c>
    </row>
    <row r="909" spans="2:6" x14ac:dyDescent="0.25">
      <c r="B909" s="210">
        <v>44383</v>
      </c>
      <c r="C909" s="206">
        <v>432.92999300000002</v>
      </c>
      <c r="D909" s="207">
        <f t="shared" si="28"/>
        <v>-1.821470068658404E-3</v>
      </c>
      <c r="E909" s="206">
        <v>99.830001999999993</v>
      </c>
      <c r="F909" s="10">
        <f t="shared" si="29"/>
        <v>3.2157571456987721E-3</v>
      </c>
    </row>
    <row r="910" spans="2:6" x14ac:dyDescent="0.25">
      <c r="B910" s="210">
        <v>44384</v>
      </c>
      <c r="C910" s="206">
        <v>434.459991</v>
      </c>
      <c r="D910" s="207">
        <f t="shared" si="28"/>
        <v>3.5340540612531779E-3</v>
      </c>
      <c r="E910" s="206">
        <v>100.370003</v>
      </c>
      <c r="F910" s="10">
        <f t="shared" si="29"/>
        <v>5.4092055412360285E-3</v>
      </c>
    </row>
    <row r="911" spans="2:6" x14ac:dyDescent="0.25">
      <c r="B911" s="210">
        <v>44385</v>
      </c>
      <c r="C911" s="206">
        <v>430.92001299999998</v>
      </c>
      <c r="D911" s="207">
        <f t="shared" si="28"/>
        <v>-8.1479953812364503E-3</v>
      </c>
      <c r="E911" s="206">
        <v>100.55999799999999</v>
      </c>
      <c r="F911" s="10">
        <f t="shared" si="29"/>
        <v>1.8929460428529499E-3</v>
      </c>
    </row>
    <row r="912" spans="2:6" x14ac:dyDescent="0.25">
      <c r="B912" s="210">
        <v>44386</v>
      </c>
      <c r="C912" s="206">
        <v>435.51998900000001</v>
      </c>
      <c r="D912" s="207">
        <f t="shared" si="28"/>
        <v>1.0674779219409292E-2</v>
      </c>
      <c r="E912" s="206">
        <v>100.660004</v>
      </c>
      <c r="F912" s="10">
        <f t="shared" si="29"/>
        <v>9.9449087101222133E-4</v>
      </c>
    </row>
    <row r="913" spans="2:6" x14ac:dyDescent="0.25">
      <c r="B913" s="210">
        <v>44389</v>
      </c>
      <c r="C913" s="206">
        <v>437.07998700000002</v>
      </c>
      <c r="D913" s="207">
        <f t="shared" si="28"/>
        <v>3.5819205533640375E-3</v>
      </c>
      <c r="E913" s="206">
        <v>101.529999</v>
      </c>
      <c r="F913" s="10">
        <f t="shared" si="29"/>
        <v>8.6429064715713988E-3</v>
      </c>
    </row>
    <row r="914" spans="2:6" x14ac:dyDescent="0.25">
      <c r="B914" s="210">
        <v>44390</v>
      </c>
      <c r="C914" s="206">
        <v>435.58999599999999</v>
      </c>
      <c r="D914" s="207">
        <f t="shared" si="28"/>
        <v>-3.4089664233472039E-3</v>
      </c>
      <c r="E914" s="206">
        <v>101.529999</v>
      </c>
      <c r="F914" s="10">
        <f t="shared" si="29"/>
        <v>0</v>
      </c>
    </row>
    <row r="915" spans="2:6" x14ac:dyDescent="0.25">
      <c r="B915" s="210">
        <v>44391</v>
      </c>
      <c r="C915" s="206">
        <v>436.23998999999998</v>
      </c>
      <c r="D915" s="207">
        <f t="shared" si="28"/>
        <v>1.4922151701572961E-3</v>
      </c>
      <c r="E915" s="206">
        <v>102.699997</v>
      </c>
      <c r="F915" s="10">
        <f t="shared" si="29"/>
        <v>1.1523667994914444E-2</v>
      </c>
    </row>
    <row r="916" spans="2:6" x14ac:dyDescent="0.25">
      <c r="B916" s="210">
        <v>44392</v>
      </c>
      <c r="C916" s="206">
        <v>434.75</v>
      </c>
      <c r="D916" s="207">
        <f t="shared" si="28"/>
        <v>-3.4155282279370036E-3</v>
      </c>
      <c r="E916" s="206">
        <v>103.94000200000001</v>
      </c>
      <c r="F916" s="10">
        <f t="shared" si="29"/>
        <v>1.2074050985610096E-2</v>
      </c>
    </row>
    <row r="917" spans="2:6" x14ac:dyDescent="0.25">
      <c r="B917" s="210">
        <v>44393</v>
      </c>
      <c r="C917" s="206">
        <v>431.33999599999999</v>
      </c>
      <c r="D917" s="207">
        <f t="shared" si="28"/>
        <v>-7.8435974698102262E-3</v>
      </c>
      <c r="E917" s="206">
        <v>104.760002</v>
      </c>
      <c r="F917" s="10">
        <f t="shared" si="29"/>
        <v>7.8891666752132217E-3</v>
      </c>
    </row>
    <row r="918" spans="2:6" x14ac:dyDescent="0.25">
      <c r="B918" s="210">
        <v>44396</v>
      </c>
      <c r="C918" s="206">
        <v>424.97000100000002</v>
      </c>
      <c r="D918" s="207">
        <f t="shared" si="28"/>
        <v>-1.4767921034616882E-2</v>
      </c>
      <c r="E918" s="206">
        <v>103.889999</v>
      </c>
      <c r="F918" s="10">
        <f t="shared" si="29"/>
        <v>-8.3047249273630053E-3</v>
      </c>
    </row>
    <row r="919" spans="2:6" x14ac:dyDescent="0.25">
      <c r="B919" s="210">
        <v>44397</v>
      </c>
      <c r="C919" s="206">
        <v>431.05999800000001</v>
      </c>
      <c r="D919" s="207">
        <f t="shared" si="28"/>
        <v>1.4330416230956544E-2</v>
      </c>
      <c r="E919" s="206">
        <v>103.739998</v>
      </c>
      <c r="F919" s="10">
        <f t="shared" si="29"/>
        <v>-1.4438444647593141E-3</v>
      </c>
    </row>
    <row r="920" spans="2:6" x14ac:dyDescent="0.25">
      <c r="B920" s="210">
        <v>44398</v>
      </c>
      <c r="C920" s="206">
        <v>434.54998799999998</v>
      </c>
      <c r="D920" s="207">
        <f t="shared" si="28"/>
        <v>8.0962975367526724E-3</v>
      </c>
      <c r="E920" s="206">
        <v>103.160004</v>
      </c>
      <c r="F920" s="10">
        <f t="shared" si="29"/>
        <v>-5.5908425986281873E-3</v>
      </c>
    </row>
    <row r="921" spans="2:6" x14ac:dyDescent="0.25">
      <c r="B921" s="210">
        <v>44399</v>
      </c>
      <c r="C921" s="206">
        <v>435.459991</v>
      </c>
      <c r="D921" s="207">
        <f t="shared" si="28"/>
        <v>2.0941273159120755E-3</v>
      </c>
      <c r="E921" s="206">
        <v>102.91999800000001</v>
      </c>
      <c r="F921" s="10">
        <f t="shared" si="29"/>
        <v>-2.3265412048645295E-3</v>
      </c>
    </row>
    <row r="922" spans="2:6" x14ac:dyDescent="0.25">
      <c r="B922" s="210">
        <v>44400</v>
      </c>
      <c r="C922" s="206">
        <v>439.94000199999999</v>
      </c>
      <c r="D922" s="207">
        <f t="shared" si="28"/>
        <v>1.0287996813925337E-2</v>
      </c>
      <c r="E922" s="206">
        <v>104.470001</v>
      </c>
      <c r="F922" s="10">
        <f t="shared" si="29"/>
        <v>1.5060270405368614E-2</v>
      </c>
    </row>
    <row r="923" spans="2:6" x14ac:dyDescent="0.25">
      <c r="B923" s="210">
        <v>44403</v>
      </c>
      <c r="C923" s="206">
        <v>441.01998900000001</v>
      </c>
      <c r="D923" s="207">
        <f t="shared" si="28"/>
        <v>2.4548506502939382E-3</v>
      </c>
      <c r="E923" s="206">
        <v>104.58000199999999</v>
      </c>
      <c r="F923" s="10">
        <f t="shared" si="29"/>
        <v>1.0529434186565823E-3</v>
      </c>
    </row>
    <row r="924" spans="2:6" x14ac:dyDescent="0.25">
      <c r="B924" s="210">
        <v>44404</v>
      </c>
      <c r="C924" s="206">
        <v>439.01001000000002</v>
      </c>
      <c r="D924" s="207">
        <f t="shared" si="28"/>
        <v>-4.5575689314163448E-3</v>
      </c>
      <c r="E924" s="206">
        <v>106.360001</v>
      </c>
      <c r="F924" s="10">
        <f t="shared" si="29"/>
        <v>1.7020452916036488E-2</v>
      </c>
    </row>
    <row r="925" spans="2:6" x14ac:dyDescent="0.25">
      <c r="B925" s="210">
        <v>44405</v>
      </c>
      <c r="C925" s="206">
        <v>438.82998700000002</v>
      </c>
      <c r="D925" s="207">
        <f t="shared" si="28"/>
        <v>-4.1006582059488483E-4</v>
      </c>
      <c r="E925" s="206">
        <v>105.650002</v>
      </c>
      <c r="F925" s="10">
        <f t="shared" si="29"/>
        <v>-6.6754324306559365E-3</v>
      </c>
    </row>
    <row r="926" spans="2:6" x14ac:dyDescent="0.25">
      <c r="B926" s="210">
        <v>44406</v>
      </c>
      <c r="C926" s="206">
        <v>440.64999399999999</v>
      </c>
      <c r="D926" s="207">
        <f t="shared" si="28"/>
        <v>4.1474080029084703E-3</v>
      </c>
      <c r="E926" s="206">
        <v>105.68</v>
      </c>
      <c r="F926" s="10">
        <f t="shared" si="29"/>
        <v>2.8393752420385887E-4</v>
      </c>
    </row>
    <row r="927" spans="2:6" x14ac:dyDescent="0.25">
      <c r="B927" s="210">
        <v>44407</v>
      </c>
      <c r="C927" s="206">
        <v>438.51001000000002</v>
      </c>
      <c r="D927" s="207">
        <f t="shared" si="28"/>
        <v>-4.8564258008363392E-3</v>
      </c>
      <c r="E927" s="206">
        <v>105.110001</v>
      </c>
      <c r="F927" s="10">
        <f t="shared" si="29"/>
        <v>-5.393631718395242E-3</v>
      </c>
    </row>
    <row r="928" spans="2:6" x14ac:dyDescent="0.25">
      <c r="B928" s="210">
        <v>44410</v>
      </c>
      <c r="C928" s="206">
        <v>437.58999599999999</v>
      </c>
      <c r="D928" s="207">
        <f t="shared" si="28"/>
        <v>-2.0980456067583031E-3</v>
      </c>
      <c r="E928" s="206">
        <v>106.19000200000001</v>
      </c>
      <c r="F928" s="10">
        <f t="shared" si="29"/>
        <v>1.0274959468414613E-2</v>
      </c>
    </row>
    <row r="929" spans="2:6" x14ac:dyDescent="0.25">
      <c r="B929" s="210">
        <v>44411</v>
      </c>
      <c r="C929" s="206">
        <v>441.14999399999999</v>
      </c>
      <c r="D929" s="207">
        <f t="shared" si="28"/>
        <v>8.1354647787696965E-3</v>
      </c>
      <c r="E929" s="206">
        <v>106.610001</v>
      </c>
      <c r="F929" s="10">
        <f t="shared" si="29"/>
        <v>3.9551651953071421E-3</v>
      </c>
    </row>
    <row r="930" spans="2:6" x14ac:dyDescent="0.25">
      <c r="B930" s="210">
        <v>44412</v>
      </c>
      <c r="C930" s="206">
        <v>438.98001099999999</v>
      </c>
      <c r="D930" s="207">
        <f t="shared" si="28"/>
        <v>-4.9189233356308204E-3</v>
      </c>
      <c r="E930" s="206">
        <v>106.730003</v>
      </c>
      <c r="F930" s="10">
        <f t="shared" si="29"/>
        <v>1.1256167233315573E-3</v>
      </c>
    </row>
    <row r="931" spans="2:6" x14ac:dyDescent="0.25">
      <c r="B931" s="210">
        <v>44413</v>
      </c>
      <c r="C931" s="206">
        <v>441.76001000000002</v>
      </c>
      <c r="D931" s="207">
        <f t="shared" si="28"/>
        <v>6.332860108293259E-3</v>
      </c>
      <c r="E931" s="206">
        <v>107.93</v>
      </c>
      <c r="F931" s="10">
        <f t="shared" si="29"/>
        <v>1.124329585187045E-2</v>
      </c>
    </row>
    <row r="932" spans="2:6" x14ac:dyDescent="0.25">
      <c r="B932" s="210">
        <v>44414</v>
      </c>
      <c r="C932" s="206">
        <v>442.48998999999998</v>
      </c>
      <c r="D932" s="207">
        <f t="shared" si="28"/>
        <v>1.6524356742928514E-3</v>
      </c>
      <c r="E932" s="206">
        <v>106.959999</v>
      </c>
      <c r="F932" s="10">
        <f t="shared" si="29"/>
        <v>-8.9873158528677166E-3</v>
      </c>
    </row>
    <row r="933" spans="2:6" x14ac:dyDescent="0.25">
      <c r="B933" s="210">
        <v>44417</v>
      </c>
      <c r="C933" s="206">
        <v>442.13000499999998</v>
      </c>
      <c r="D933" s="207">
        <f t="shared" si="28"/>
        <v>-8.1354382728515695E-4</v>
      </c>
      <c r="E933" s="206">
        <v>106.150002</v>
      </c>
      <c r="F933" s="10">
        <f t="shared" si="29"/>
        <v>-7.5728964806740517E-3</v>
      </c>
    </row>
    <row r="934" spans="2:6" x14ac:dyDescent="0.25">
      <c r="B934" s="210">
        <v>44418</v>
      </c>
      <c r="C934" s="206">
        <v>442.67999300000002</v>
      </c>
      <c r="D934" s="207">
        <f t="shared" si="28"/>
        <v>1.2439508601096438E-3</v>
      </c>
      <c r="E934" s="206">
        <v>106.900002</v>
      </c>
      <c r="F934" s="10">
        <f t="shared" si="29"/>
        <v>7.065473253594412E-3</v>
      </c>
    </row>
    <row r="935" spans="2:6" x14ac:dyDescent="0.25">
      <c r="B935" s="210">
        <v>44419</v>
      </c>
      <c r="C935" s="206">
        <v>443.77999899999998</v>
      </c>
      <c r="D935" s="207">
        <f t="shared" si="28"/>
        <v>2.4848785068087853E-3</v>
      </c>
      <c r="E935" s="206">
        <v>107.139999</v>
      </c>
      <c r="F935" s="10">
        <f t="shared" si="29"/>
        <v>2.2450607624870944E-3</v>
      </c>
    </row>
    <row r="936" spans="2:6" x14ac:dyDescent="0.25">
      <c r="B936" s="210">
        <v>44420</v>
      </c>
      <c r="C936" s="206">
        <v>445.10998499999999</v>
      </c>
      <c r="D936" s="207">
        <f t="shared" si="28"/>
        <v>2.9969489454164666E-3</v>
      </c>
      <c r="E936" s="206">
        <v>105.69000200000001</v>
      </c>
      <c r="F936" s="10">
        <f t="shared" si="29"/>
        <v>-1.353366635741704E-2</v>
      </c>
    </row>
    <row r="937" spans="2:6" x14ac:dyDescent="0.25">
      <c r="B937" s="210">
        <v>44421</v>
      </c>
      <c r="C937" s="206">
        <v>445.92001299999998</v>
      </c>
      <c r="D937" s="207">
        <f t="shared" si="28"/>
        <v>1.8198378542328975E-3</v>
      </c>
      <c r="E937" s="206">
        <v>106</v>
      </c>
      <c r="F937" s="10">
        <f t="shared" si="29"/>
        <v>2.9330872753696724E-3</v>
      </c>
    </row>
    <row r="938" spans="2:6" x14ac:dyDescent="0.25">
      <c r="B938" s="210">
        <v>44424</v>
      </c>
      <c r="C938" s="206">
        <v>446.97000100000002</v>
      </c>
      <c r="D938" s="207">
        <f t="shared" si="28"/>
        <v>2.3546554749496185E-3</v>
      </c>
      <c r="E938" s="206">
        <v>107.80999799999999</v>
      </c>
      <c r="F938" s="10">
        <f t="shared" si="29"/>
        <v>1.7075452830188631E-2</v>
      </c>
    </row>
    <row r="939" spans="2:6" x14ac:dyDescent="0.25">
      <c r="B939" s="210">
        <v>44425</v>
      </c>
      <c r="C939" s="206">
        <v>444.040009</v>
      </c>
      <c r="D939" s="207">
        <f t="shared" si="28"/>
        <v>-6.555231880092216E-3</v>
      </c>
      <c r="E939" s="206">
        <v>107.709999</v>
      </c>
      <c r="F939" s="10">
        <f t="shared" si="29"/>
        <v>-9.2754848209897212E-4</v>
      </c>
    </row>
    <row r="940" spans="2:6" x14ac:dyDescent="0.25">
      <c r="B940" s="210">
        <v>44426</v>
      </c>
      <c r="C940" s="206">
        <v>439.17999300000002</v>
      </c>
      <c r="D940" s="207">
        <f t="shared" si="28"/>
        <v>-1.094499572447305E-2</v>
      </c>
      <c r="E940" s="206">
        <v>107.050003</v>
      </c>
      <c r="F940" s="10">
        <f t="shared" si="29"/>
        <v>-6.1275276773513632E-3</v>
      </c>
    </row>
    <row r="941" spans="2:6" x14ac:dyDescent="0.25">
      <c r="B941" s="210">
        <v>44427</v>
      </c>
      <c r="C941" s="206">
        <v>439.85998499999999</v>
      </c>
      <c r="D941" s="207">
        <f t="shared" si="28"/>
        <v>1.548321897258953E-3</v>
      </c>
      <c r="E941" s="206">
        <v>106.879997</v>
      </c>
      <c r="F941" s="10">
        <f t="shared" si="29"/>
        <v>-1.588098974644625E-3</v>
      </c>
    </row>
    <row r="942" spans="2:6" x14ac:dyDescent="0.25">
      <c r="B942" s="210">
        <v>44428</v>
      </c>
      <c r="C942" s="206">
        <v>443.35998499999999</v>
      </c>
      <c r="D942" s="207">
        <f t="shared" si="28"/>
        <v>7.9570775232031821E-3</v>
      </c>
      <c r="E942" s="206">
        <v>107.209999</v>
      </c>
      <c r="F942" s="10">
        <f t="shared" si="29"/>
        <v>3.0875936495393663E-3</v>
      </c>
    </row>
    <row r="943" spans="2:6" x14ac:dyDescent="0.25">
      <c r="B943" s="210">
        <v>44431</v>
      </c>
      <c r="C943" s="206">
        <v>447.26001000000002</v>
      </c>
      <c r="D943" s="207">
        <f t="shared" si="28"/>
        <v>8.7965200558188794E-3</v>
      </c>
      <c r="E943" s="206">
        <v>105.83000199999999</v>
      </c>
      <c r="F943" s="10">
        <f t="shared" si="29"/>
        <v>-1.2871905725882926E-2</v>
      </c>
    </row>
    <row r="944" spans="2:6" x14ac:dyDescent="0.25">
      <c r="B944" s="210">
        <v>44432</v>
      </c>
      <c r="C944" s="206">
        <v>447.97000100000002</v>
      </c>
      <c r="D944" s="207">
        <f t="shared" si="28"/>
        <v>1.5874233871255861E-3</v>
      </c>
      <c r="E944" s="206">
        <v>105.150002</v>
      </c>
      <c r="F944" s="10">
        <f t="shared" si="29"/>
        <v>-6.4253991037437341E-3</v>
      </c>
    </row>
    <row r="945" spans="2:6" x14ac:dyDescent="0.25">
      <c r="B945" s="210">
        <v>44433</v>
      </c>
      <c r="C945" s="206">
        <v>448.91000400000001</v>
      </c>
      <c r="D945" s="207">
        <f t="shared" si="28"/>
        <v>2.098361492737455E-3</v>
      </c>
      <c r="E945" s="206">
        <v>105.379997</v>
      </c>
      <c r="F945" s="10">
        <f t="shared" si="29"/>
        <v>2.1873038100370668E-3</v>
      </c>
    </row>
    <row r="946" spans="2:6" x14ac:dyDescent="0.25">
      <c r="B946" s="210">
        <v>44434</v>
      </c>
      <c r="C946" s="206">
        <v>446.26001000000002</v>
      </c>
      <c r="D946" s="207">
        <f t="shared" si="28"/>
        <v>-5.9031743030614203E-3</v>
      </c>
      <c r="E946" s="206">
        <v>104.849998</v>
      </c>
      <c r="F946" s="10">
        <f t="shared" si="29"/>
        <v>-5.0294080004577024E-3</v>
      </c>
    </row>
    <row r="947" spans="2:6" x14ac:dyDescent="0.25">
      <c r="B947" s="210">
        <v>44435</v>
      </c>
      <c r="C947" s="206">
        <v>450.25</v>
      </c>
      <c r="D947" s="207">
        <f t="shared" si="28"/>
        <v>8.9409535037656696E-3</v>
      </c>
      <c r="E947" s="206">
        <v>104.66999800000001</v>
      </c>
      <c r="F947" s="10">
        <f t="shared" si="29"/>
        <v>-1.7167382301713774E-3</v>
      </c>
    </row>
    <row r="948" spans="2:6" x14ac:dyDescent="0.25">
      <c r="B948" s="210">
        <v>44438</v>
      </c>
      <c r="C948" s="206">
        <v>452.23001099999999</v>
      </c>
      <c r="D948" s="207">
        <f t="shared" si="28"/>
        <v>4.3975813436978317E-3</v>
      </c>
      <c r="E948" s="206">
        <v>104.790001</v>
      </c>
      <c r="F948" s="10">
        <f t="shared" si="29"/>
        <v>1.1464889872263573E-3</v>
      </c>
    </row>
    <row r="949" spans="2:6" x14ac:dyDescent="0.25">
      <c r="B949" s="210">
        <v>44439</v>
      </c>
      <c r="C949" s="206">
        <v>451.55999800000001</v>
      </c>
      <c r="D949" s="207">
        <f t="shared" si="28"/>
        <v>-1.4815757108167515E-3</v>
      </c>
      <c r="E949" s="206">
        <v>104.660004</v>
      </c>
      <c r="F949" s="10">
        <f t="shared" si="29"/>
        <v>-1.2405477503526496E-3</v>
      </c>
    </row>
    <row r="950" spans="2:6" x14ac:dyDescent="0.25">
      <c r="B950" s="210">
        <v>44440</v>
      </c>
      <c r="C950" s="206">
        <v>451.79998799999998</v>
      </c>
      <c r="D950" s="207">
        <f t="shared" si="28"/>
        <v>5.3146868868569896E-4</v>
      </c>
      <c r="E950" s="206">
        <v>106.120003</v>
      </c>
      <c r="F950" s="10">
        <f t="shared" si="29"/>
        <v>1.3949923028858224E-2</v>
      </c>
    </row>
    <row r="951" spans="2:6" x14ac:dyDescent="0.25">
      <c r="B951" s="210">
        <v>44441</v>
      </c>
      <c r="C951" s="206">
        <v>453.19000199999999</v>
      </c>
      <c r="D951" s="207">
        <f t="shared" si="28"/>
        <v>3.0766136275328648E-3</v>
      </c>
      <c r="E951" s="206">
        <v>106.650002</v>
      </c>
      <c r="F951" s="10">
        <f t="shared" si="29"/>
        <v>4.9943364588860284E-3</v>
      </c>
    </row>
    <row r="952" spans="2:6" x14ac:dyDescent="0.25">
      <c r="B952" s="210">
        <v>44442</v>
      </c>
      <c r="C952" s="206">
        <v>453.07998700000002</v>
      </c>
      <c r="D952" s="207">
        <f t="shared" si="28"/>
        <v>-2.4275690000763461E-4</v>
      </c>
      <c r="E952" s="206">
        <v>105.68</v>
      </c>
      <c r="F952" s="10">
        <f t="shared" si="29"/>
        <v>-9.0951897028561657E-3</v>
      </c>
    </row>
    <row r="953" spans="2:6" x14ac:dyDescent="0.25">
      <c r="B953" s="210">
        <v>44446</v>
      </c>
      <c r="C953" s="206">
        <v>451.459991</v>
      </c>
      <c r="D953" s="207">
        <f t="shared" si="28"/>
        <v>-3.5755187747897876E-3</v>
      </c>
      <c r="E953" s="206">
        <v>103.199997</v>
      </c>
      <c r="F953" s="10">
        <f t="shared" si="29"/>
        <v>-2.3467098788796492E-2</v>
      </c>
    </row>
    <row r="954" spans="2:6" x14ac:dyDescent="0.25">
      <c r="B954" s="210">
        <v>44447</v>
      </c>
      <c r="C954" s="206">
        <v>450.91000400000001</v>
      </c>
      <c r="D954" s="207">
        <f t="shared" si="28"/>
        <v>-1.2182408429631808E-3</v>
      </c>
      <c r="E954" s="206">
        <v>105.33000199999999</v>
      </c>
      <c r="F954" s="10">
        <f t="shared" si="29"/>
        <v>2.0639583933321104E-2</v>
      </c>
    </row>
    <row r="955" spans="2:6" x14ac:dyDescent="0.25">
      <c r="B955" s="210">
        <v>44448</v>
      </c>
      <c r="C955" s="206">
        <v>448.98001099999999</v>
      </c>
      <c r="D955" s="207">
        <f t="shared" si="28"/>
        <v>-4.2802177438494571E-3</v>
      </c>
      <c r="E955" s="206">
        <v>104.620003</v>
      </c>
      <c r="F955" s="10">
        <f t="shared" si="29"/>
        <v>-6.7407100210631343E-3</v>
      </c>
    </row>
    <row r="956" spans="2:6" x14ac:dyDescent="0.25">
      <c r="B956" s="210">
        <v>44449</v>
      </c>
      <c r="C956" s="206">
        <v>445.44000199999999</v>
      </c>
      <c r="D956" s="207">
        <f t="shared" si="28"/>
        <v>-7.8845581390482034E-3</v>
      </c>
      <c r="E956" s="206">
        <v>103.199997</v>
      </c>
      <c r="F956" s="10">
        <f t="shared" si="29"/>
        <v>-1.3572987567205486E-2</v>
      </c>
    </row>
    <row r="957" spans="2:6" x14ac:dyDescent="0.25">
      <c r="B957" s="210">
        <v>44452</v>
      </c>
      <c r="C957" s="206">
        <v>446.57998700000002</v>
      </c>
      <c r="D957" s="207">
        <f t="shared" si="28"/>
        <v>2.5592335553195067E-3</v>
      </c>
      <c r="E957" s="206">
        <v>102.730003</v>
      </c>
      <c r="F957" s="10">
        <f t="shared" si="29"/>
        <v>-4.5542055587463048E-3</v>
      </c>
    </row>
    <row r="958" spans="2:6" x14ac:dyDescent="0.25">
      <c r="B958" s="210">
        <v>44453</v>
      </c>
      <c r="C958" s="206">
        <v>444.17001299999998</v>
      </c>
      <c r="D958" s="207">
        <f t="shared" si="28"/>
        <v>-5.3965114204727049E-3</v>
      </c>
      <c r="E958" s="206">
        <v>101.610001</v>
      </c>
      <c r="F958" s="10">
        <f t="shared" si="29"/>
        <v>-1.0902384574056678E-2</v>
      </c>
    </row>
    <row r="959" spans="2:6" x14ac:dyDescent="0.25">
      <c r="B959" s="210">
        <v>44454</v>
      </c>
      <c r="C959" s="206">
        <v>447.88000499999998</v>
      </c>
      <c r="D959" s="207">
        <f t="shared" si="28"/>
        <v>8.3526395105830709E-3</v>
      </c>
      <c r="E959" s="206">
        <v>102.029999</v>
      </c>
      <c r="F959" s="10">
        <f t="shared" si="29"/>
        <v>4.1334317081642702E-3</v>
      </c>
    </row>
    <row r="960" spans="2:6" x14ac:dyDescent="0.25">
      <c r="B960" s="210">
        <v>44455</v>
      </c>
      <c r="C960" s="206">
        <v>447.17001299999998</v>
      </c>
      <c r="D960" s="207">
        <f t="shared" si="28"/>
        <v>-1.5852281684242131E-3</v>
      </c>
      <c r="E960" s="206">
        <v>101.410004</v>
      </c>
      <c r="F960" s="10">
        <f t="shared" si="29"/>
        <v>-6.0765951786395656E-3</v>
      </c>
    </row>
    <row r="961" spans="2:6" x14ac:dyDescent="0.25">
      <c r="B961" s="210">
        <v>44456</v>
      </c>
      <c r="C961" s="206">
        <v>441.39999399999999</v>
      </c>
      <c r="D961" s="207">
        <f t="shared" si="28"/>
        <v>-1.2903412197275421E-2</v>
      </c>
      <c r="E961" s="206">
        <v>99.669998000000007</v>
      </c>
      <c r="F961" s="10">
        <f t="shared" si="29"/>
        <v>-1.7158129685114654E-2</v>
      </c>
    </row>
    <row r="962" spans="2:6" x14ac:dyDescent="0.25">
      <c r="B962" s="210">
        <v>44459</v>
      </c>
      <c r="C962" s="206">
        <v>434.040009</v>
      </c>
      <c r="D962" s="207">
        <f t="shared" si="28"/>
        <v>-1.6674184639884682E-2</v>
      </c>
      <c r="E962" s="206">
        <v>99.639999000000003</v>
      </c>
      <c r="F962" s="10">
        <f t="shared" si="29"/>
        <v>-3.0098325074712218E-4</v>
      </c>
    </row>
    <row r="963" spans="2:6" x14ac:dyDescent="0.25">
      <c r="B963" s="210">
        <v>44460</v>
      </c>
      <c r="C963" s="206">
        <v>433.63000499999998</v>
      </c>
      <c r="D963" s="207">
        <f t="shared" si="28"/>
        <v>-9.4462259584005004E-4</v>
      </c>
      <c r="E963" s="206">
        <v>98.919998000000007</v>
      </c>
      <c r="F963" s="10">
        <f t="shared" si="29"/>
        <v>-7.2260237577882469E-3</v>
      </c>
    </row>
    <row r="964" spans="2:6" x14ac:dyDescent="0.25">
      <c r="B964" s="210">
        <v>44461</v>
      </c>
      <c r="C964" s="206">
        <v>437.85998499999999</v>
      </c>
      <c r="D964" s="207">
        <f t="shared" si="28"/>
        <v>9.7548138994671962E-3</v>
      </c>
      <c r="E964" s="206">
        <v>98.540001000000004</v>
      </c>
      <c r="F964" s="10">
        <f t="shared" si="29"/>
        <v>-3.8414578212991879E-3</v>
      </c>
    </row>
    <row r="965" spans="2:6" x14ac:dyDescent="0.25">
      <c r="B965" s="210">
        <v>44462</v>
      </c>
      <c r="C965" s="206">
        <v>443.17999300000002</v>
      </c>
      <c r="D965" s="207">
        <f t="shared" ref="D965:D1028" si="30">C965/C964-1</f>
        <v>1.2150020970744801E-2</v>
      </c>
      <c r="E965" s="206">
        <v>98.400002000000001</v>
      </c>
      <c r="F965" s="10">
        <f t="shared" ref="F965:F1028" si="31">E965/E964-1</f>
        <v>-1.4207326829639433E-3</v>
      </c>
    </row>
    <row r="966" spans="2:6" x14ac:dyDescent="0.25">
      <c r="B966" s="210">
        <v>44463</v>
      </c>
      <c r="C966" s="206">
        <v>443.91000400000001</v>
      </c>
      <c r="D966" s="207">
        <f t="shared" si="30"/>
        <v>1.6472110914989013E-3</v>
      </c>
      <c r="E966" s="206">
        <v>98.459998999999996</v>
      </c>
      <c r="F966" s="10">
        <f t="shared" si="31"/>
        <v>6.0972559736316434E-4</v>
      </c>
    </row>
    <row r="967" spans="2:6" x14ac:dyDescent="0.25">
      <c r="B967" s="210">
        <v>44466</v>
      </c>
      <c r="C967" s="206">
        <v>442.64001500000001</v>
      </c>
      <c r="D967" s="207">
        <f t="shared" si="30"/>
        <v>-2.8609154751105814E-3</v>
      </c>
      <c r="E967" s="206">
        <v>97.629997000000003</v>
      </c>
      <c r="F967" s="10">
        <f t="shared" si="31"/>
        <v>-8.4298396143595022E-3</v>
      </c>
    </row>
    <row r="968" spans="2:6" x14ac:dyDescent="0.25">
      <c r="B968" s="210">
        <v>44467</v>
      </c>
      <c r="C968" s="206">
        <v>433.72000100000002</v>
      </c>
      <c r="D968" s="207">
        <f t="shared" si="30"/>
        <v>-2.0151847319994309E-2</v>
      </c>
      <c r="E968" s="206">
        <v>97.050003000000004</v>
      </c>
      <c r="F968" s="10">
        <f t="shared" si="31"/>
        <v>-5.9407356122319621E-3</v>
      </c>
    </row>
    <row r="969" spans="2:6" x14ac:dyDescent="0.25">
      <c r="B969" s="210">
        <v>44468</v>
      </c>
      <c r="C969" s="206">
        <v>434.45001200000002</v>
      </c>
      <c r="D969" s="207">
        <f t="shared" si="30"/>
        <v>1.6831388875699904E-3</v>
      </c>
      <c r="E969" s="206">
        <v>98.339995999999999</v>
      </c>
      <c r="F969" s="10">
        <f t="shared" si="31"/>
        <v>1.3292044926572544E-2</v>
      </c>
    </row>
    <row r="970" spans="2:6" x14ac:dyDescent="0.25">
      <c r="B970" s="210">
        <v>44469</v>
      </c>
      <c r="C970" s="206">
        <v>429.14001500000001</v>
      </c>
      <c r="D970" s="207">
        <f t="shared" si="30"/>
        <v>-1.2222342854947388E-2</v>
      </c>
      <c r="E970" s="206">
        <v>97.589995999999999</v>
      </c>
      <c r="F970" s="10">
        <f t="shared" si="31"/>
        <v>-7.6266018965467364E-3</v>
      </c>
    </row>
    <row r="971" spans="2:6" x14ac:dyDescent="0.25">
      <c r="B971" s="210">
        <v>44470</v>
      </c>
      <c r="C971" s="206">
        <v>434.23998999999998</v>
      </c>
      <c r="D971" s="207">
        <f t="shared" si="30"/>
        <v>1.1884174912003997E-2</v>
      </c>
      <c r="E971" s="206">
        <v>98.459998999999996</v>
      </c>
      <c r="F971" s="10">
        <f t="shared" si="31"/>
        <v>8.91487893902565E-3</v>
      </c>
    </row>
    <row r="972" spans="2:6" x14ac:dyDescent="0.25">
      <c r="B972" s="210">
        <v>44473</v>
      </c>
      <c r="C972" s="206">
        <v>428.64001500000001</v>
      </c>
      <c r="D972" s="207">
        <f t="shared" si="30"/>
        <v>-1.2896037050848297E-2</v>
      </c>
      <c r="E972" s="206">
        <v>100.760002</v>
      </c>
      <c r="F972" s="10">
        <f t="shared" si="31"/>
        <v>2.3359770702414906E-2</v>
      </c>
    </row>
    <row r="973" spans="2:6" x14ac:dyDescent="0.25">
      <c r="B973" s="210">
        <v>44474</v>
      </c>
      <c r="C973" s="206">
        <v>433.10000600000001</v>
      </c>
      <c r="D973" s="207">
        <f t="shared" si="30"/>
        <v>1.040498050561145E-2</v>
      </c>
      <c r="E973" s="206">
        <v>100.16999800000001</v>
      </c>
      <c r="F973" s="10">
        <f t="shared" si="31"/>
        <v>-5.855537795642296E-3</v>
      </c>
    </row>
    <row r="974" spans="2:6" x14ac:dyDescent="0.25">
      <c r="B974" s="210">
        <v>44475</v>
      </c>
      <c r="C974" s="206">
        <v>434.89999399999999</v>
      </c>
      <c r="D974" s="207">
        <f t="shared" si="30"/>
        <v>4.156056280451681E-3</v>
      </c>
      <c r="E974" s="206">
        <v>101.849998</v>
      </c>
      <c r="F974" s="10">
        <f t="shared" si="31"/>
        <v>1.6771488804462109E-2</v>
      </c>
    </row>
    <row r="975" spans="2:6" x14ac:dyDescent="0.25">
      <c r="B975" s="210">
        <v>44476</v>
      </c>
      <c r="C975" s="206">
        <v>438.66000400000001</v>
      </c>
      <c r="D975" s="207">
        <f t="shared" si="30"/>
        <v>8.645688783339045E-3</v>
      </c>
      <c r="E975" s="206">
        <v>100.959999</v>
      </c>
      <c r="F975" s="10">
        <f t="shared" si="31"/>
        <v>-8.7383310503355016E-3</v>
      </c>
    </row>
    <row r="976" spans="2:6" x14ac:dyDescent="0.25">
      <c r="B976" s="210">
        <v>44477</v>
      </c>
      <c r="C976" s="206">
        <v>437.85998499999999</v>
      </c>
      <c r="D976" s="207">
        <f t="shared" si="30"/>
        <v>-1.8237792201361014E-3</v>
      </c>
      <c r="E976" s="206">
        <v>100.529999</v>
      </c>
      <c r="F976" s="10">
        <f t="shared" si="31"/>
        <v>-4.2591125619958481E-3</v>
      </c>
    </row>
    <row r="977" spans="2:6" x14ac:dyDescent="0.25">
      <c r="B977" s="210">
        <v>44480</v>
      </c>
      <c r="C977" s="206">
        <v>434.69000199999999</v>
      </c>
      <c r="D977" s="207">
        <f t="shared" si="30"/>
        <v>-7.2397184227739331E-3</v>
      </c>
      <c r="E977" s="206">
        <v>99.709998999999996</v>
      </c>
      <c r="F977" s="10">
        <f t="shared" si="31"/>
        <v>-8.1567692047823659E-3</v>
      </c>
    </row>
    <row r="978" spans="2:6" x14ac:dyDescent="0.25">
      <c r="B978" s="210">
        <v>44481</v>
      </c>
      <c r="C978" s="206">
        <v>433.61999500000002</v>
      </c>
      <c r="D978" s="207">
        <f t="shared" si="30"/>
        <v>-2.4615403967813698E-3</v>
      </c>
      <c r="E978" s="206">
        <v>99.82</v>
      </c>
      <c r="F978" s="10">
        <f t="shared" si="31"/>
        <v>1.103209318054521E-3</v>
      </c>
    </row>
    <row r="979" spans="2:6" x14ac:dyDescent="0.25">
      <c r="B979" s="210">
        <v>44482</v>
      </c>
      <c r="C979" s="206">
        <v>435.17999300000002</v>
      </c>
      <c r="D979" s="207">
        <f t="shared" si="30"/>
        <v>3.5976154651262693E-3</v>
      </c>
      <c r="E979" s="206">
        <v>100.699997</v>
      </c>
      <c r="F979" s="10">
        <f t="shared" si="31"/>
        <v>8.8158385093168867E-3</v>
      </c>
    </row>
    <row r="980" spans="2:6" x14ac:dyDescent="0.25">
      <c r="B980" s="210">
        <v>44483</v>
      </c>
      <c r="C980" s="206">
        <v>442.5</v>
      </c>
      <c r="D980" s="207">
        <f t="shared" si="30"/>
        <v>1.6820642303746691E-2</v>
      </c>
      <c r="E980" s="206">
        <v>101.650002</v>
      </c>
      <c r="F980" s="10">
        <f t="shared" si="31"/>
        <v>9.434012197636843E-3</v>
      </c>
    </row>
    <row r="981" spans="2:6" x14ac:dyDescent="0.25">
      <c r="B981" s="210">
        <v>44484</v>
      </c>
      <c r="C981" s="206">
        <v>445.86999500000002</v>
      </c>
      <c r="D981" s="207">
        <f t="shared" si="30"/>
        <v>7.6158079096044773E-3</v>
      </c>
      <c r="E981" s="206">
        <v>100.349998</v>
      </c>
      <c r="F981" s="10">
        <f t="shared" si="31"/>
        <v>-1.2789020899379833E-2</v>
      </c>
    </row>
    <row r="982" spans="2:6" x14ac:dyDescent="0.25">
      <c r="B982" s="210">
        <v>44487</v>
      </c>
      <c r="C982" s="206">
        <v>447.19000199999999</v>
      </c>
      <c r="D982" s="207">
        <f t="shared" si="30"/>
        <v>2.9605199156763629E-3</v>
      </c>
      <c r="E982" s="206">
        <v>99.860000999999997</v>
      </c>
      <c r="F982" s="10">
        <f t="shared" si="31"/>
        <v>-4.8828800175960696E-3</v>
      </c>
    </row>
    <row r="983" spans="2:6" x14ac:dyDescent="0.25">
      <c r="B983" s="210">
        <v>44488</v>
      </c>
      <c r="C983" s="206">
        <v>450.64001500000001</v>
      </c>
      <c r="D983" s="207">
        <f t="shared" si="30"/>
        <v>7.7148706021383795E-3</v>
      </c>
      <c r="E983" s="206">
        <v>101.129997</v>
      </c>
      <c r="F983" s="10">
        <f t="shared" si="31"/>
        <v>1.2717764743463311E-2</v>
      </c>
    </row>
    <row r="984" spans="2:6" x14ac:dyDescent="0.25">
      <c r="B984" s="210">
        <v>44489</v>
      </c>
      <c r="C984" s="206">
        <v>452.41000400000001</v>
      </c>
      <c r="D984" s="207">
        <f t="shared" si="30"/>
        <v>3.9277226635101581E-3</v>
      </c>
      <c r="E984" s="206">
        <v>102.230003</v>
      </c>
      <c r="F984" s="10">
        <f t="shared" si="31"/>
        <v>1.0877148547725035E-2</v>
      </c>
    </row>
    <row r="985" spans="2:6" x14ac:dyDescent="0.25">
      <c r="B985" s="210">
        <v>44490</v>
      </c>
      <c r="C985" s="206">
        <v>453.58999599999999</v>
      </c>
      <c r="D985" s="207">
        <f t="shared" si="30"/>
        <v>2.6082358691608132E-3</v>
      </c>
      <c r="E985" s="206">
        <v>103</v>
      </c>
      <c r="F985" s="10">
        <f t="shared" si="31"/>
        <v>7.5320060393619936E-3</v>
      </c>
    </row>
    <row r="986" spans="2:6" x14ac:dyDescent="0.25">
      <c r="B986" s="210">
        <v>44491</v>
      </c>
      <c r="C986" s="206">
        <v>453.11999500000002</v>
      </c>
      <c r="D986" s="207">
        <f t="shared" si="30"/>
        <v>-1.0361802600248327E-3</v>
      </c>
      <c r="E986" s="206">
        <v>103.779999</v>
      </c>
      <c r="F986" s="10">
        <f t="shared" si="31"/>
        <v>7.5728058252426678E-3</v>
      </c>
    </row>
    <row r="987" spans="2:6" x14ac:dyDescent="0.25">
      <c r="B987" s="210">
        <v>44494</v>
      </c>
      <c r="C987" s="206">
        <v>455.54998799999998</v>
      </c>
      <c r="D987" s="207">
        <f t="shared" si="30"/>
        <v>5.362802407340217E-3</v>
      </c>
      <c r="E987" s="206">
        <v>102.839996</v>
      </c>
      <c r="F987" s="10">
        <f t="shared" si="31"/>
        <v>-9.0576508870462424E-3</v>
      </c>
    </row>
    <row r="988" spans="2:6" x14ac:dyDescent="0.25">
      <c r="B988" s="210">
        <v>44495</v>
      </c>
      <c r="C988" s="206">
        <v>455.959991</v>
      </c>
      <c r="D988" s="207">
        <f t="shared" si="30"/>
        <v>9.0001758489788308E-4</v>
      </c>
      <c r="E988" s="206">
        <v>103.290001</v>
      </c>
      <c r="F988" s="10">
        <f t="shared" si="31"/>
        <v>4.3757780776265687E-3</v>
      </c>
    </row>
    <row r="989" spans="2:6" x14ac:dyDescent="0.25">
      <c r="B989" s="210">
        <v>44496</v>
      </c>
      <c r="C989" s="206">
        <v>453.94000199999999</v>
      </c>
      <c r="D989" s="207">
        <f t="shared" si="30"/>
        <v>-4.430189139116858E-3</v>
      </c>
      <c r="E989" s="206">
        <v>102.760002</v>
      </c>
      <c r="F989" s="10">
        <f t="shared" si="31"/>
        <v>-5.1311743137654187E-3</v>
      </c>
    </row>
    <row r="990" spans="2:6" x14ac:dyDescent="0.25">
      <c r="B990" s="210">
        <v>44497</v>
      </c>
      <c r="C990" s="206">
        <v>458.32000699999998</v>
      </c>
      <c r="D990" s="207">
        <f t="shared" si="30"/>
        <v>9.6488632433850974E-3</v>
      </c>
      <c r="E990" s="206">
        <v>102.489998</v>
      </c>
      <c r="F990" s="10">
        <f t="shared" si="31"/>
        <v>-2.6275203848283857E-3</v>
      </c>
    </row>
    <row r="991" spans="2:6" x14ac:dyDescent="0.25">
      <c r="B991" s="210">
        <v>44498</v>
      </c>
      <c r="C991" s="206">
        <v>459.25</v>
      </c>
      <c r="D991" s="207">
        <f t="shared" si="30"/>
        <v>2.0291346347445227E-3</v>
      </c>
      <c r="E991" s="206">
        <v>102.010002</v>
      </c>
      <c r="F991" s="10">
        <f t="shared" si="31"/>
        <v>-4.6833448079489637E-3</v>
      </c>
    </row>
    <row r="992" spans="2:6" x14ac:dyDescent="0.25">
      <c r="B992" s="210">
        <v>44501</v>
      </c>
      <c r="C992" s="206">
        <v>460.040009</v>
      </c>
      <c r="D992" s="207">
        <f t="shared" si="30"/>
        <v>1.72021556886226E-3</v>
      </c>
      <c r="E992" s="206">
        <v>102.30999799999999</v>
      </c>
      <c r="F992" s="10">
        <f t="shared" si="31"/>
        <v>2.9408488787205922E-3</v>
      </c>
    </row>
    <row r="993" spans="2:6" x14ac:dyDescent="0.25">
      <c r="B993" s="210">
        <v>44502</v>
      </c>
      <c r="C993" s="206">
        <v>461.89999399999999</v>
      </c>
      <c r="D993" s="207">
        <f t="shared" si="30"/>
        <v>4.0430939996785042E-3</v>
      </c>
      <c r="E993" s="206">
        <v>102.449997</v>
      </c>
      <c r="F993" s="10">
        <f t="shared" si="31"/>
        <v>1.3683804392217169E-3</v>
      </c>
    </row>
    <row r="994" spans="2:6" x14ac:dyDescent="0.25">
      <c r="B994" s="210">
        <v>44503</v>
      </c>
      <c r="C994" s="206">
        <v>464.72000100000002</v>
      </c>
      <c r="D994" s="207">
        <f t="shared" si="30"/>
        <v>6.105232813664152E-3</v>
      </c>
      <c r="E994" s="206">
        <v>102.540001</v>
      </c>
      <c r="F994" s="10">
        <f t="shared" si="31"/>
        <v>8.7851637516411785E-4</v>
      </c>
    </row>
    <row r="995" spans="2:6" x14ac:dyDescent="0.25">
      <c r="B995" s="210">
        <v>44504</v>
      </c>
      <c r="C995" s="206">
        <v>466.91000400000001</v>
      </c>
      <c r="D995" s="207">
        <f t="shared" si="30"/>
        <v>4.7125215081931238E-3</v>
      </c>
      <c r="E995" s="206">
        <v>101.019997</v>
      </c>
      <c r="F995" s="10">
        <f t="shared" si="31"/>
        <v>-1.4823522383230703E-2</v>
      </c>
    </row>
    <row r="996" spans="2:6" x14ac:dyDescent="0.25">
      <c r="B996" s="210">
        <v>44505</v>
      </c>
      <c r="C996" s="206">
        <v>468.52999899999998</v>
      </c>
      <c r="D996" s="207">
        <f t="shared" si="30"/>
        <v>3.4696086743088994E-3</v>
      </c>
      <c r="E996" s="206">
        <v>101.68</v>
      </c>
      <c r="F996" s="10">
        <f t="shared" si="31"/>
        <v>6.5333896218586762E-3</v>
      </c>
    </row>
    <row r="997" spans="2:6" x14ac:dyDescent="0.25">
      <c r="B997" s="210">
        <v>44508</v>
      </c>
      <c r="C997" s="206">
        <v>468.92999300000002</v>
      </c>
      <c r="D997" s="207">
        <f t="shared" si="30"/>
        <v>8.5372121497817588E-4</v>
      </c>
      <c r="E997" s="206">
        <v>101.41999800000001</v>
      </c>
      <c r="F997" s="10">
        <f t="shared" si="31"/>
        <v>-2.5570613690008015E-3</v>
      </c>
    </row>
    <row r="998" spans="2:6" x14ac:dyDescent="0.25">
      <c r="B998" s="210">
        <v>44509</v>
      </c>
      <c r="C998" s="206">
        <v>467.38000499999998</v>
      </c>
      <c r="D998" s="207">
        <f t="shared" si="30"/>
        <v>-3.3053718532353171E-3</v>
      </c>
      <c r="E998" s="206">
        <v>101.959999</v>
      </c>
      <c r="F998" s="10">
        <f t="shared" si="31"/>
        <v>5.3244035757129549E-3</v>
      </c>
    </row>
    <row r="999" spans="2:6" x14ac:dyDescent="0.25">
      <c r="B999" s="210">
        <v>44510</v>
      </c>
      <c r="C999" s="206">
        <v>463.61999500000002</v>
      </c>
      <c r="D999" s="207">
        <f t="shared" si="30"/>
        <v>-8.0448670456065852E-3</v>
      </c>
      <c r="E999" s="206">
        <v>101.620003</v>
      </c>
      <c r="F999" s="10">
        <f t="shared" si="31"/>
        <v>-3.3346018373342501E-3</v>
      </c>
    </row>
    <row r="1000" spans="2:6" x14ac:dyDescent="0.25">
      <c r="B1000" s="210">
        <v>44511</v>
      </c>
      <c r="C1000" s="206">
        <v>463.76998900000001</v>
      </c>
      <c r="D1000" s="207">
        <f t="shared" si="30"/>
        <v>3.2352789270873039E-4</v>
      </c>
      <c r="E1000" s="206">
        <v>100.25</v>
      </c>
      <c r="F1000" s="10">
        <f t="shared" si="31"/>
        <v>-1.3481627234354643E-2</v>
      </c>
    </row>
    <row r="1001" spans="2:6" x14ac:dyDescent="0.25">
      <c r="B1001" s="210">
        <v>44512</v>
      </c>
      <c r="C1001" s="206">
        <v>467.26998900000001</v>
      </c>
      <c r="D1001" s="207">
        <f t="shared" si="30"/>
        <v>7.5468445199458056E-3</v>
      </c>
      <c r="E1001" s="206">
        <v>99.879997000000003</v>
      </c>
      <c r="F1001" s="10">
        <f t="shared" si="31"/>
        <v>-3.6908029925186714E-3</v>
      </c>
    </row>
    <row r="1002" spans="2:6" x14ac:dyDescent="0.25">
      <c r="B1002" s="210">
        <v>44515</v>
      </c>
      <c r="C1002" s="206">
        <v>467.42999300000002</v>
      </c>
      <c r="D1002" s="207">
        <f t="shared" si="30"/>
        <v>3.4242301831199917E-4</v>
      </c>
      <c r="E1002" s="206">
        <v>100.599998</v>
      </c>
      <c r="F1002" s="10">
        <f t="shared" si="31"/>
        <v>7.2086606089905025E-3</v>
      </c>
    </row>
    <row r="1003" spans="2:6" x14ac:dyDescent="0.25">
      <c r="B1003" s="210">
        <v>44516</v>
      </c>
      <c r="C1003" s="206">
        <v>469.27999899999998</v>
      </c>
      <c r="D1003" s="207">
        <f t="shared" si="30"/>
        <v>3.9578247602951588E-3</v>
      </c>
      <c r="E1003" s="206">
        <v>99.080001999999993</v>
      </c>
      <c r="F1003" s="10">
        <f t="shared" si="31"/>
        <v>-1.5109304475334095E-2</v>
      </c>
    </row>
    <row r="1004" spans="2:6" x14ac:dyDescent="0.25">
      <c r="B1004" s="210">
        <v>44517</v>
      </c>
      <c r="C1004" s="206">
        <v>468.14001500000001</v>
      </c>
      <c r="D1004" s="207">
        <f t="shared" si="30"/>
        <v>-2.42921923463435E-3</v>
      </c>
      <c r="E1004" s="206">
        <v>98.989998</v>
      </c>
      <c r="F1004" s="10">
        <f t="shared" si="31"/>
        <v>-9.0839723640689929E-4</v>
      </c>
    </row>
    <row r="1005" spans="2:6" x14ac:dyDescent="0.25">
      <c r="B1005" s="210">
        <v>44518</v>
      </c>
      <c r="C1005" s="206">
        <v>469.73001099999999</v>
      </c>
      <c r="D1005" s="207">
        <f t="shared" si="30"/>
        <v>3.3964112211171127E-3</v>
      </c>
      <c r="E1005" s="206">
        <v>98.370002999999997</v>
      </c>
      <c r="F1005" s="10">
        <f t="shared" si="31"/>
        <v>-6.2632085314316965E-3</v>
      </c>
    </row>
    <row r="1006" spans="2:6" x14ac:dyDescent="0.25">
      <c r="B1006" s="210">
        <v>44519</v>
      </c>
      <c r="C1006" s="206">
        <v>468.89001500000001</v>
      </c>
      <c r="D1006" s="207">
        <f t="shared" si="30"/>
        <v>-1.7882527842147944E-3</v>
      </c>
      <c r="E1006" s="206">
        <v>98.419998000000007</v>
      </c>
      <c r="F1006" s="10">
        <f t="shared" si="31"/>
        <v>5.0823420224976879E-4</v>
      </c>
    </row>
    <row r="1007" spans="2:6" x14ac:dyDescent="0.25">
      <c r="B1007" s="210">
        <v>44522</v>
      </c>
      <c r="C1007" s="206">
        <v>467.57000699999998</v>
      </c>
      <c r="D1007" s="207">
        <f t="shared" si="30"/>
        <v>-2.815176177296097E-3</v>
      </c>
      <c r="E1007" s="206">
        <v>100.25</v>
      </c>
      <c r="F1007" s="10">
        <f t="shared" si="31"/>
        <v>1.8593802450595387E-2</v>
      </c>
    </row>
    <row r="1008" spans="2:6" x14ac:dyDescent="0.25">
      <c r="B1008" s="210">
        <v>44523</v>
      </c>
      <c r="C1008" s="206">
        <v>468.19000199999999</v>
      </c>
      <c r="D1008" s="207">
        <f t="shared" si="30"/>
        <v>1.3259939489660422E-3</v>
      </c>
      <c r="E1008" s="206">
        <v>100.739998</v>
      </c>
      <c r="F1008" s="10">
        <f t="shared" si="31"/>
        <v>4.8877605985038208E-3</v>
      </c>
    </row>
    <row r="1009" spans="2:6" x14ac:dyDescent="0.25">
      <c r="B1009" s="210">
        <v>44524</v>
      </c>
      <c r="C1009" s="206">
        <v>469.44000199999999</v>
      </c>
      <c r="D1009" s="207">
        <f t="shared" si="30"/>
        <v>2.6698562435343298E-3</v>
      </c>
      <c r="E1009" s="206">
        <v>100.18</v>
      </c>
      <c r="F1009" s="10">
        <f t="shared" si="31"/>
        <v>-5.5588446606877895E-3</v>
      </c>
    </row>
    <row r="1010" spans="2:6" x14ac:dyDescent="0.25">
      <c r="B1010" s="210">
        <v>44526</v>
      </c>
      <c r="C1010" s="206">
        <v>458.97000100000002</v>
      </c>
      <c r="D1010" s="207">
        <f t="shared" si="30"/>
        <v>-2.2303171769328611E-2</v>
      </c>
      <c r="E1010" s="206">
        <v>99.279999000000004</v>
      </c>
      <c r="F1010" s="10">
        <f t="shared" si="31"/>
        <v>-8.9838390896387343E-3</v>
      </c>
    </row>
    <row r="1011" spans="2:6" x14ac:dyDescent="0.25">
      <c r="B1011" s="210">
        <v>44529</v>
      </c>
      <c r="C1011" s="206">
        <v>464.60000600000001</v>
      </c>
      <c r="D1011" s="207">
        <f t="shared" si="30"/>
        <v>1.2266607812565944E-2</v>
      </c>
      <c r="E1011" s="206">
        <v>100.220001</v>
      </c>
      <c r="F1011" s="10">
        <f t="shared" si="31"/>
        <v>9.468191070388654E-3</v>
      </c>
    </row>
    <row r="1012" spans="2:6" x14ac:dyDescent="0.25">
      <c r="B1012" s="210">
        <v>44530</v>
      </c>
      <c r="C1012" s="206">
        <v>455.55999800000001</v>
      </c>
      <c r="D1012" s="207">
        <f t="shared" si="30"/>
        <v>-1.9457614901537523E-2</v>
      </c>
      <c r="E1012" s="206">
        <v>97.010002</v>
      </c>
      <c r="F1012" s="10">
        <f t="shared" si="31"/>
        <v>-3.2029524725309066E-2</v>
      </c>
    </row>
    <row r="1013" spans="2:6" x14ac:dyDescent="0.25">
      <c r="B1013" s="210">
        <v>44531</v>
      </c>
      <c r="C1013" s="206">
        <v>450.5</v>
      </c>
      <c r="D1013" s="207">
        <f t="shared" si="30"/>
        <v>-1.1107204368720702E-2</v>
      </c>
      <c r="E1013" s="206">
        <v>96.620002999999997</v>
      </c>
      <c r="F1013" s="10">
        <f t="shared" si="31"/>
        <v>-4.0201937115721398E-3</v>
      </c>
    </row>
    <row r="1014" spans="2:6" x14ac:dyDescent="0.25">
      <c r="B1014" s="210">
        <v>44532</v>
      </c>
      <c r="C1014" s="206">
        <v>457.39999399999999</v>
      </c>
      <c r="D1014" s="207">
        <f t="shared" si="30"/>
        <v>1.5316301886792338E-2</v>
      </c>
      <c r="E1014" s="206">
        <v>97.650002000000001</v>
      </c>
      <c r="F1014" s="10">
        <f t="shared" si="31"/>
        <v>1.0660308093759951E-2</v>
      </c>
    </row>
    <row r="1015" spans="2:6" x14ac:dyDescent="0.25">
      <c r="B1015" s="210">
        <v>44533</v>
      </c>
      <c r="C1015" s="206">
        <v>453.42001299999998</v>
      </c>
      <c r="D1015" s="207">
        <f t="shared" si="30"/>
        <v>-8.7013140625445962E-3</v>
      </c>
      <c r="E1015" s="206">
        <v>99.879997000000003</v>
      </c>
      <c r="F1015" s="10">
        <f t="shared" si="31"/>
        <v>2.283660987533831E-2</v>
      </c>
    </row>
    <row r="1016" spans="2:6" x14ac:dyDescent="0.25">
      <c r="B1016" s="210">
        <v>44536</v>
      </c>
      <c r="C1016" s="206">
        <v>458.790009</v>
      </c>
      <c r="D1016" s="207">
        <f t="shared" si="30"/>
        <v>1.1843314908995817E-2</v>
      </c>
      <c r="E1016" s="206">
        <v>101.209999</v>
      </c>
      <c r="F1016" s="10">
        <f t="shared" si="31"/>
        <v>1.3315999598998651E-2</v>
      </c>
    </row>
    <row r="1017" spans="2:6" x14ac:dyDescent="0.25">
      <c r="B1017" s="210">
        <v>44537</v>
      </c>
      <c r="C1017" s="206">
        <v>468.27999899999998</v>
      </c>
      <c r="D1017" s="207">
        <f t="shared" si="30"/>
        <v>2.0684822715919315E-2</v>
      </c>
      <c r="E1017" s="206">
        <v>101.16999800000001</v>
      </c>
      <c r="F1017" s="10">
        <f t="shared" si="31"/>
        <v>-3.9522774819900075E-4</v>
      </c>
    </row>
    <row r="1018" spans="2:6" x14ac:dyDescent="0.25">
      <c r="B1018" s="210">
        <v>44538</v>
      </c>
      <c r="C1018" s="206">
        <v>469.51998900000001</v>
      </c>
      <c r="D1018" s="207">
        <f t="shared" si="30"/>
        <v>2.6479670339283334E-3</v>
      </c>
      <c r="E1018" s="206">
        <v>100.849998</v>
      </c>
      <c r="F1018" s="10">
        <f t="shared" si="31"/>
        <v>-3.1629930446376298E-3</v>
      </c>
    </row>
    <row r="1019" spans="2:6" x14ac:dyDescent="0.25">
      <c r="B1019" s="210">
        <v>44539</v>
      </c>
      <c r="C1019" s="206">
        <v>466.35000600000001</v>
      </c>
      <c r="D1019" s="207">
        <f t="shared" si="30"/>
        <v>-6.7515400286823901E-3</v>
      </c>
      <c r="E1019" s="206">
        <v>100.279999</v>
      </c>
      <c r="F1019" s="10">
        <f t="shared" si="31"/>
        <v>-5.6519485503608857E-3</v>
      </c>
    </row>
    <row r="1020" spans="2:6" x14ac:dyDescent="0.25">
      <c r="B1020" s="210">
        <v>44540</v>
      </c>
      <c r="C1020" s="206">
        <v>470.73998999999998</v>
      </c>
      <c r="D1020" s="207">
        <f t="shared" si="30"/>
        <v>9.4134961799485772E-3</v>
      </c>
      <c r="E1020" s="206">
        <v>101.510002</v>
      </c>
      <c r="F1020" s="10">
        <f t="shared" si="31"/>
        <v>1.2265686201293313E-2</v>
      </c>
    </row>
    <row r="1021" spans="2:6" x14ac:dyDescent="0.25">
      <c r="B1021" s="210">
        <v>44543</v>
      </c>
      <c r="C1021" s="206">
        <v>466.57000699999998</v>
      </c>
      <c r="D1021" s="207">
        <f t="shared" si="30"/>
        <v>-8.8583572430291913E-3</v>
      </c>
      <c r="E1021" s="206">
        <v>103.040001</v>
      </c>
      <c r="F1021" s="10">
        <f t="shared" si="31"/>
        <v>1.5072396511232489E-2</v>
      </c>
    </row>
    <row r="1022" spans="2:6" x14ac:dyDescent="0.25">
      <c r="B1022" s="210">
        <v>44544</v>
      </c>
      <c r="C1022" s="206">
        <v>463.35998499999999</v>
      </c>
      <c r="D1022" s="207">
        <f t="shared" si="30"/>
        <v>-6.8800436201206239E-3</v>
      </c>
      <c r="E1022" s="206">
        <v>102.769997</v>
      </c>
      <c r="F1022" s="10">
        <f t="shared" si="31"/>
        <v>-2.6203804093518634E-3</v>
      </c>
    </row>
    <row r="1023" spans="2:6" x14ac:dyDescent="0.25">
      <c r="B1023" s="210">
        <v>44545</v>
      </c>
      <c r="C1023" s="206">
        <v>470.60000600000001</v>
      </c>
      <c r="D1023" s="207">
        <f t="shared" si="30"/>
        <v>1.5625045826950235E-2</v>
      </c>
      <c r="E1023" s="206">
        <v>103.82</v>
      </c>
      <c r="F1023" s="10">
        <f t="shared" si="31"/>
        <v>1.0217018883439177E-2</v>
      </c>
    </row>
    <row r="1024" spans="2:6" x14ac:dyDescent="0.25">
      <c r="B1024" s="210">
        <v>44546</v>
      </c>
      <c r="C1024" s="206">
        <v>466.45001200000002</v>
      </c>
      <c r="D1024" s="207">
        <f t="shared" si="30"/>
        <v>-8.8185166746470589E-3</v>
      </c>
      <c r="E1024" s="206">
        <v>104.540001</v>
      </c>
      <c r="F1024" s="10">
        <f t="shared" si="31"/>
        <v>6.9350895781161714E-3</v>
      </c>
    </row>
    <row r="1025" spans="2:6" x14ac:dyDescent="0.25">
      <c r="B1025" s="210">
        <v>44547</v>
      </c>
      <c r="C1025" s="206">
        <v>459.86999500000002</v>
      </c>
      <c r="D1025" s="207">
        <f t="shared" si="30"/>
        <v>-1.4106585551979745E-2</v>
      </c>
      <c r="E1025" s="206">
        <v>103.040001</v>
      </c>
      <c r="F1025" s="10">
        <f t="shared" si="31"/>
        <v>-1.4348574570991257E-2</v>
      </c>
    </row>
    <row r="1026" spans="2:6" x14ac:dyDescent="0.25">
      <c r="B1026" s="210">
        <v>44550</v>
      </c>
      <c r="C1026" s="206">
        <v>454.98001099999999</v>
      </c>
      <c r="D1026" s="207">
        <f t="shared" si="30"/>
        <v>-1.0633405208356872E-2</v>
      </c>
      <c r="E1026" s="206">
        <v>103.66999800000001</v>
      </c>
      <c r="F1026" s="10">
        <f t="shared" si="31"/>
        <v>6.1141012605385736E-3</v>
      </c>
    </row>
    <row r="1027" spans="2:6" x14ac:dyDescent="0.25">
      <c r="B1027" s="210">
        <v>44551</v>
      </c>
      <c r="C1027" s="206">
        <v>463.05999800000001</v>
      </c>
      <c r="D1027" s="207">
        <f t="shared" si="30"/>
        <v>1.7758993372568144E-2</v>
      </c>
      <c r="E1027" s="206">
        <v>103.019997</v>
      </c>
      <c r="F1027" s="10">
        <f t="shared" si="31"/>
        <v>-6.269904625637257E-3</v>
      </c>
    </row>
    <row r="1028" spans="2:6" x14ac:dyDescent="0.25">
      <c r="B1028" s="210">
        <v>44552</v>
      </c>
      <c r="C1028" s="206">
        <v>467.69000199999999</v>
      </c>
      <c r="D1028" s="207">
        <f t="shared" si="30"/>
        <v>9.9987129529595098E-3</v>
      </c>
      <c r="E1028" s="206">
        <v>103.160004</v>
      </c>
      <c r="F1028" s="10">
        <f t="shared" si="31"/>
        <v>1.3590274129011704E-3</v>
      </c>
    </row>
    <row r="1029" spans="2:6" x14ac:dyDescent="0.25">
      <c r="B1029" s="210">
        <v>44553</v>
      </c>
      <c r="C1029" s="206">
        <v>470.60000600000001</v>
      </c>
      <c r="D1029" s="207">
        <f t="shared" ref="D1029:D1092" si="32">C1029/C1028-1</f>
        <v>6.2220787007545297E-3</v>
      </c>
      <c r="E1029" s="206">
        <v>102.970001</v>
      </c>
      <c r="F1029" s="10">
        <f t="shared" ref="F1029:F1092" si="33">E1029/E1028-1</f>
        <v>-1.8418281565790728E-3</v>
      </c>
    </row>
    <row r="1030" spans="2:6" x14ac:dyDescent="0.25">
      <c r="B1030" s="210">
        <v>44557</v>
      </c>
      <c r="C1030" s="206">
        <v>477.26001000000002</v>
      </c>
      <c r="D1030" s="207">
        <f t="shared" si="32"/>
        <v>1.4152154515697069E-2</v>
      </c>
      <c r="E1030" s="206">
        <v>103.290001</v>
      </c>
      <c r="F1030" s="10">
        <f t="shared" si="33"/>
        <v>3.1077012420346328E-3</v>
      </c>
    </row>
    <row r="1031" spans="2:6" x14ac:dyDescent="0.25">
      <c r="B1031" s="210">
        <v>44558</v>
      </c>
      <c r="C1031" s="206">
        <v>476.86999500000002</v>
      </c>
      <c r="D1031" s="207">
        <f t="shared" si="32"/>
        <v>-8.1719606048702431E-4</v>
      </c>
      <c r="E1031" s="206">
        <v>104.57</v>
      </c>
      <c r="F1031" s="10">
        <f t="shared" si="33"/>
        <v>1.2392283740998211E-2</v>
      </c>
    </row>
    <row r="1032" spans="2:6" x14ac:dyDescent="0.25">
      <c r="B1032" s="210">
        <v>44559</v>
      </c>
      <c r="C1032" s="206">
        <v>477.48001099999999</v>
      </c>
      <c r="D1032" s="207">
        <f t="shared" si="32"/>
        <v>1.2792081833539193E-3</v>
      </c>
      <c r="E1032" s="206">
        <v>104.760002</v>
      </c>
      <c r="F1032" s="10">
        <f t="shared" si="33"/>
        <v>1.8169838385770909E-3</v>
      </c>
    </row>
    <row r="1033" spans="2:6" x14ac:dyDescent="0.25">
      <c r="B1033" s="210">
        <v>44560</v>
      </c>
      <c r="C1033" s="206">
        <v>476.16000400000001</v>
      </c>
      <c r="D1033" s="207">
        <f t="shared" si="32"/>
        <v>-2.764528293520474E-3</v>
      </c>
      <c r="E1033" s="206">
        <v>104.790001</v>
      </c>
      <c r="F1033" s="10">
        <f t="shared" si="33"/>
        <v>2.86359291974847E-4</v>
      </c>
    </row>
    <row r="1034" spans="2:6" x14ac:dyDescent="0.25">
      <c r="B1034" s="210">
        <v>44561</v>
      </c>
      <c r="C1034" s="206">
        <v>474.959991</v>
      </c>
      <c r="D1034" s="207">
        <f t="shared" si="32"/>
        <v>-2.5201885708989735E-3</v>
      </c>
      <c r="E1034" s="206">
        <v>104.900002</v>
      </c>
      <c r="F1034" s="10">
        <f t="shared" si="33"/>
        <v>1.0497280174661672E-3</v>
      </c>
    </row>
    <row r="1035" spans="2:6" x14ac:dyDescent="0.25">
      <c r="B1035" s="210">
        <v>44564</v>
      </c>
      <c r="C1035" s="206">
        <v>477.709991</v>
      </c>
      <c r="D1035" s="207">
        <f t="shared" si="32"/>
        <v>5.7899613696092977E-3</v>
      </c>
      <c r="E1035" s="206">
        <v>103.489998</v>
      </c>
      <c r="F1035" s="10">
        <f t="shared" si="33"/>
        <v>-1.3441410611221949E-2</v>
      </c>
    </row>
    <row r="1036" spans="2:6" x14ac:dyDescent="0.25">
      <c r="B1036" s="210">
        <v>44565</v>
      </c>
      <c r="C1036" s="206">
        <v>477.54998799999998</v>
      </c>
      <c r="D1036" s="207">
        <f t="shared" si="32"/>
        <v>-3.3493752070179461E-4</v>
      </c>
      <c r="E1036" s="206">
        <v>103.410004</v>
      </c>
      <c r="F1036" s="10">
        <f t="shared" si="33"/>
        <v>-7.7296358629752593E-4</v>
      </c>
    </row>
    <row r="1037" spans="2:6" x14ac:dyDescent="0.25">
      <c r="B1037" s="210">
        <v>44566</v>
      </c>
      <c r="C1037" s="206">
        <v>468.38000499999998</v>
      </c>
      <c r="D1037" s="207">
        <f t="shared" si="32"/>
        <v>-1.9202142666580935E-2</v>
      </c>
      <c r="E1037" s="206">
        <v>103.639999</v>
      </c>
      <c r="F1037" s="10">
        <f t="shared" si="33"/>
        <v>2.2241078338998133E-3</v>
      </c>
    </row>
    <row r="1038" spans="2:6" x14ac:dyDescent="0.25">
      <c r="B1038" s="210">
        <v>44567</v>
      </c>
      <c r="C1038" s="206">
        <v>467.94000199999999</v>
      </c>
      <c r="D1038" s="207">
        <f t="shared" si="32"/>
        <v>-9.3941456787849376E-4</v>
      </c>
      <c r="E1038" s="206">
        <v>103.470001</v>
      </c>
      <c r="F1038" s="10">
        <f t="shared" si="33"/>
        <v>-1.6402740412995165E-3</v>
      </c>
    </row>
    <row r="1039" spans="2:6" x14ac:dyDescent="0.25">
      <c r="B1039" s="210">
        <v>44568</v>
      </c>
      <c r="C1039" s="206">
        <v>466.08999599999999</v>
      </c>
      <c r="D1039" s="207">
        <f t="shared" si="32"/>
        <v>-3.9535111170085901E-3</v>
      </c>
      <c r="E1039" s="206">
        <v>104.5</v>
      </c>
      <c r="F1039" s="10">
        <f t="shared" si="33"/>
        <v>9.9545664448190685E-3</v>
      </c>
    </row>
    <row r="1040" spans="2:6" x14ac:dyDescent="0.25">
      <c r="B1040" s="210">
        <v>44571</v>
      </c>
      <c r="C1040" s="206">
        <v>465.51001000000002</v>
      </c>
      <c r="D1040" s="207">
        <f t="shared" si="32"/>
        <v>-1.2443648329237833E-3</v>
      </c>
      <c r="E1040" s="206">
        <v>104.55999799999999</v>
      </c>
      <c r="F1040" s="10">
        <f t="shared" si="33"/>
        <v>5.7414354066986917E-4</v>
      </c>
    </row>
    <row r="1041" spans="2:6" x14ac:dyDescent="0.25">
      <c r="B1041" s="210">
        <v>44572</v>
      </c>
      <c r="C1041" s="206">
        <v>469.75</v>
      </c>
      <c r="D1041" s="207">
        <f t="shared" si="32"/>
        <v>9.1082681551788447E-3</v>
      </c>
      <c r="E1041" s="206">
        <v>103.230003</v>
      </c>
      <c r="F1041" s="10">
        <f t="shared" si="33"/>
        <v>-1.2719921819432267E-2</v>
      </c>
    </row>
    <row r="1042" spans="2:6" x14ac:dyDescent="0.25">
      <c r="B1042" s="210">
        <v>44573</v>
      </c>
      <c r="C1042" s="206">
        <v>471.01998900000001</v>
      </c>
      <c r="D1042" s="207">
        <f t="shared" si="32"/>
        <v>2.7035423097392375E-3</v>
      </c>
      <c r="E1042" s="206">
        <v>103.620003</v>
      </c>
      <c r="F1042" s="10">
        <f t="shared" si="33"/>
        <v>3.777971410114267E-3</v>
      </c>
    </row>
    <row r="1043" spans="2:6" x14ac:dyDescent="0.25">
      <c r="B1043" s="210">
        <v>44574</v>
      </c>
      <c r="C1043" s="206">
        <v>464.52999899999998</v>
      </c>
      <c r="D1043" s="207">
        <f t="shared" si="32"/>
        <v>-1.3778587218301719E-2</v>
      </c>
      <c r="E1043" s="206">
        <v>104.150002</v>
      </c>
      <c r="F1043" s="10">
        <f t="shared" si="33"/>
        <v>5.1148328957295597E-3</v>
      </c>
    </row>
    <row r="1044" spans="2:6" x14ac:dyDescent="0.25">
      <c r="B1044" s="210">
        <v>44575</v>
      </c>
      <c r="C1044" s="206">
        <v>464.72000100000002</v>
      </c>
      <c r="D1044" s="207">
        <f t="shared" si="32"/>
        <v>4.0901987042607502E-4</v>
      </c>
      <c r="E1044" s="206">
        <v>104.040001</v>
      </c>
      <c r="F1044" s="10">
        <f t="shared" si="33"/>
        <v>-1.0561785682923208E-3</v>
      </c>
    </row>
    <row r="1045" spans="2:6" x14ac:dyDescent="0.25">
      <c r="B1045" s="210">
        <v>44579</v>
      </c>
      <c r="C1045" s="206">
        <v>456.48998999999998</v>
      </c>
      <c r="D1045" s="207">
        <f t="shared" si="32"/>
        <v>-1.770961220152012E-2</v>
      </c>
      <c r="E1045" s="206">
        <v>101.870003</v>
      </c>
      <c r="F1045" s="10">
        <f t="shared" si="33"/>
        <v>-2.0857343129014438E-2</v>
      </c>
    </row>
    <row r="1046" spans="2:6" x14ac:dyDescent="0.25">
      <c r="B1046" s="210">
        <v>44580</v>
      </c>
      <c r="C1046" s="206">
        <v>451.75</v>
      </c>
      <c r="D1046" s="207">
        <f t="shared" si="32"/>
        <v>-1.0383557370009289E-2</v>
      </c>
      <c r="E1046" s="206">
        <v>102.16999800000001</v>
      </c>
      <c r="F1046" s="10">
        <f t="shared" si="33"/>
        <v>2.9448806436180863E-3</v>
      </c>
    </row>
    <row r="1047" spans="2:6" x14ac:dyDescent="0.25">
      <c r="B1047" s="210">
        <v>44581</v>
      </c>
      <c r="C1047" s="206">
        <v>446.75</v>
      </c>
      <c r="D1047" s="207">
        <f t="shared" si="32"/>
        <v>-1.1068068622025473E-2</v>
      </c>
      <c r="E1047" s="206">
        <v>102.30999799999999</v>
      </c>
      <c r="F1047" s="10">
        <f t="shared" si="33"/>
        <v>1.3702652710239072E-3</v>
      </c>
    </row>
    <row r="1048" spans="2:6" x14ac:dyDescent="0.25">
      <c r="B1048" s="210">
        <v>44582</v>
      </c>
      <c r="C1048" s="206">
        <v>437.98001099999999</v>
      </c>
      <c r="D1048" s="207">
        <f t="shared" si="32"/>
        <v>-1.9630641298265306E-2</v>
      </c>
      <c r="E1048" s="206">
        <v>102.980003</v>
      </c>
      <c r="F1048" s="10">
        <f t="shared" si="33"/>
        <v>6.5487734639579909E-3</v>
      </c>
    </row>
    <row r="1049" spans="2:6" x14ac:dyDescent="0.25">
      <c r="B1049" s="210">
        <v>44585</v>
      </c>
      <c r="C1049" s="206">
        <v>439.83999599999999</v>
      </c>
      <c r="D1049" s="207">
        <f t="shared" si="32"/>
        <v>4.2467349040731239E-3</v>
      </c>
      <c r="E1049" s="206">
        <v>102.58000199999999</v>
      </c>
      <c r="F1049" s="10">
        <f t="shared" si="33"/>
        <v>-3.8842589662771987E-3</v>
      </c>
    </row>
    <row r="1050" spans="2:6" x14ac:dyDescent="0.25">
      <c r="B1050" s="210">
        <v>44586</v>
      </c>
      <c r="C1050" s="206">
        <v>434.47000100000002</v>
      </c>
      <c r="D1050" s="207">
        <f t="shared" si="32"/>
        <v>-1.2208973828746528E-2</v>
      </c>
      <c r="E1050" s="206">
        <v>102.32</v>
      </c>
      <c r="F1050" s="10">
        <f t="shared" si="33"/>
        <v>-2.5346265834543802E-3</v>
      </c>
    </row>
    <row r="1051" spans="2:6" x14ac:dyDescent="0.25">
      <c r="B1051" s="210">
        <v>44587</v>
      </c>
      <c r="C1051" s="206">
        <v>433.38000499999998</v>
      </c>
      <c r="D1051" s="207">
        <f t="shared" si="32"/>
        <v>-2.5087946175599285E-3</v>
      </c>
      <c r="E1051" s="206">
        <v>101.949997</v>
      </c>
      <c r="F1051" s="10">
        <f t="shared" si="33"/>
        <v>-3.6161356528537913E-3</v>
      </c>
    </row>
    <row r="1052" spans="2:6" x14ac:dyDescent="0.25">
      <c r="B1052" s="210">
        <v>44588</v>
      </c>
      <c r="C1052" s="206">
        <v>431.23998999999998</v>
      </c>
      <c r="D1052" s="207">
        <f t="shared" si="32"/>
        <v>-4.9379643160971654E-3</v>
      </c>
      <c r="E1052" s="206">
        <v>103.25</v>
      </c>
      <c r="F1052" s="10">
        <f t="shared" si="33"/>
        <v>1.2751378501757227E-2</v>
      </c>
    </row>
    <row r="1053" spans="2:6" x14ac:dyDescent="0.25">
      <c r="B1053" s="210">
        <v>44589</v>
      </c>
      <c r="C1053" s="206">
        <v>441.95001200000002</v>
      </c>
      <c r="D1053" s="207">
        <f t="shared" si="32"/>
        <v>2.4835410092649335E-2</v>
      </c>
      <c r="E1053" s="206">
        <v>104.730003</v>
      </c>
      <c r="F1053" s="10">
        <f t="shared" si="33"/>
        <v>1.4334169491525328E-2</v>
      </c>
    </row>
    <row r="1054" spans="2:6" x14ac:dyDescent="0.25">
      <c r="B1054" s="210">
        <v>44592</v>
      </c>
      <c r="C1054" s="206">
        <v>449.91000400000001</v>
      </c>
      <c r="D1054" s="207">
        <f t="shared" si="32"/>
        <v>1.8011068636422989E-2</v>
      </c>
      <c r="E1054" s="206">
        <v>105.05999799999999</v>
      </c>
      <c r="F1054" s="10">
        <f t="shared" si="33"/>
        <v>3.1509117783563578E-3</v>
      </c>
    </row>
    <row r="1055" spans="2:6" x14ac:dyDescent="0.25">
      <c r="B1055" s="210">
        <v>44593</v>
      </c>
      <c r="C1055" s="206">
        <v>452.95001200000002</v>
      </c>
      <c r="D1055" s="207">
        <f t="shared" si="32"/>
        <v>6.7569246582033227E-3</v>
      </c>
      <c r="E1055" s="206">
        <v>103.449997</v>
      </c>
      <c r="F1055" s="10">
        <f t="shared" si="33"/>
        <v>-1.5324586242615346E-2</v>
      </c>
    </row>
    <row r="1056" spans="2:6" x14ac:dyDescent="0.25">
      <c r="B1056" s="210">
        <v>44594</v>
      </c>
      <c r="C1056" s="206">
        <v>457.35000600000001</v>
      </c>
      <c r="D1056" s="207">
        <f t="shared" si="32"/>
        <v>9.7140829747897062E-3</v>
      </c>
      <c r="E1056" s="206">
        <v>105</v>
      </c>
      <c r="F1056" s="10">
        <f t="shared" si="33"/>
        <v>1.4983113049292784E-2</v>
      </c>
    </row>
    <row r="1057" spans="2:6" x14ac:dyDescent="0.25">
      <c r="B1057" s="210">
        <v>44595</v>
      </c>
      <c r="C1057" s="206">
        <v>446.60000600000001</v>
      </c>
      <c r="D1057" s="207">
        <f t="shared" si="32"/>
        <v>-2.3504974000153389E-2</v>
      </c>
      <c r="E1057" s="206">
        <v>105.43</v>
      </c>
      <c r="F1057" s="10">
        <f t="shared" si="33"/>
        <v>4.0952380952381517E-3</v>
      </c>
    </row>
    <row r="1058" spans="2:6" x14ac:dyDescent="0.25">
      <c r="B1058" s="210">
        <v>44596</v>
      </c>
      <c r="C1058" s="206">
        <v>448.70001200000002</v>
      </c>
      <c r="D1058" s="207">
        <f t="shared" si="32"/>
        <v>4.7022077290344022E-3</v>
      </c>
      <c r="E1058" s="206">
        <v>104.25</v>
      </c>
      <c r="F1058" s="10">
        <f t="shared" si="33"/>
        <v>-1.1192260267476106E-2</v>
      </c>
    </row>
    <row r="1059" spans="2:6" x14ac:dyDescent="0.25">
      <c r="B1059" s="210">
        <v>44599</v>
      </c>
      <c r="C1059" s="206">
        <v>447.26001000000002</v>
      </c>
      <c r="D1059" s="207">
        <f t="shared" si="32"/>
        <v>-3.2092755994844735E-3</v>
      </c>
      <c r="E1059" s="206">
        <v>104.339996</v>
      </c>
      <c r="F1059" s="10">
        <f t="shared" si="33"/>
        <v>8.6327098321348217E-4</v>
      </c>
    </row>
    <row r="1060" spans="2:6" x14ac:dyDescent="0.25">
      <c r="B1060" s="210">
        <v>44600</v>
      </c>
      <c r="C1060" s="206">
        <v>450.94000199999999</v>
      </c>
      <c r="D1060" s="207">
        <f t="shared" si="32"/>
        <v>8.2278583323378562E-3</v>
      </c>
      <c r="E1060" s="206">
        <v>104.410004</v>
      </c>
      <c r="F1060" s="10">
        <f t="shared" si="33"/>
        <v>6.7096034774616342E-4</v>
      </c>
    </row>
    <row r="1061" spans="2:6" x14ac:dyDescent="0.25">
      <c r="B1061" s="210">
        <v>44601</v>
      </c>
      <c r="C1061" s="206">
        <v>457.540009</v>
      </c>
      <c r="D1061" s="207">
        <f t="shared" si="32"/>
        <v>1.4636108951806781E-2</v>
      </c>
      <c r="E1061" s="206">
        <v>104.709999</v>
      </c>
      <c r="F1061" s="10">
        <f t="shared" si="33"/>
        <v>2.8732400010251791E-3</v>
      </c>
    </row>
    <row r="1062" spans="2:6" x14ac:dyDescent="0.25">
      <c r="B1062" s="210">
        <v>44602</v>
      </c>
      <c r="C1062" s="206">
        <v>449.32000699999998</v>
      </c>
      <c r="D1062" s="207">
        <f t="shared" si="32"/>
        <v>-1.7965646366020938E-2</v>
      </c>
      <c r="E1062" s="206">
        <v>99.790001000000004</v>
      </c>
      <c r="F1062" s="10">
        <f t="shared" si="33"/>
        <v>-4.6986897593227828E-2</v>
      </c>
    </row>
    <row r="1063" spans="2:6" x14ac:dyDescent="0.25">
      <c r="B1063" s="210">
        <v>44603</v>
      </c>
      <c r="C1063" s="206">
        <v>440.459991</v>
      </c>
      <c r="D1063" s="207">
        <f t="shared" si="32"/>
        <v>-1.971872131658714E-2</v>
      </c>
      <c r="E1063" s="206">
        <v>99.75</v>
      </c>
      <c r="F1063" s="10">
        <f t="shared" si="33"/>
        <v>-4.0085178473947547E-4</v>
      </c>
    </row>
    <row r="1064" spans="2:6" x14ac:dyDescent="0.25">
      <c r="B1064" s="210">
        <v>44606</v>
      </c>
      <c r="C1064" s="206">
        <v>439.01998900000001</v>
      </c>
      <c r="D1064" s="207">
        <f t="shared" si="32"/>
        <v>-3.2693139659079051E-3</v>
      </c>
      <c r="E1064" s="206">
        <v>99.949996999999996</v>
      </c>
      <c r="F1064" s="10">
        <f t="shared" si="33"/>
        <v>2.0049824561403362E-3</v>
      </c>
    </row>
    <row r="1065" spans="2:6" x14ac:dyDescent="0.25">
      <c r="B1065" s="210">
        <v>44607</v>
      </c>
      <c r="C1065" s="206">
        <v>446.10000600000001</v>
      </c>
      <c r="D1065" s="207">
        <f t="shared" si="32"/>
        <v>1.6126867061627026E-2</v>
      </c>
      <c r="E1065" s="206">
        <v>99.300003000000004</v>
      </c>
      <c r="F1065" s="10">
        <f t="shared" si="33"/>
        <v>-6.5031917909911252E-3</v>
      </c>
    </row>
    <row r="1066" spans="2:6" x14ac:dyDescent="0.25">
      <c r="B1066" s="210">
        <v>44608</v>
      </c>
      <c r="C1066" s="206">
        <v>446.60000600000001</v>
      </c>
      <c r="D1066" s="207">
        <f t="shared" si="32"/>
        <v>1.1208249120713276E-3</v>
      </c>
      <c r="E1066" s="206">
        <v>99.510002</v>
      </c>
      <c r="F1066" s="10">
        <f t="shared" si="33"/>
        <v>2.1147934909930832E-3</v>
      </c>
    </row>
    <row r="1067" spans="2:6" x14ac:dyDescent="0.25">
      <c r="B1067" s="210">
        <v>44609</v>
      </c>
      <c r="C1067" s="206">
        <v>437.05999800000001</v>
      </c>
      <c r="D1067" s="207">
        <f t="shared" si="32"/>
        <v>-2.1361414849600302E-2</v>
      </c>
      <c r="E1067" s="206">
        <v>98.730002999999996</v>
      </c>
      <c r="F1067" s="10">
        <f t="shared" si="33"/>
        <v>-7.8383979933996928E-3</v>
      </c>
    </row>
    <row r="1068" spans="2:6" x14ac:dyDescent="0.25">
      <c r="B1068" s="210">
        <v>44610</v>
      </c>
      <c r="C1068" s="206">
        <v>434.23001099999999</v>
      </c>
      <c r="D1068" s="207">
        <f t="shared" si="32"/>
        <v>-6.4750537979914036E-3</v>
      </c>
      <c r="E1068" s="206">
        <v>99.809997999999993</v>
      </c>
      <c r="F1068" s="10">
        <f t="shared" si="33"/>
        <v>1.0938873363550927E-2</v>
      </c>
    </row>
    <row r="1069" spans="2:6" x14ac:dyDescent="0.25">
      <c r="B1069" s="210">
        <v>44614</v>
      </c>
      <c r="C1069" s="206">
        <v>429.57000699999998</v>
      </c>
      <c r="D1069" s="207">
        <f t="shared" si="32"/>
        <v>-1.0731648854182985E-2</v>
      </c>
      <c r="E1069" s="206">
        <v>99.449996999999996</v>
      </c>
      <c r="F1069" s="10">
        <f t="shared" si="33"/>
        <v>-3.6068631120501626E-3</v>
      </c>
    </row>
    <row r="1070" spans="2:6" x14ac:dyDescent="0.25">
      <c r="B1070" s="210">
        <v>44615</v>
      </c>
      <c r="C1070" s="206">
        <v>421.95001200000002</v>
      </c>
      <c r="D1070" s="207">
        <f t="shared" si="32"/>
        <v>-1.7738656972855038E-2</v>
      </c>
      <c r="E1070" s="206">
        <v>97.669998000000007</v>
      </c>
      <c r="F1070" s="10">
        <f t="shared" si="33"/>
        <v>-1.7898431912471424E-2</v>
      </c>
    </row>
    <row r="1071" spans="2:6" x14ac:dyDescent="0.25">
      <c r="B1071" s="210">
        <v>44616</v>
      </c>
      <c r="C1071" s="206">
        <v>428.29998799999998</v>
      </c>
      <c r="D1071" s="207">
        <f t="shared" si="32"/>
        <v>1.5049119135941647E-2</v>
      </c>
      <c r="E1071" s="206">
        <v>97.040001000000004</v>
      </c>
      <c r="F1071" s="10">
        <f t="shared" si="33"/>
        <v>-6.4502612153222172E-3</v>
      </c>
    </row>
    <row r="1072" spans="2:6" x14ac:dyDescent="0.25">
      <c r="B1072" s="210">
        <v>44617</v>
      </c>
      <c r="C1072" s="206">
        <v>437.75</v>
      </c>
      <c r="D1072" s="207">
        <f t="shared" si="32"/>
        <v>2.2064002486033241E-2</v>
      </c>
      <c r="E1072" s="206">
        <v>100.220001</v>
      </c>
      <c r="F1072" s="10">
        <f t="shared" si="33"/>
        <v>3.2769991418281075E-2</v>
      </c>
    </row>
    <row r="1073" spans="2:6" x14ac:dyDescent="0.25">
      <c r="B1073" s="210">
        <v>44620</v>
      </c>
      <c r="C1073" s="206">
        <v>436.63000499999998</v>
      </c>
      <c r="D1073" s="207">
        <f t="shared" si="32"/>
        <v>-2.5585265562536597E-3</v>
      </c>
      <c r="E1073" s="206">
        <v>100.410004</v>
      </c>
      <c r="F1073" s="10">
        <f t="shared" si="33"/>
        <v>1.8958590910411743E-3</v>
      </c>
    </row>
    <row r="1074" spans="2:6" x14ac:dyDescent="0.25">
      <c r="B1074" s="210">
        <v>44621</v>
      </c>
      <c r="C1074" s="206">
        <v>429.98001099999999</v>
      </c>
      <c r="D1074" s="207">
        <f t="shared" si="32"/>
        <v>-1.5230272596588934E-2</v>
      </c>
      <c r="E1074" s="206">
        <v>99.830001999999993</v>
      </c>
      <c r="F1074" s="10">
        <f t="shared" si="33"/>
        <v>-5.7763367881152883E-3</v>
      </c>
    </row>
    <row r="1075" spans="2:6" x14ac:dyDescent="0.25">
      <c r="B1075" s="210">
        <v>44622</v>
      </c>
      <c r="C1075" s="206">
        <v>437.89001500000001</v>
      </c>
      <c r="D1075" s="207">
        <f t="shared" si="32"/>
        <v>1.8396213306762332E-2</v>
      </c>
      <c r="E1075" s="206">
        <v>100.790001</v>
      </c>
      <c r="F1075" s="10">
        <f t="shared" si="33"/>
        <v>9.6163375815621066E-3</v>
      </c>
    </row>
    <row r="1076" spans="2:6" x14ac:dyDescent="0.25">
      <c r="B1076" s="210">
        <v>44623</v>
      </c>
      <c r="C1076" s="206">
        <v>435.709991</v>
      </c>
      <c r="D1076" s="207">
        <f t="shared" si="32"/>
        <v>-4.978473875454803E-3</v>
      </c>
      <c r="E1076" s="206">
        <v>102.639999</v>
      </c>
      <c r="F1076" s="10">
        <f t="shared" si="33"/>
        <v>1.8354975509921934E-2</v>
      </c>
    </row>
    <row r="1077" spans="2:6" x14ac:dyDescent="0.25">
      <c r="B1077" s="210">
        <v>44624</v>
      </c>
      <c r="C1077" s="206">
        <v>432.17001299999998</v>
      </c>
      <c r="D1077" s="207">
        <f t="shared" si="32"/>
        <v>-8.1246197542438336E-3</v>
      </c>
      <c r="E1077" s="206">
        <v>105.260002</v>
      </c>
      <c r="F1077" s="10">
        <f t="shared" si="33"/>
        <v>2.5526140155164967E-2</v>
      </c>
    </row>
    <row r="1078" spans="2:6" x14ac:dyDescent="0.25">
      <c r="B1078" s="210">
        <v>44627</v>
      </c>
      <c r="C1078" s="206">
        <v>419.42999300000002</v>
      </c>
      <c r="D1078" s="207">
        <f t="shared" si="32"/>
        <v>-2.9479185544509234E-2</v>
      </c>
      <c r="E1078" s="206">
        <v>106.699997</v>
      </c>
      <c r="F1078" s="10">
        <f t="shared" si="33"/>
        <v>1.3680362650952516E-2</v>
      </c>
    </row>
    <row r="1079" spans="2:6" x14ac:dyDescent="0.25">
      <c r="B1079" s="210">
        <v>44628</v>
      </c>
      <c r="C1079" s="206">
        <v>416.25</v>
      </c>
      <c r="D1079" s="207">
        <f t="shared" si="32"/>
        <v>-7.581701483136527E-3</v>
      </c>
      <c r="E1079" s="206">
        <v>105.470001</v>
      </c>
      <c r="F1079" s="10">
        <f t="shared" si="33"/>
        <v>-1.1527610445949632E-2</v>
      </c>
    </row>
    <row r="1080" spans="2:6" x14ac:dyDescent="0.25">
      <c r="B1080" s="210">
        <v>44629</v>
      </c>
      <c r="C1080" s="206">
        <v>427.41000400000001</v>
      </c>
      <c r="D1080" s="207">
        <f t="shared" si="32"/>
        <v>2.6810820420420489E-2</v>
      </c>
      <c r="E1080" s="206">
        <v>105.33000199999999</v>
      </c>
      <c r="F1080" s="10">
        <f t="shared" si="33"/>
        <v>-1.3273821814034914E-3</v>
      </c>
    </row>
    <row r="1081" spans="2:6" x14ac:dyDescent="0.25">
      <c r="B1081" s="210">
        <v>44630</v>
      </c>
      <c r="C1081" s="206">
        <v>425.48001099999999</v>
      </c>
      <c r="D1081" s="207">
        <f t="shared" si="32"/>
        <v>-4.5155541094915597E-3</v>
      </c>
      <c r="E1081" s="206">
        <v>106.19000200000001</v>
      </c>
      <c r="F1081" s="10">
        <f t="shared" si="33"/>
        <v>8.1648151872246721E-3</v>
      </c>
    </row>
    <row r="1082" spans="2:6" x14ac:dyDescent="0.25">
      <c r="B1082" s="210">
        <v>44631</v>
      </c>
      <c r="C1082" s="206">
        <v>420.07000699999998</v>
      </c>
      <c r="D1082" s="207">
        <f t="shared" si="32"/>
        <v>-1.271506030867342E-2</v>
      </c>
      <c r="E1082" s="206">
        <v>106.139999</v>
      </c>
      <c r="F1082" s="10">
        <f t="shared" si="33"/>
        <v>-4.7088237176984293E-4</v>
      </c>
    </row>
    <row r="1083" spans="2:6" x14ac:dyDescent="0.25">
      <c r="B1083" s="210">
        <v>44634</v>
      </c>
      <c r="C1083" s="206">
        <v>417</v>
      </c>
      <c r="D1083" s="207">
        <f t="shared" si="32"/>
        <v>-7.3083223006682463E-3</v>
      </c>
      <c r="E1083" s="206">
        <v>106.300003</v>
      </c>
      <c r="F1083" s="10">
        <f t="shared" si="33"/>
        <v>1.5074807000894364E-3</v>
      </c>
    </row>
    <row r="1084" spans="2:6" x14ac:dyDescent="0.25">
      <c r="B1084" s="210">
        <v>44635</v>
      </c>
      <c r="C1084" s="206">
        <v>426.17001299999998</v>
      </c>
      <c r="D1084" s="207">
        <f t="shared" si="32"/>
        <v>2.1990438848920713E-2</v>
      </c>
      <c r="E1084" s="206">
        <v>106.69000200000001</v>
      </c>
      <c r="F1084" s="10">
        <f t="shared" si="33"/>
        <v>3.6688522012553459E-3</v>
      </c>
    </row>
    <row r="1085" spans="2:6" x14ac:dyDescent="0.25">
      <c r="B1085" s="210">
        <v>44636</v>
      </c>
      <c r="C1085" s="206">
        <v>435.61999500000002</v>
      </c>
      <c r="D1085" s="207">
        <f t="shared" si="32"/>
        <v>2.2174206799482343E-2</v>
      </c>
      <c r="E1085" s="206">
        <v>105.970001</v>
      </c>
      <c r="F1085" s="10">
        <f t="shared" si="33"/>
        <v>-6.748533006869839E-3</v>
      </c>
    </row>
    <row r="1086" spans="2:6" x14ac:dyDescent="0.25">
      <c r="B1086" s="210">
        <v>44637</v>
      </c>
      <c r="C1086" s="206">
        <v>441.07000699999998</v>
      </c>
      <c r="D1086" s="207">
        <f t="shared" si="32"/>
        <v>1.251093168944184E-2</v>
      </c>
      <c r="E1086" s="206">
        <v>106.5</v>
      </c>
      <c r="F1086" s="10">
        <f t="shared" si="33"/>
        <v>5.0014060111220893E-3</v>
      </c>
    </row>
    <row r="1087" spans="2:6" x14ac:dyDescent="0.25">
      <c r="B1087" s="210">
        <v>44638</v>
      </c>
      <c r="C1087" s="206">
        <v>444.51998900000001</v>
      </c>
      <c r="D1087" s="207">
        <f t="shared" si="32"/>
        <v>7.8218467482420451E-3</v>
      </c>
      <c r="E1087" s="206">
        <v>105.050003</v>
      </c>
      <c r="F1087" s="10">
        <f t="shared" si="33"/>
        <v>-1.3614995305164301E-2</v>
      </c>
    </row>
    <row r="1088" spans="2:6" x14ac:dyDescent="0.25">
      <c r="B1088" s="210">
        <v>44641</v>
      </c>
      <c r="C1088" s="206">
        <v>444.39001500000001</v>
      </c>
      <c r="D1088" s="207">
        <f t="shared" si="32"/>
        <v>-2.923918006305648E-4</v>
      </c>
      <c r="E1088" s="206">
        <v>106.160004</v>
      </c>
      <c r="F1088" s="10">
        <f t="shared" si="33"/>
        <v>1.0566406171354403E-2</v>
      </c>
    </row>
    <row r="1089" spans="2:6" x14ac:dyDescent="0.25">
      <c r="B1089" s="210">
        <v>44642</v>
      </c>
      <c r="C1089" s="206">
        <v>449.58999599999999</v>
      </c>
      <c r="D1089" s="207">
        <f t="shared" si="32"/>
        <v>1.1701390275386858E-2</v>
      </c>
      <c r="E1089" s="206">
        <v>106.19000200000001</v>
      </c>
      <c r="F1089" s="10">
        <f t="shared" si="33"/>
        <v>2.8257346335447409E-4</v>
      </c>
    </row>
    <row r="1090" spans="2:6" x14ac:dyDescent="0.25">
      <c r="B1090" s="210">
        <v>44643</v>
      </c>
      <c r="C1090" s="206">
        <v>443.79998799999998</v>
      </c>
      <c r="D1090" s="207">
        <f t="shared" si="32"/>
        <v>-1.2878418228861155E-2</v>
      </c>
      <c r="E1090" s="206">
        <v>106.83000199999999</v>
      </c>
      <c r="F1090" s="10">
        <f t="shared" si="33"/>
        <v>6.0269327426887287E-3</v>
      </c>
    </row>
    <row r="1091" spans="2:6" x14ac:dyDescent="0.25">
      <c r="B1091" s="210">
        <v>44644</v>
      </c>
      <c r="C1091" s="206">
        <v>450.48998999999998</v>
      </c>
      <c r="D1091" s="207">
        <f t="shared" si="32"/>
        <v>1.5074362732970581E-2</v>
      </c>
      <c r="E1091" s="206">
        <v>107.470001</v>
      </c>
      <c r="F1091" s="10">
        <f t="shared" si="33"/>
        <v>5.99081707402771E-3</v>
      </c>
    </row>
    <row r="1092" spans="2:6" x14ac:dyDescent="0.25">
      <c r="B1092" s="210">
        <v>44645</v>
      </c>
      <c r="C1092" s="206">
        <v>452.69000199999999</v>
      </c>
      <c r="D1092" s="207">
        <f t="shared" si="32"/>
        <v>4.8835979685142306E-3</v>
      </c>
      <c r="E1092" s="206">
        <v>109.129997</v>
      </c>
      <c r="F1092" s="10">
        <f t="shared" si="33"/>
        <v>1.5446133661057626E-2</v>
      </c>
    </row>
    <row r="1093" spans="2:6" x14ac:dyDescent="0.25">
      <c r="B1093" s="210">
        <v>44648</v>
      </c>
      <c r="C1093" s="206">
        <v>455.91000400000001</v>
      </c>
      <c r="D1093" s="207">
        <f t="shared" ref="D1093:D1156" si="34">C1093/C1092-1</f>
        <v>7.1130397971546078E-3</v>
      </c>
      <c r="E1093" s="206">
        <v>110.040001</v>
      </c>
      <c r="F1093" s="10">
        <f t="shared" ref="F1093:F1156" si="35">E1093/E1092-1</f>
        <v>8.3387155229188714E-3</v>
      </c>
    </row>
    <row r="1094" spans="2:6" x14ac:dyDescent="0.25">
      <c r="B1094" s="210">
        <v>44649</v>
      </c>
      <c r="C1094" s="206">
        <v>461.54998799999998</v>
      </c>
      <c r="D1094" s="207">
        <f t="shared" si="34"/>
        <v>1.2370827467080403E-2</v>
      </c>
      <c r="E1094" s="206">
        <v>110.970001</v>
      </c>
      <c r="F1094" s="10">
        <f t="shared" si="35"/>
        <v>8.4514721151265348E-3</v>
      </c>
    </row>
    <row r="1095" spans="2:6" x14ac:dyDescent="0.25">
      <c r="B1095" s="210">
        <v>44650</v>
      </c>
      <c r="C1095" s="206">
        <v>458.70001200000002</v>
      </c>
      <c r="D1095" s="207">
        <f t="shared" si="34"/>
        <v>-6.1747937906998507E-3</v>
      </c>
      <c r="E1095" s="206">
        <v>111.480003</v>
      </c>
      <c r="F1095" s="10">
        <f t="shared" si="35"/>
        <v>4.5958546940987333E-3</v>
      </c>
    </row>
    <row r="1096" spans="2:6" x14ac:dyDescent="0.25">
      <c r="B1096" s="210">
        <v>44651</v>
      </c>
      <c r="C1096" s="206">
        <v>451.64001500000001</v>
      </c>
      <c r="D1096" s="207">
        <f t="shared" si="34"/>
        <v>-1.5391316362119545E-2</v>
      </c>
      <c r="E1096" s="206">
        <v>111.660004</v>
      </c>
      <c r="F1096" s="10">
        <f t="shared" si="35"/>
        <v>1.6146483239689591E-3</v>
      </c>
    </row>
    <row r="1097" spans="2:6" x14ac:dyDescent="0.25">
      <c r="B1097" s="210">
        <v>44652</v>
      </c>
      <c r="C1097" s="206">
        <v>452.92001299999998</v>
      </c>
      <c r="D1097" s="207">
        <f t="shared" si="34"/>
        <v>2.83411114491261E-3</v>
      </c>
      <c r="E1097" s="206">
        <v>112.82</v>
      </c>
      <c r="F1097" s="10">
        <f t="shared" si="35"/>
        <v>1.0388643726002345E-2</v>
      </c>
    </row>
    <row r="1098" spans="2:6" x14ac:dyDescent="0.25">
      <c r="B1098" s="210">
        <v>44655</v>
      </c>
      <c r="C1098" s="206">
        <v>456.79998799999998</v>
      </c>
      <c r="D1098" s="207">
        <f t="shared" si="34"/>
        <v>8.5665788409310384E-3</v>
      </c>
      <c r="E1098" s="206">
        <v>111.790001</v>
      </c>
      <c r="F1098" s="10">
        <f t="shared" si="35"/>
        <v>-9.1295780889911748E-3</v>
      </c>
    </row>
    <row r="1099" spans="2:6" x14ac:dyDescent="0.25">
      <c r="B1099" s="210">
        <v>44656</v>
      </c>
      <c r="C1099" s="206">
        <v>451.02999899999998</v>
      </c>
      <c r="D1099" s="207">
        <f t="shared" si="34"/>
        <v>-1.263132476264428E-2</v>
      </c>
      <c r="E1099" s="206">
        <v>112.519997</v>
      </c>
      <c r="F1099" s="10">
        <f t="shared" si="35"/>
        <v>6.5300652425972494E-3</v>
      </c>
    </row>
    <row r="1100" spans="2:6" x14ac:dyDescent="0.25">
      <c r="B1100" s="210">
        <v>44657</v>
      </c>
      <c r="C1100" s="206">
        <v>446.51998900000001</v>
      </c>
      <c r="D1100" s="207">
        <f t="shared" si="34"/>
        <v>-9.9993570494186779E-3</v>
      </c>
      <c r="E1100" s="206">
        <v>115.150002</v>
      </c>
      <c r="F1100" s="10">
        <f t="shared" si="35"/>
        <v>2.3373667526848552E-2</v>
      </c>
    </row>
    <row r="1101" spans="2:6" x14ac:dyDescent="0.25">
      <c r="B1101" s="210">
        <v>44658</v>
      </c>
      <c r="C1101" s="206">
        <v>448.76998900000001</v>
      </c>
      <c r="D1101" s="207">
        <f t="shared" si="34"/>
        <v>5.0389681434843681E-3</v>
      </c>
      <c r="E1101" s="206">
        <v>114.860001</v>
      </c>
      <c r="F1101" s="10">
        <f t="shared" si="35"/>
        <v>-2.5184628307692858E-3</v>
      </c>
    </row>
    <row r="1102" spans="2:6" x14ac:dyDescent="0.25">
      <c r="B1102" s="210">
        <v>44659</v>
      </c>
      <c r="C1102" s="206">
        <v>447.57000699999998</v>
      </c>
      <c r="D1102" s="207">
        <f t="shared" si="34"/>
        <v>-2.6739354890329414E-3</v>
      </c>
      <c r="E1102" s="206">
        <v>115.349998</v>
      </c>
      <c r="F1102" s="10">
        <f t="shared" si="35"/>
        <v>4.2660368773634882E-3</v>
      </c>
    </row>
    <row r="1103" spans="2:6" x14ac:dyDescent="0.25">
      <c r="B1103" s="210">
        <v>44662</v>
      </c>
      <c r="C1103" s="206">
        <v>439.92001299999998</v>
      </c>
      <c r="D1103" s="207">
        <f t="shared" si="34"/>
        <v>-1.7092284738373875E-2</v>
      </c>
      <c r="E1103" s="206">
        <v>114.230003</v>
      </c>
      <c r="F1103" s="10">
        <f t="shared" si="35"/>
        <v>-9.7095363625407938E-3</v>
      </c>
    </row>
    <row r="1104" spans="2:6" x14ac:dyDescent="0.25">
      <c r="B1104" s="210">
        <v>44663</v>
      </c>
      <c r="C1104" s="206">
        <v>438.290009</v>
      </c>
      <c r="D1104" s="207">
        <f t="shared" si="34"/>
        <v>-3.705228113820791E-3</v>
      </c>
      <c r="E1104" s="206">
        <v>115.41999800000001</v>
      </c>
      <c r="F1104" s="10">
        <f t="shared" si="35"/>
        <v>1.0417534524620464E-2</v>
      </c>
    </row>
    <row r="1105" spans="2:6" x14ac:dyDescent="0.25">
      <c r="B1105" s="210">
        <v>44664</v>
      </c>
      <c r="C1105" s="206">
        <v>443.30999800000001</v>
      </c>
      <c r="D1105" s="207">
        <f t="shared" si="34"/>
        <v>1.1453578445590473E-2</v>
      </c>
      <c r="E1105" s="206">
        <v>115.110001</v>
      </c>
      <c r="F1105" s="10">
        <f t="shared" si="35"/>
        <v>-2.6858170626550271E-3</v>
      </c>
    </row>
    <row r="1106" spans="2:6" x14ac:dyDescent="0.25">
      <c r="B1106" s="210">
        <v>44665</v>
      </c>
      <c r="C1106" s="206">
        <v>437.790009</v>
      </c>
      <c r="D1106" s="207">
        <f t="shared" si="34"/>
        <v>-1.2451758419398495E-2</v>
      </c>
      <c r="E1106" s="206">
        <v>114.849998</v>
      </c>
      <c r="F1106" s="10">
        <f t="shared" si="35"/>
        <v>-2.2587351033034331E-3</v>
      </c>
    </row>
    <row r="1107" spans="2:6" x14ac:dyDescent="0.25">
      <c r="B1107" s="210">
        <v>44669</v>
      </c>
      <c r="C1107" s="206">
        <v>437.97000100000002</v>
      </c>
      <c r="D1107" s="207">
        <f t="shared" si="34"/>
        <v>4.1113775166135014E-4</v>
      </c>
      <c r="E1107" s="206">
        <v>114.239998</v>
      </c>
      <c r="F1107" s="10">
        <f t="shared" si="35"/>
        <v>-5.3112756693299845E-3</v>
      </c>
    </row>
    <row r="1108" spans="2:6" x14ac:dyDescent="0.25">
      <c r="B1108" s="210">
        <v>44670</v>
      </c>
      <c r="C1108" s="206">
        <v>445.040009</v>
      </c>
      <c r="D1108" s="207">
        <f t="shared" si="34"/>
        <v>1.6142676402167488E-2</v>
      </c>
      <c r="E1108" s="206">
        <v>114.470001</v>
      </c>
      <c r="F1108" s="10">
        <f t="shared" si="35"/>
        <v>2.0133316178805316E-3</v>
      </c>
    </row>
    <row r="1109" spans="2:6" x14ac:dyDescent="0.25">
      <c r="B1109" s="210">
        <v>44671</v>
      </c>
      <c r="C1109" s="206">
        <v>444.709991</v>
      </c>
      <c r="D1109" s="207">
        <f t="shared" si="34"/>
        <v>-7.4154681225524488E-4</v>
      </c>
      <c r="E1109" s="206">
        <v>115.43</v>
      </c>
      <c r="F1109" s="10">
        <f t="shared" si="35"/>
        <v>8.3864679969734013E-3</v>
      </c>
    </row>
    <row r="1110" spans="2:6" x14ac:dyDescent="0.25">
      <c r="B1110" s="210">
        <v>44672</v>
      </c>
      <c r="C1110" s="206">
        <v>438.05999800000001</v>
      </c>
      <c r="D1110" s="207">
        <f t="shared" si="34"/>
        <v>-1.495354980679986E-2</v>
      </c>
      <c r="E1110" s="206">
        <v>115.279999</v>
      </c>
      <c r="F1110" s="10">
        <f t="shared" si="35"/>
        <v>-1.2994975309711387E-3</v>
      </c>
    </row>
    <row r="1111" spans="2:6" x14ac:dyDescent="0.25">
      <c r="B1111" s="210">
        <v>44673</v>
      </c>
      <c r="C1111" s="206">
        <v>426.040009</v>
      </c>
      <c r="D1111" s="207">
        <f t="shared" si="34"/>
        <v>-2.7439138599457347E-2</v>
      </c>
      <c r="E1111" s="206">
        <v>114.279999</v>
      </c>
      <c r="F1111" s="10">
        <f t="shared" si="35"/>
        <v>-8.6745316505424386E-3</v>
      </c>
    </row>
    <row r="1112" spans="2:6" x14ac:dyDescent="0.25">
      <c r="B1112" s="210">
        <v>44676</v>
      </c>
      <c r="C1112" s="206">
        <v>428.51001000000002</v>
      </c>
      <c r="D1112" s="207">
        <f t="shared" si="34"/>
        <v>5.7975799169602826E-3</v>
      </c>
      <c r="E1112" s="206">
        <v>113.769997</v>
      </c>
      <c r="F1112" s="10">
        <f t="shared" si="35"/>
        <v>-4.4627406760827659E-3</v>
      </c>
    </row>
    <row r="1113" spans="2:6" x14ac:dyDescent="0.25">
      <c r="B1113" s="210">
        <v>44677</v>
      </c>
      <c r="C1113" s="206">
        <v>416.10000600000001</v>
      </c>
      <c r="D1113" s="207">
        <f t="shared" si="34"/>
        <v>-2.8960826376028037E-2</v>
      </c>
      <c r="E1113" s="206">
        <v>113.5</v>
      </c>
      <c r="F1113" s="10">
        <f t="shared" si="35"/>
        <v>-2.373182799679685E-3</v>
      </c>
    </row>
    <row r="1114" spans="2:6" x14ac:dyDescent="0.25">
      <c r="B1114" s="210">
        <v>44678</v>
      </c>
      <c r="C1114" s="206">
        <v>417.26998900000001</v>
      </c>
      <c r="D1114" s="207">
        <f t="shared" si="34"/>
        <v>2.8117831846414809E-3</v>
      </c>
      <c r="E1114" s="206">
        <v>113.089996</v>
      </c>
      <c r="F1114" s="10">
        <f t="shared" si="35"/>
        <v>-3.6123700440529039E-3</v>
      </c>
    </row>
    <row r="1115" spans="2:6" x14ac:dyDescent="0.25">
      <c r="B1115" s="210">
        <v>44679</v>
      </c>
      <c r="C1115" s="206">
        <v>427.80999800000001</v>
      </c>
      <c r="D1115" s="207">
        <f t="shared" si="34"/>
        <v>2.5259446588189682E-2</v>
      </c>
      <c r="E1115" s="206">
        <v>113.800003</v>
      </c>
      <c r="F1115" s="10">
        <f t="shared" si="35"/>
        <v>6.2782476356264549E-3</v>
      </c>
    </row>
    <row r="1116" spans="2:6" x14ac:dyDescent="0.25">
      <c r="B1116" s="210">
        <v>44680</v>
      </c>
      <c r="C1116" s="206">
        <v>412</v>
      </c>
      <c r="D1116" s="207">
        <f t="shared" si="34"/>
        <v>-3.6955653383304088E-2</v>
      </c>
      <c r="E1116" s="206">
        <v>110.160004</v>
      </c>
      <c r="F1116" s="10">
        <f t="shared" si="35"/>
        <v>-3.1985930615485159E-2</v>
      </c>
    </row>
    <row r="1117" spans="2:6" x14ac:dyDescent="0.25">
      <c r="B1117" s="210">
        <v>44683</v>
      </c>
      <c r="C1117" s="206">
        <v>414.48001099999999</v>
      </c>
      <c r="D1117" s="207">
        <f t="shared" si="34"/>
        <v>6.0194441747571936E-3</v>
      </c>
      <c r="E1117" s="206">
        <v>108.699997</v>
      </c>
      <c r="F1117" s="10">
        <f t="shared" si="35"/>
        <v>-1.3253512590649552E-2</v>
      </c>
    </row>
    <row r="1118" spans="2:6" x14ac:dyDescent="0.25">
      <c r="B1118" s="210">
        <v>44684</v>
      </c>
      <c r="C1118" s="206">
        <v>416.38000499999998</v>
      </c>
      <c r="D1118" s="207">
        <f t="shared" si="34"/>
        <v>4.5840425342007496E-3</v>
      </c>
      <c r="E1118" s="206">
        <v>108.360001</v>
      </c>
      <c r="F1118" s="10">
        <f t="shared" si="35"/>
        <v>-3.1278381728013782E-3</v>
      </c>
    </row>
    <row r="1119" spans="2:6" x14ac:dyDescent="0.25">
      <c r="B1119" s="210">
        <v>44685</v>
      </c>
      <c r="C1119" s="206">
        <v>429.05999800000001</v>
      </c>
      <c r="D1119" s="207">
        <f t="shared" si="34"/>
        <v>3.045293445346875E-2</v>
      </c>
      <c r="E1119" s="206">
        <v>110.510002</v>
      </c>
      <c r="F1119" s="10">
        <f t="shared" si="35"/>
        <v>1.9841278886662206E-2</v>
      </c>
    </row>
    <row r="1120" spans="2:6" x14ac:dyDescent="0.25">
      <c r="B1120" s="210">
        <v>44686</v>
      </c>
      <c r="C1120" s="206">
        <v>413.80999800000001</v>
      </c>
      <c r="D1120" s="207">
        <f t="shared" si="34"/>
        <v>-3.5542814690452729E-2</v>
      </c>
      <c r="E1120" s="206">
        <v>110.050003</v>
      </c>
      <c r="F1120" s="10">
        <f t="shared" si="35"/>
        <v>-4.1625101047414459E-3</v>
      </c>
    </row>
    <row r="1121" spans="2:6" x14ac:dyDescent="0.25">
      <c r="B1121" s="210">
        <v>44687</v>
      </c>
      <c r="C1121" s="206">
        <v>411.33999599999999</v>
      </c>
      <c r="D1121" s="207">
        <f t="shared" si="34"/>
        <v>-5.9689277976314736E-3</v>
      </c>
      <c r="E1121" s="206">
        <v>111.32</v>
      </c>
      <c r="F1121" s="10">
        <f t="shared" si="35"/>
        <v>1.1540181420985451E-2</v>
      </c>
    </row>
    <row r="1122" spans="2:6" x14ac:dyDescent="0.25">
      <c r="B1122" s="210">
        <v>44690</v>
      </c>
      <c r="C1122" s="206">
        <v>398.17001299999998</v>
      </c>
      <c r="D1122" s="207">
        <f t="shared" si="34"/>
        <v>-3.2017268264863841E-2</v>
      </c>
      <c r="E1122" s="206">
        <v>110.800003</v>
      </c>
      <c r="F1122" s="10">
        <f t="shared" si="35"/>
        <v>-4.6711911606179823E-3</v>
      </c>
    </row>
    <row r="1123" spans="2:6" x14ac:dyDescent="0.25">
      <c r="B1123" s="210">
        <v>44691</v>
      </c>
      <c r="C1123" s="206">
        <v>399.08999599999999</v>
      </c>
      <c r="D1123" s="207">
        <f t="shared" si="34"/>
        <v>2.3105280909239134E-3</v>
      </c>
      <c r="E1123" s="206">
        <v>108.910004</v>
      </c>
      <c r="F1123" s="10">
        <f t="shared" si="35"/>
        <v>-1.7057752245728808E-2</v>
      </c>
    </row>
    <row r="1124" spans="2:6" x14ac:dyDescent="0.25">
      <c r="B1124" s="210">
        <v>44692</v>
      </c>
      <c r="C1124" s="206">
        <v>392.75</v>
      </c>
      <c r="D1124" s="207">
        <f t="shared" si="34"/>
        <v>-1.5886131107129997E-2</v>
      </c>
      <c r="E1124" s="206">
        <v>109.910004</v>
      </c>
      <c r="F1124" s="10">
        <f t="shared" si="35"/>
        <v>9.181892969171157E-3</v>
      </c>
    </row>
    <row r="1125" spans="2:6" x14ac:dyDescent="0.25">
      <c r="B1125" s="210">
        <v>44693</v>
      </c>
      <c r="C1125" s="206">
        <v>392.33999599999999</v>
      </c>
      <c r="D1125" s="207">
        <f t="shared" si="34"/>
        <v>-1.0439312539783918E-3</v>
      </c>
      <c r="E1125" s="206">
        <v>108.849998</v>
      </c>
      <c r="F1125" s="10">
        <f t="shared" si="35"/>
        <v>-9.6443086290852742E-3</v>
      </c>
    </row>
    <row r="1126" spans="2:6" x14ac:dyDescent="0.25">
      <c r="B1126" s="210">
        <v>44694</v>
      </c>
      <c r="C1126" s="206">
        <v>401.72000100000002</v>
      </c>
      <c r="D1126" s="207">
        <f t="shared" si="34"/>
        <v>2.3907848028830614E-2</v>
      </c>
      <c r="E1126" s="206">
        <v>109.300003</v>
      </c>
      <c r="F1126" s="10">
        <f t="shared" si="35"/>
        <v>4.1341755467925179E-3</v>
      </c>
    </row>
    <row r="1127" spans="2:6" x14ac:dyDescent="0.25">
      <c r="B1127" s="210">
        <v>44697</v>
      </c>
      <c r="C1127" s="206">
        <v>400.08999599999999</v>
      </c>
      <c r="D1127" s="207">
        <f t="shared" si="34"/>
        <v>-4.0575649605258945E-3</v>
      </c>
      <c r="E1127" s="206">
        <v>110.029999</v>
      </c>
      <c r="F1127" s="10">
        <f t="shared" si="35"/>
        <v>6.678828727936903E-3</v>
      </c>
    </row>
    <row r="1128" spans="2:6" x14ac:dyDescent="0.25">
      <c r="B1128" s="210">
        <v>44698</v>
      </c>
      <c r="C1128" s="206">
        <v>408.32000699999998</v>
      </c>
      <c r="D1128" s="207">
        <f t="shared" si="34"/>
        <v>2.0570399365846592E-2</v>
      </c>
      <c r="E1128" s="206">
        <v>109.349998</v>
      </c>
      <c r="F1128" s="10">
        <f t="shared" si="35"/>
        <v>-6.1801418356824955E-3</v>
      </c>
    </row>
    <row r="1129" spans="2:6" x14ac:dyDescent="0.25">
      <c r="B1129" s="210">
        <v>44699</v>
      </c>
      <c r="C1129" s="206">
        <v>391.85998499999999</v>
      </c>
      <c r="D1129" s="207">
        <f t="shared" si="34"/>
        <v>-4.0311573564407732E-2</v>
      </c>
      <c r="E1129" s="206">
        <v>108.900002</v>
      </c>
      <c r="F1129" s="10">
        <f t="shared" si="35"/>
        <v>-4.1151898329252479E-3</v>
      </c>
    </row>
    <row r="1130" spans="2:6" x14ac:dyDescent="0.25">
      <c r="B1130" s="210">
        <v>44700</v>
      </c>
      <c r="C1130" s="206">
        <v>389.459991</v>
      </c>
      <c r="D1130" s="207">
        <f t="shared" si="34"/>
        <v>-6.1246212725700744E-3</v>
      </c>
      <c r="E1130" s="206">
        <v>108.949997</v>
      </c>
      <c r="F1130" s="10">
        <f t="shared" si="35"/>
        <v>4.5909090065943126E-4</v>
      </c>
    </row>
    <row r="1131" spans="2:6" x14ac:dyDescent="0.25">
      <c r="B1131" s="210">
        <v>44701</v>
      </c>
      <c r="C1131" s="206">
        <v>389.63000499999998</v>
      </c>
      <c r="D1131" s="207">
        <f t="shared" si="34"/>
        <v>4.3653778033392321E-4</v>
      </c>
      <c r="E1131" s="206">
        <v>109.83000199999999</v>
      </c>
      <c r="F1131" s="10">
        <f t="shared" si="35"/>
        <v>8.0771457019865878E-3</v>
      </c>
    </row>
    <row r="1132" spans="2:6" x14ac:dyDescent="0.25">
      <c r="B1132" s="210">
        <v>44704</v>
      </c>
      <c r="C1132" s="206">
        <v>396.92001299999998</v>
      </c>
      <c r="D1132" s="207">
        <f t="shared" si="34"/>
        <v>1.8710078552600207E-2</v>
      </c>
      <c r="E1132" s="206">
        <v>110.80999799999999</v>
      </c>
      <c r="F1132" s="10">
        <f t="shared" si="35"/>
        <v>8.9228442333999514E-3</v>
      </c>
    </row>
    <row r="1133" spans="2:6" x14ac:dyDescent="0.25">
      <c r="B1133" s="210">
        <v>44705</v>
      </c>
      <c r="C1133" s="206">
        <v>393.89001500000001</v>
      </c>
      <c r="D1133" s="207">
        <f t="shared" si="34"/>
        <v>-7.6337748180008713E-3</v>
      </c>
      <c r="E1133" s="206">
        <v>112.980003</v>
      </c>
      <c r="F1133" s="10">
        <f t="shared" si="35"/>
        <v>1.9583115595760647E-2</v>
      </c>
    </row>
    <row r="1134" spans="2:6" x14ac:dyDescent="0.25">
      <c r="B1134" s="210">
        <v>44706</v>
      </c>
      <c r="C1134" s="206">
        <v>397.36999500000002</v>
      </c>
      <c r="D1134" s="207">
        <f t="shared" si="34"/>
        <v>8.8349028091001536E-3</v>
      </c>
      <c r="E1134" s="206">
        <v>112.389999</v>
      </c>
      <c r="F1134" s="10">
        <f t="shared" si="35"/>
        <v>-5.2221984805576049E-3</v>
      </c>
    </row>
    <row r="1135" spans="2:6" x14ac:dyDescent="0.25">
      <c r="B1135" s="210">
        <v>44707</v>
      </c>
      <c r="C1135" s="206">
        <v>405.30999800000001</v>
      </c>
      <c r="D1135" s="207">
        <f t="shared" si="34"/>
        <v>1.9981385358499359E-2</v>
      </c>
      <c r="E1135" s="206">
        <v>113.230003</v>
      </c>
      <c r="F1135" s="10">
        <f t="shared" si="35"/>
        <v>7.4740102097516914E-3</v>
      </c>
    </row>
    <row r="1136" spans="2:6" x14ac:dyDescent="0.25">
      <c r="B1136" s="210">
        <v>44708</v>
      </c>
      <c r="C1136" s="206">
        <v>415.26001000000002</v>
      </c>
      <c r="D1136" s="207">
        <f t="shared" si="34"/>
        <v>2.4549140285456295E-2</v>
      </c>
      <c r="E1136" s="206">
        <v>114.400002</v>
      </c>
      <c r="F1136" s="10">
        <f t="shared" si="35"/>
        <v>1.0332941526107753E-2</v>
      </c>
    </row>
    <row r="1137" spans="2:6" x14ac:dyDescent="0.25">
      <c r="B1137" s="210">
        <v>44712</v>
      </c>
      <c r="C1137" s="206">
        <v>412.92999300000002</v>
      </c>
      <c r="D1137" s="207">
        <f t="shared" si="34"/>
        <v>-5.6109833451094548E-3</v>
      </c>
      <c r="E1137" s="206">
        <v>112.519997</v>
      </c>
      <c r="F1137" s="10">
        <f t="shared" si="35"/>
        <v>-1.6433609852559261E-2</v>
      </c>
    </row>
    <row r="1138" spans="2:6" x14ac:dyDescent="0.25">
      <c r="B1138" s="210">
        <v>44713</v>
      </c>
      <c r="C1138" s="206">
        <v>409.58999599999999</v>
      </c>
      <c r="D1138" s="207">
        <f t="shared" si="34"/>
        <v>-8.0885308808266165E-3</v>
      </c>
      <c r="E1138" s="206">
        <v>111.66999800000001</v>
      </c>
      <c r="F1138" s="10">
        <f t="shared" si="35"/>
        <v>-7.5542038985301208E-3</v>
      </c>
    </row>
    <row r="1139" spans="2:6" x14ac:dyDescent="0.25">
      <c r="B1139" s="210">
        <v>44714</v>
      </c>
      <c r="C1139" s="206">
        <v>417.39001500000001</v>
      </c>
      <c r="D1139" s="207">
        <f t="shared" si="34"/>
        <v>1.9043480251407452E-2</v>
      </c>
      <c r="E1139" s="206">
        <v>111.790001</v>
      </c>
      <c r="F1139" s="10">
        <f t="shared" si="35"/>
        <v>1.0746216723314106E-3</v>
      </c>
    </row>
    <row r="1140" spans="2:6" x14ac:dyDescent="0.25">
      <c r="B1140" s="210">
        <v>44715</v>
      </c>
      <c r="C1140" s="206">
        <v>410.540009</v>
      </c>
      <c r="D1140" s="207">
        <f t="shared" si="34"/>
        <v>-1.6411523404554873E-2</v>
      </c>
      <c r="E1140" s="206">
        <v>111.160004</v>
      </c>
      <c r="F1140" s="10">
        <f t="shared" si="35"/>
        <v>-5.635539801095435E-3</v>
      </c>
    </row>
    <row r="1141" spans="2:6" x14ac:dyDescent="0.25">
      <c r="B1141" s="210">
        <v>44718</v>
      </c>
      <c r="C1141" s="206">
        <v>411.790009</v>
      </c>
      <c r="D1141" s="207">
        <f t="shared" si="34"/>
        <v>3.04477023577987E-3</v>
      </c>
      <c r="E1141" s="206">
        <v>111.110001</v>
      </c>
      <c r="F1141" s="10">
        <f t="shared" si="35"/>
        <v>-4.4982905902024584E-4</v>
      </c>
    </row>
    <row r="1142" spans="2:6" x14ac:dyDescent="0.25">
      <c r="B1142" s="210">
        <v>44719</v>
      </c>
      <c r="C1142" s="206">
        <v>415.73998999999998</v>
      </c>
      <c r="D1142" s="207">
        <f t="shared" si="34"/>
        <v>9.5922215538744027E-3</v>
      </c>
      <c r="E1142" s="206">
        <v>112.339996</v>
      </c>
      <c r="F1142" s="10">
        <f t="shared" si="35"/>
        <v>1.1070065601025414E-2</v>
      </c>
    </row>
    <row r="1143" spans="2:6" x14ac:dyDescent="0.25">
      <c r="B1143" s="210">
        <v>44720</v>
      </c>
      <c r="C1143" s="206">
        <v>411.22000100000002</v>
      </c>
      <c r="D1143" s="207">
        <f t="shared" si="34"/>
        <v>-1.0872153530383177E-2</v>
      </c>
      <c r="E1143" s="206">
        <v>110.489998</v>
      </c>
      <c r="F1143" s="10">
        <f t="shared" si="35"/>
        <v>-1.6467848191840773E-2</v>
      </c>
    </row>
    <row r="1144" spans="2:6" x14ac:dyDescent="0.25">
      <c r="B1144" s="210">
        <v>44721</v>
      </c>
      <c r="C1144" s="206">
        <v>401.44000199999999</v>
      </c>
      <c r="D1144" s="207">
        <f t="shared" si="34"/>
        <v>-2.378288744763668E-2</v>
      </c>
      <c r="E1144" s="206">
        <v>107.730003</v>
      </c>
      <c r="F1144" s="10">
        <f t="shared" si="35"/>
        <v>-2.4979591365365095E-2</v>
      </c>
    </row>
    <row r="1145" spans="2:6" x14ac:dyDescent="0.25">
      <c r="B1145" s="210">
        <v>44722</v>
      </c>
      <c r="C1145" s="206">
        <v>389.79998799999998</v>
      </c>
      <c r="D1145" s="207">
        <f t="shared" si="34"/>
        <v>-2.899565051317432E-2</v>
      </c>
      <c r="E1145" s="206">
        <v>107.769997</v>
      </c>
      <c r="F1145" s="10">
        <f t="shared" si="35"/>
        <v>3.7124291178214364E-4</v>
      </c>
    </row>
    <row r="1146" spans="2:6" x14ac:dyDescent="0.25">
      <c r="B1146" s="210">
        <v>44725</v>
      </c>
      <c r="C1146" s="206">
        <v>375</v>
      </c>
      <c r="D1146" s="207">
        <f t="shared" si="34"/>
        <v>-3.7968159198609297E-2</v>
      </c>
      <c r="E1146" s="206">
        <v>103.43</v>
      </c>
      <c r="F1146" s="10">
        <f t="shared" si="35"/>
        <v>-4.0270920671919397E-2</v>
      </c>
    </row>
    <row r="1147" spans="2:6" x14ac:dyDescent="0.25">
      <c r="B1147" s="210">
        <v>44726</v>
      </c>
      <c r="C1147" s="206">
        <v>373.86999500000002</v>
      </c>
      <c r="D1147" s="207">
        <f t="shared" si="34"/>
        <v>-3.0133466666666386E-3</v>
      </c>
      <c r="E1147" s="206">
        <v>100.94000200000001</v>
      </c>
      <c r="F1147" s="10">
        <f t="shared" si="35"/>
        <v>-2.4074233781301357E-2</v>
      </c>
    </row>
    <row r="1148" spans="2:6" x14ac:dyDescent="0.25">
      <c r="B1148" s="210">
        <v>44727</v>
      </c>
      <c r="C1148" s="206">
        <v>379.20001200000002</v>
      </c>
      <c r="D1148" s="207">
        <f t="shared" si="34"/>
        <v>1.42563379551226E-2</v>
      </c>
      <c r="E1148" s="206">
        <v>100.18</v>
      </c>
      <c r="F1148" s="10">
        <f t="shared" si="35"/>
        <v>-7.5292449469140932E-3</v>
      </c>
    </row>
    <row r="1149" spans="2:6" x14ac:dyDescent="0.25">
      <c r="B1149" s="210">
        <v>44728</v>
      </c>
      <c r="C1149" s="206">
        <v>366.64999399999999</v>
      </c>
      <c r="D1149" s="207">
        <f t="shared" si="34"/>
        <v>-3.3096037982192961E-2</v>
      </c>
      <c r="E1149" s="206">
        <v>99.540001000000004</v>
      </c>
      <c r="F1149" s="10">
        <f t="shared" si="35"/>
        <v>-6.3884907167099936E-3</v>
      </c>
    </row>
    <row r="1150" spans="2:6" x14ac:dyDescent="0.25">
      <c r="B1150" s="210">
        <v>44729</v>
      </c>
      <c r="C1150" s="206">
        <v>365.85998499999999</v>
      </c>
      <c r="D1150" s="207">
        <f t="shared" si="34"/>
        <v>-2.1546679747116437E-3</v>
      </c>
      <c r="E1150" s="206">
        <v>97.82</v>
      </c>
      <c r="F1150" s="10">
        <f t="shared" si="35"/>
        <v>-1.7279495506535181E-2</v>
      </c>
    </row>
    <row r="1151" spans="2:6" x14ac:dyDescent="0.25">
      <c r="B1151" s="210">
        <v>44733</v>
      </c>
      <c r="C1151" s="206">
        <v>375.07000699999998</v>
      </c>
      <c r="D1151" s="207">
        <f t="shared" si="34"/>
        <v>2.5173624822621532E-2</v>
      </c>
      <c r="E1151" s="206">
        <v>99.209998999999996</v>
      </c>
      <c r="F1151" s="10">
        <f t="shared" si="35"/>
        <v>1.4209762829687111E-2</v>
      </c>
    </row>
    <row r="1152" spans="2:6" x14ac:dyDescent="0.25">
      <c r="B1152" s="210">
        <v>44734</v>
      </c>
      <c r="C1152" s="206">
        <v>374.39001500000001</v>
      </c>
      <c r="D1152" s="207">
        <f t="shared" si="34"/>
        <v>-1.8129735444294415E-3</v>
      </c>
      <c r="E1152" s="206">
        <v>100.160004</v>
      </c>
      <c r="F1152" s="10">
        <f t="shared" si="35"/>
        <v>9.5756981108325867E-3</v>
      </c>
    </row>
    <row r="1153" spans="2:6" x14ac:dyDescent="0.25">
      <c r="B1153" s="210">
        <v>44735</v>
      </c>
      <c r="C1153" s="206">
        <v>378.05999800000001</v>
      </c>
      <c r="D1153" s="207">
        <f t="shared" si="34"/>
        <v>9.802566449321537E-3</v>
      </c>
      <c r="E1153" s="206">
        <v>103.410004</v>
      </c>
      <c r="F1153" s="10">
        <f t="shared" si="35"/>
        <v>3.2448081771242698E-2</v>
      </c>
    </row>
    <row r="1154" spans="2:6" x14ac:dyDescent="0.25">
      <c r="B1154" s="210">
        <v>44736</v>
      </c>
      <c r="C1154" s="206">
        <v>390.07998700000002</v>
      </c>
      <c r="D1154" s="207">
        <f t="shared" si="34"/>
        <v>3.1793866221202283E-2</v>
      </c>
      <c r="E1154" s="206">
        <v>104.529999</v>
      </c>
      <c r="F1154" s="10">
        <f t="shared" si="35"/>
        <v>1.0830625245890069E-2</v>
      </c>
    </row>
    <row r="1155" spans="2:6" x14ac:dyDescent="0.25">
      <c r="B1155" s="210">
        <v>44739</v>
      </c>
      <c r="C1155" s="206">
        <v>388.58999599999999</v>
      </c>
      <c r="D1155" s="207">
        <f t="shared" si="34"/>
        <v>-3.8197063414074917E-3</v>
      </c>
      <c r="E1155" s="206">
        <v>105.199997</v>
      </c>
      <c r="F1155" s="10">
        <f t="shared" si="35"/>
        <v>6.4096240926969639E-3</v>
      </c>
    </row>
    <row r="1156" spans="2:6" x14ac:dyDescent="0.25">
      <c r="B1156" s="210">
        <v>44740</v>
      </c>
      <c r="C1156" s="206">
        <v>380.64999399999999</v>
      </c>
      <c r="D1156" s="207">
        <f t="shared" si="34"/>
        <v>-2.0432852316661254E-2</v>
      </c>
      <c r="E1156" s="206">
        <v>105.699997</v>
      </c>
      <c r="F1156" s="10">
        <f t="shared" si="35"/>
        <v>4.7528518465642655E-3</v>
      </c>
    </row>
    <row r="1157" spans="2:6" x14ac:dyDescent="0.25">
      <c r="B1157" s="210">
        <v>44741</v>
      </c>
      <c r="C1157" s="206">
        <v>380.33999599999999</v>
      </c>
      <c r="D1157" s="207">
        <f t="shared" ref="D1157:D1220" si="36">C1157/C1156-1</f>
        <v>-8.1439118583048753E-4</v>
      </c>
      <c r="E1157" s="206">
        <v>106.010002</v>
      </c>
      <c r="F1157" s="10">
        <f t="shared" ref="F1157:F1220" si="37">E1157/E1156-1</f>
        <v>2.9328761475746479E-3</v>
      </c>
    </row>
    <row r="1158" spans="2:6" x14ac:dyDescent="0.25">
      <c r="B1158" s="210">
        <v>44742</v>
      </c>
      <c r="C1158" s="206">
        <v>377.25</v>
      </c>
      <c r="D1158" s="207">
        <f t="shared" si="36"/>
        <v>-8.1242993965850996E-3</v>
      </c>
      <c r="E1158" s="206">
        <v>107.209999</v>
      </c>
      <c r="F1158" s="10">
        <f t="shared" si="37"/>
        <v>1.1319658309222547E-2</v>
      </c>
    </row>
    <row r="1159" spans="2:6" x14ac:dyDescent="0.25">
      <c r="B1159" s="210">
        <v>44743</v>
      </c>
      <c r="C1159" s="206">
        <v>381.23998999999998</v>
      </c>
      <c r="D1159" s="207">
        <f t="shared" si="36"/>
        <v>1.0576514247846225E-2</v>
      </c>
      <c r="E1159" s="206">
        <v>109.620003</v>
      </c>
      <c r="F1159" s="10">
        <f t="shared" si="37"/>
        <v>2.247928385858855E-2</v>
      </c>
    </row>
    <row r="1160" spans="2:6" x14ac:dyDescent="0.25">
      <c r="B1160" s="210">
        <v>44747</v>
      </c>
      <c r="C1160" s="206">
        <v>381.959991</v>
      </c>
      <c r="D1160" s="207">
        <f t="shared" si="36"/>
        <v>1.8885767990919344E-3</v>
      </c>
      <c r="E1160" s="206">
        <v>106.339996</v>
      </c>
      <c r="F1160" s="10">
        <f t="shared" si="37"/>
        <v>-2.9921610201014137E-2</v>
      </c>
    </row>
    <row r="1161" spans="2:6" x14ac:dyDescent="0.25">
      <c r="B1161" s="210">
        <v>44748</v>
      </c>
      <c r="C1161" s="206">
        <v>383.25</v>
      </c>
      <c r="D1161" s="207">
        <f t="shared" si="36"/>
        <v>3.3773406388000193E-3</v>
      </c>
      <c r="E1161" s="206">
        <v>107.58000199999999</v>
      </c>
      <c r="F1161" s="10">
        <f t="shared" si="37"/>
        <v>1.1660767788631343E-2</v>
      </c>
    </row>
    <row r="1162" spans="2:6" x14ac:dyDescent="0.25">
      <c r="B1162" s="210">
        <v>44749</v>
      </c>
      <c r="C1162" s="206">
        <v>388.98998999999998</v>
      </c>
      <c r="D1162" s="207">
        <f t="shared" si="36"/>
        <v>1.49771428571428E-2</v>
      </c>
      <c r="E1162" s="206">
        <v>106.83000199999999</v>
      </c>
      <c r="F1162" s="10">
        <f t="shared" si="37"/>
        <v>-6.9715559217037315E-3</v>
      </c>
    </row>
    <row r="1163" spans="2:6" x14ac:dyDescent="0.25">
      <c r="B1163" s="210">
        <v>44750</v>
      </c>
      <c r="C1163" s="206">
        <v>388.67001299999998</v>
      </c>
      <c r="D1163" s="207">
        <f t="shared" si="36"/>
        <v>-8.2258414927338652E-4</v>
      </c>
      <c r="E1163" s="206">
        <v>105.910004</v>
      </c>
      <c r="F1163" s="10">
        <f t="shared" si="37"/>
        <v>-8.6117942785397528E-3</v>
      </c>
    </row>
    <row r="1164" spans="2:6" x14ac:dyDescent="0.25">
      <c r="B1164" s="210">
        <v>44753</v>
      </c>
      <c r="C1164" s="206">
        <v>384.23001099999999</v>
      </c>
      <c r="D1164" s="207">
        <f t="shared" si="36"/>
        <v>-1.1423577460296652E-2</v>
      </c>
      <c r="E1164" s="206">
        <v>107.959999</v>
      </c>
      <c r="F1164" s="10">
        <f t="shared" si="37"/>
        <v>1.9356009088622006E-2</v>
      </c>
    </row>
    <row r="1165" spans="2:6" x14ac:dyDescent="0.25">
      <c r="B1165" s="210">
        <v>44754</v>
      </c>
      <c r="C1165" s="206">
        <v>380.82998700000002</v>
      </c>
      <c r="D1165" s="207">
        <f t="shared" si="36"/>
        <v>-8.8489287735517008E-3</v>
      </c>
      <c r="E1165" s="206">
        <v>107.66999800000001</v>
      </c>
      <c r="F1165" s="10">
        <f t="shared" si="37"/>
        <v>-2.6861893542624582E-3</v>
      </c>
    </row>
    <row r="1166" spans="2:6" x14ac:dyDescent="0.25">
      <c r="B1166" s="210">
        <v>44755</v>
      </c>
      <c r="C1166" s="206">
        <v>378.82998700000002</v>
      </c>
      <c r="D1166" s="207">
        <f t="shared" si="36"/>
        <v>-5.2516872837536921E-3</v>
      </c>
      <c r="E1166" s="206">
        <v>107.239998</v>
      </c>
      <c r="F1166" s="10">
        <f t="shared" si="37"/>
        <v>-3.9936844802394011E-3</v>
      </c>
    </row>
    <row r="1167" spans="2:6" x14ac:dyDescent="0.25">
      <c r="B1167" s="210">
        <v>44756</v>
      </c>
      <c r="C1167" s="206">
        <v>377.91000400000001</v>
      </c>
      <c r="D1167" s="207">
        <f t="shared" si="36"/>
        <v>-2.4284851557963005E-3</v>
      </c>
      <c r="E1167" s="206">
        <v>106.949997</v>
      </c>
      <c r="F1167" s="10">
        <f t="shared" si="37"/>
        <v>-2.7042242205189693E-3</v>
      </c>
    </row>
    <row r="1168" spans="2:6" x14ac:dyDescent="0.25">
      <c r="B1168" s="210">
        <v>44757</v>
      </c>
      <c r="C1168" s="206">
        <v>385.13000499999998</v>
      </c>
      <c r="D1168" s="207">
        <f t="shared" si="36"/>
        <v>1.9105080372521677E-2</v>
      </c>
      <c r="E1168" s="206">
        <v>107.43</v>
      </c>
      <c r="F1168" s="10">
        <f t="shared" si="37"/>
        <v>4.4881067177591216E-3</v>
      </c>
    </row>
    <row r="1169" spans="2:6" x14ac:dyDescent="0.25">
      <c r="B1169" s="210">
        <v>44760</v>
      </c>
      <c r="C1169" s="206">
        <v>381.95001200000002</v>
      </c>
      <c r="D1169" s="207">
        <f t="shared" si="36"/>
        <v>-8.2569339150814214E-3</v>
      </c>
      <c r="E1169" s="206">
        <v>105.43</v>
      </c>
      <c r="F1169" s="10">
        <f t="shared" si="37"/>
        <v>-1.8616773713115542E-2</v>
      </c>
    </row>
    <row r="1170" spans="2:6" x14ac:dyDescent="0.25">
      <c r="B1170" s="210">
        <v>44761</v>
      </c>
      <c r="C1170" s="206">
        <v>392.26998900000001</v>
      </c>
      <c r="D1170" s="207">
        <f t="shared" si="36"/>
        <v>2.7019182290273003E-2</v>
      </c>
      <c r="E1170" s="206">
        <v>105.540001</v>
      </c>
      <c r="F1170" s="10">
        <f t="shared" si="37"/>
        <v>1.0433557810869409E-3</v>
      </c>
    </row>
    <row r="1171" spans="2:6" x14ac:dyDescent="0.25">
      <c r="B1171" s="210">
        <v>44762</v>
      </c>
      <c r="C1171" s="206">
        <v>394.76998900000001</v>
      </c>
      <c r="D1171" s="207">
        <f t="shared" si="36"/>
        <v>6.3731615216682247E-3</v>
      </c>
      <c r="E1171" s="206">
        <v>102.989998</v>
      </c>
      <c r="F1171" s="10">
        <f t="shared" si="37"/>
        <v>-2.4161483568680309E-2</v>
      </c>
    </row>
    <row r="1172" spans="2:6" x14ac:dyDescent="0.25">
      <c r="B1172" s="210">
        <v>44763</v>
      </c>
      <c r="C1172" s="206">
        <v>398.790009</v>
      </c>
      <c r="D1172" s="207">
        <f t="shared" si="36"/>
        <v>1.0183195562011083E-2</v>
      </c>
      <c r="E1172" s="206">
        <v>103.540001</v>
      </c>
      <c r="F1172" s="10">
        <f t="shared" si="37"/>
        <v>5.3403535360783128E-3</v>
      </c>
    </row>
    <row r="1173" spans="2:6" x14ac:dyDescent="0.25">
      <c r="B1173" s="210">
        <v>44764</v>
      </c>
      <c r="C1173" s="206">
        <v>395.08999599999999</v>
      </c>
      <c r="D1173" s="207">
        <f t="shared" si="36"/>
        <v>-9.2780985393242643E-3</v>
      </c>
      <c r="E1173" s="206">
        <v>104.980003</v>
      </c>
      <c r="F1173" s="10">
        <f t="shared" si="37"/>
        <v>1.3907687715784212E-2</v>
      </c>
    </row>
    <row r="1174" spans="2:6" x14ac:dyDescent="0.25">
      <c r="B1174" s="210">
        <v>44767</v>
      </c>
      <c r="C1174" s="206">
        <v>395.57000699999998</v>
      </c>
      <c r="D1174" s="207">
        <f t="shared" si="36"/>
        <v>1.214940911842266E-3</v>
      </c>
      <c r="E1174" s="206">
        <v>105.980003</v>
      </c>
      <c r="F1174" s="10">
        <f t="shared" si="37"/>
        <v>9.5256236561547247E-3</v>
      </c>
    </row>
    <row r="1175" spans="2:6" x14ac:dyDescent="0.25">
      <c r="B1175" s="210">
        <v>44768</v>
      </c>
      <c r="C1175" s="206">
        <v>390.89001500000001</v>
      </c>
      <c r="D1175" s="207">
        <f t="shared" si="36"/>
        <v>-1.1831008208870508E-2</v>
      </c>
      <c r="E1175" s="206">
        <v>107.019997</v>
      </c>
      <c r="F1175" s="10">
        <f t="shared" si="37"/>
        <v>9.8131154044220903E-3</v>
      </c>
    </row>
    <row r="1176" spans="2:6" x14ac:dyDescent="0.25">
      <c r="B1176" s="210">
        <v>44769</v>
      </c>
      <c r="C1176" s="206">
        <v>401.040009</v>
      </c>
      <c r="D1176" s="207">
        <f t="shared" si="36"/>
        <v>2.596636805880026E-2</v>
      </c>
      <c r="E1176" s="206">
        <v>106.519997</v>
      </c>
      <c r="F1176" s="10">
        <f t="shared" si="37"/>
        <v>-4.6720240517292844E-3</v>
      </c>
    </row>
    <row r="1177" spans="2:6" x14ac:dyDescent="0.25">
      <c r="B1177" s="210">
        <v>44770</v>
      </c>
      <c r="C1177" s="206">
        <v>406.07000699999998</v>
      </c>
      <c r="D1177" s="207">
        <f t="shared" si="36"/>
        <v>1.2542384518049454E-2</v>
      </c>
      <c r="E1177" s="206">
        <v>108.949997</v>
      </c>
      <c r="F1177" s="10">
        <f t="shared" si="37"/>
        <v>2.2812617991342821E-2</v>
      </c>
    </row>
    <row r="1178" spans="2:6" x14ac:dyDescent="0.25">
      <c r="B1178" s="210">
        <v>44771</v>
      </c>
      <c r="C1178" s="206">
        <v>411.98998999999998</v>
      </c>
      <c r="D1178" s="207">
        <f t="shared" si="36"/>
        <v>1.4578725091607181E-2</v>
      </c>
      <c r="E1178" s="206">
        <v>109.93</v>
      </c>
      <c r="F1178" s="10">
        <f t="shared" si="37"/>
        <v>8.9949795960069245E-3</v>
      </c>
    </row>
    <row r="1179" spans="2:6" x14ac:dyDescent="0.25">
      <c r="B1179" s="210">
        <v>44774</v>
      </c>
      <c r="C1179" s="206">
        <v>410.76998900000001</v>
      </c>
      <c r="D1179" s="207">
        <f t="shared" si="36"/>
        <v>-2.9612394223460514E-3</v>
      </c>
      <c r="E1179" s="206">
        <v>109.849998</v>
      </c>
      <c r="F1179" s="10">
        <f t="shared" si="37"/>
        <v>-7.2775402528890698E-4</v>
      </c>
    </row>
    <row r="1180" spans="2:6" x14ac:dyDescent="0.25">
      <c r="B1180" s="210">
        <v>44775</v>
      </c>
      <c r="C1180" s="206">
        <v>408.05999800000001</v>
      </c>
      <c r="D1180" s="207">
        <f t="shared" si="36"/>
        <v>-6.5973441891344908E-3</v>
      </c>
      <c r="E1180" s="206">
        <v>109.620003</v>
      </c>
      <c r="F1180" s="10">
        <f t="shared" si="37"/>
        <v>-2.0937187454478368E-3</v>
      </c>
    </row>
    <row r="1181" spans="2:6" x14ac:dyDescent="0.25">
      <c r="B1181" s="210">
        <v>44776</v>
      </c>
      <c r="C1181" s="206">
        <v>414.45001200000002</v>
      </c>
      <c r="D1181" s="207">
        <f t="shared" si="36"/>
        <v>1.5659496229277536E-2</v>
      </c>
      <c r="E1181" s="206">
        <v>110.82</v>
      </c>
      <c r="F1181" s="10">
        <f t="shared" si="37"/>
        <v>1.0946879831776668E-2</v>
      </c>
    </row>
    <row r="1182" spans="2:6" x14ac:dyDescent="0.25">
      <c r="B1182" s="210">
        <v>44777</v>
      </c>
      <c r="C1182" s="206">
        <v>414.17001299999998</v>
      </c>
      <c r="D1182" s="207">
        <f t="shared" si="36"/>
        <v>-6.7559172853881577E-4</v>
      </c>
      <c r="E1182" s="206">
        <v>109.730003</v>
      </c>
      <c r="F1182" s="10">
        <f t="shared" si="37"/>
        <v>-9.8357426457318375E-3</v>
      </c>
    </row>
    <row r="1183" spans="2:6" x14ac:dyDescent="0.25">
      <c r="B1183" s="210">
        <v>44778</v>
      </c>
      <c r="C1183" s="206">
        <v>413.47000100000002</v>
      </c>
      <c r="D1183" s="207">
        <f t="shared" si="36"/>
        <v>-1.6901561629957262E-3</v>
      </c>
      <c r="E1183" s="206">
        <v>109.160004</v>
      </c>
      <c r="F1183" s="10">
        <f t="shared" si="37"/>
        <v>-5.194559230987994E-3</v>
      </c>
    </row>
    <row r="1184" spans="2:6" x14ac:dyDescent="0.25">
      <c r="B1184" s="210">
        <v>44781</v>
      </c>
      <c r="C1184" s="206">
        <v>412.98998999999998</v>
      </c>
      <c r="D1184" s="207">
        <f t="shared" si="36"/>
        <v>-1.1609330757711422E-3</v>
      </c>
      <c r="E1184" s="206">
        <v>109.040001</v>
      </c>
      <c r="F1184" s="10">
        <f t="shared" si="37"/>
        <v>-1.0993312165873403E-3</v>
      </c>
    </row>
    <row r="1185" spans="2:6" x14ac:dyDescent="0.25">
      <c r="B1185" s="210">
        <v>44782</v>
      </c>
      <c r="C1185" s="206">
        <v>411.35000600000001</v>
      </c>
      <c r="D1185" s="207">
        <f t="shared" si="36"/>
        <v>-3.9710018153223947E-3</v>
      </c>
      <c r="E1185" s="206">
        <v>109.80999799999999</v>
      </c>
      <c r="F1185" s="10">
        <f t="shared" si="37"/>
        <v>7.0616011824871094E-3</v>
      </c>
    </row>
    <row r="1186" spans="2:6" x14ac:dyDescent="0.25">
      <c r="B1186" s="210">
        <v>44783</v>
      </c>
      <c r="C1186" s="206">
        <v>419.98998999999998</v>
      </c>
      <c r="D1186" s="207">
        <f t="shared" si="36"/>
        <v>2.1003971980007696E-2</v>
      </c>
      <c r="E1186" s="206">
        <v>110.05999799999999</v>
      </c>
      <c r="F1186" s="10">
        <f t="shared" si="37"/>
        <v>2.276659726375696E-3</v>
      </c>
    </row>
    <row r="1187" spans="2:6" x14ac:dyDescent="0.25">
      <c r="B1187" s="210">
        <v>44784</v>
      </c>
      <c r="C1187" s="206">
        <v>419.98998999999998</v>
      </c>
      <c r="D1187" s="207">
        <f t="shared" si="36"/>
        <v>0</v>
      </c>
      <c r="E1187" s="206">
        <v>108.510002</v>
      </c>
      <c r="F1187" s="10">
        <f t="shared" si="37"/>
        <v>-1.4083191242652893E-2</v>
      </c>
    </row>
    <row r="1188" spans="2:6" x14ac:dyDescent="0.25">
      <c r="B1188" s="210">
        <v>44785</v>
      </c>
      <c r="C1188" s="206">
        <v>427.10000600000001</v>
      </c>
      <c r="D1188" s="207">
        <f t="shared" si="36"/>
        <v>1.6929012998619486E-2</v>
      </c>
      <c r="E1188" s="206">
        <v>110.25</v>
      </c>
      <c r="F1188" s="10">
        <f t="shared" si="37"/>
        <v>1.603536971642483E-2</v>
      </c>
    </row>
    <row r="1189" spans="2:6" x14ac:dyDescent="0.25">
      <c r="B1189" s="210">
        <v>44788</v>
      </c>
      <c r="C1189" s="206">
        <v>428.85998499999999</v>
      </c>
      <c r="D1189" s="207">
        <f t="shared" si="36"/>
        <v>4.1207655707689028E-3</v>
      </c>
      <c r="E1189" s="206">
        <v>110.980003</v>
      </c>
      <c r="F1189" s="10">
        <f t="shared" si="37"/>
        <v>6.6213424036281054E-3</v>
      </c>
    </row>
    <row r="1190" spans="2:6" x14ac:dyDescent="0.25">
      <c r="B1190" s="210">
        <v>44789</v>
      </c>
      <c r="C1190" s="206">
        <v>429.70001200000002</v>
      </c>
      <c r="D1190" s="207">
        <f t="shared" si="36"/>
        <v>1.9587441808077699E-3</v>
      </c>
      <c r="E1190" s="206">
        <v>112.110001</v>
      </c>
      <c r="F1190" s="10">
        <f t="shared" si="37"/>
        <v>1.0181996480933542E-2</v>
      </c>
    </row>
    <row r="1191" spans="2:6" x14ac:dyDescent="0.25">
      <c r="B1191" s="210">
        <v>44790</v>
      </c>
      <c r="C1191" s="206">
        <v>426.64999399999999</v>
      </c>
      <c r="D1191" s="207">
        <f t="shared" si="36"/>
        <v>-7.0980170230947603E-3</v>
      </c>
      <c r="E1191" s="206">
        <v>112.029999</v>
      </c>
      <c r="F1191" s="10">
        <f t="shared" si="37"/>
        <v>-7.1360270525722136E-4</v>
      </c>
    </row>
    <row r="1192" spans="2:6" x14ac:dyDescent="0.25">
      <c r="B1192" s="210">
        <v>44791</v>
      </c>
      <c r="C1192" s="206">
        <v>427.89001500000001</v>
      </c>
      <c r="D1192" s="207">
        <f t="shared" si="36"/>
        <v>2.9064127913711602E-3</v>
      </c>
      <c r="E1192" s="206">
        <v>112.58000199999999</v>
      </c>
      <c r="F1192" s="10">
        <f t="shared" si="37"/>
        <v>4.9094260904170017E-3</v>
      </c>
    </row>
    <row r="1193" spans="2:6" x14ac:dyDescent="0.25">
      <c r="B1193" s="210">
        <v>44792</v>
      </c>
      <c r="C1193" s="206">
        <v>422.14001500000001</v>
      </c>
      <c r="D1193" s="207">
        <f t="shared" si="36"/>
        <v>-1.3438032668278033E-2</v>
      </c>
      <c r="E1193" s="206">
        <v>113.239998</v>
      </c>
      <c r="F1193" s="10">
        <f t="shared" si="37"/>
        <v>5.8624621449199221E-3</v>
      </c>
    </row>
    <row r="1194" spans="2:6" x14ac:dyDescent="0.25">
      <c r="B1194" s="210">
        <v>44795</v>
      </c>
      <c r="C1194" s="206">
        <v>413.35000600000001</v>
      </c>
      <c r="D1194" s="207">
        <f t="shared" si="36"/>
        <v>-2.082249653589463E-2</v>
      </c>
      <c r="E1194" s="206">
        <v>112.050003</v>
      </c>
      <c r="F1194" s="10">
        <f t="shared" si="37"/>
        <v>-1.0508610217389802E-2</v>
      </c>
    </row>
    <row r="1195" spans="2:6" x14ac:dyDescent="0.25">
      <c r="B1195" s="210">
        <v>44796</v>
      </c>
      <c r="C1195" s="206">
        <v>412.35000600000001</v>
      </c>
      <c r="D1195" s="207">
        <f t="shared" si="36"/>
        <v>-2.4192572528957124E-3</v>
      </c>
      <c r="E1195" s="206">
        <v>111.029999</v>
      </c>
      <c r="F1195" s="10">
        <f t="shared" si="37"/>
        <v>-9.103114437221338E-3</v>
      </c>
    </row>
    <row r="1196" spans="2:6" x14ac:dyDescent="0.25">
      <c r="B1196" s="210">
        <v>44797</v>
      </c>
      <c r="C1196" s="206">
        <v>413.67001299999998</v>
      </c>
      <c r="D1196" s="207">
        <f t="shared" si="36"/>
        <v>3.2011809889485043E-3</v>
      </c>
      <c r="E1196" s="206">
        <v>110.93</v>
      </c>
      <c r="F1196" s="10">
        <f t="shared" si="37"/>
        <v>-9.0064848149729038E-4</v>
      </c>
    </row>
    <row r="1197" spans="2:6" x14ac:dyDescent="0.25">
      <c r="B1197" s="210">
        <v>44798</v>
      </c>
      <c r="C1197" s="206">
        <v>419.51001000000002</v>
      </c>
      <c r="D1197" s="207">
        <f t="shared" si="36"/>
        <v>1.4117525603674963E-2</v>
      </c>
      <c r="E1197" s="206">
        <v>110.699997</v>
      </c>
      <c r="F1197" s="10">
        <f t="shared" si="37"/>
        <v>-2.0734066528442785E-3</v>
      </c>
    </row>
    <row r="1198" spans="2:6" x14ac:dyDescent="0.25">
      <c r="B1198" s="210">
        <v>44799</v>
      </c>
      <c r="C1198" s="206">
        <v>405.30999800000001</v>
      </c>
      <c r="D1198" s="207">
        <f t="shared" si="36"/>
        <v>-3.3849042124167728E-2</v>
      </c>
      <c r="E1198" s="206">
        <v>108.730003</v>
      </c>
      <c r="F1198" s="10">
        <f t="shared" si="37"/>
        <v>-1.7795790906841691E-2</v>
      </c>
    </row>
    <row r="1199" spans="2:6" x14ac:dyDescent="0.25">
      <c r="B1199" s="210">
        <v>44802</v>
      </c>
      <c r="C1199" s="206">
        <v>402.63000499999998</v>
      </c>
      <c r="D1199" s="207">
        <f t="shared" si="36"/>
        <v>-6.6122055049824269E-3</v>
      </c>
      <c r="E1199" s="206">
        <v>109.199997</v>
      </c>
      <c r="F1199" s="10">
        <f t="shared" si="37"/>
        <v>4.3225787458132103E-3</v>
      </c>
    </row>
    <row r="1200" spans="2:6" x14ac:dyDescent="0.25">
      <c r="B1200" s="210">
        <v>44803</v>
      </c>
      <c r="C1200" s="206">
        <v>398.209991</v>
      </c>
      <c r="D1200" s="207">
        <f t="shared" si="36"/>
        <v>-1.0977855463106811E-2</v>
      </c>
      <c r="E1200" s="206">
        <v>107.68</v>
      </c>
      <c r="F1200" s="10">
        <f t="shared" si="37"/>
        <v>-1.3919386829287062E-2</v>
      </c>
    </row>
    <row r="1201" spans="2:6" x14ac:dyDescent="0.25">
      <c r="B1201" s="210">
        <v>44804</v>
      </c>
      <c r="C1201" s="206">
        <v>395.17999300000002</v>
      </c>
      <c r="D1201" s="207">
        <f t="shared" si="36"/>
        <v>-7.6090456504893655E-3</v>
      </c>
      <c r="E1201" s="206">
        <v>106.910004</v>
      </c>
      <c r="F1201" s="10">
        <f t="shared" si="37"/>
        <v>-7.1507800891531526E-3</v>
      </c>
    </row>
    <row r="1202" spans="2:6" x14ac:dyDescent="0.25">
      <c r="B1202" s="210">
        <v>44805</v>
      </c>
      <c r="C1202" s="206">
        <v>396.42001299999998</v>
      </c>
      <c r="D1202" s="207">
        <f t="shared" si="36"/>
        <v>3.1378612833772301E-3</v>
      </c>
      <c r="E1202" s="206">
        <v>108.19000200000001</v>
      </c>
      <c r="F1202" s="10">
        <f t="shared" si="37"/>
        <v>1.1972668151803756E-2</v>
      </c>
    </row>
    <row r="1203" spans="2:6" x14ac:dyDescent="0.25">
      <c r="B1203" s="210">
        <v>44806</v>
      </c>
      <c r="C1203" s="206">
        <v>392.23998999999998</v>
      </c>
      <c r="D1203" s="207">
        <f t="shared" si="36"/>
        <v>-1.0544429804052347E-2</v>
      </c>
      <c r="E1203" s="206">
        <v>107</v>
      </c>
      <c r="F1203" s="10">
        <f t="shared" si="37"/>
        <v>-1.0999186412807394E-2</v>
      </c>
    </row>
    <row r="1204" spans="2:6" x14ac:dyDescent="0.25">
      <c r="B1204" s="210">
        <v>44810</v>
      </c>
      <c r="C1204" s="206">
        <v>390.76001000000002</v>
      </c>
      <c r="D1204" s="207">
        <f t="shared" si="36"/>
        <v>-3.7731491885871771E-3</v>
      </c>
      <c r="E1204" s="206">
        <v>106.760002</v>
      </c>
      <c r="F1204" s="10">
        <f t="shared" si="37"/>
        <v>-2.2429719626168021E-3</v>
      </c>
    </row>
    <row r="1205" spans="2:6" x14ac:dyDescent="0.25">
      <c r="B1205" s="210">
        <v>44811</v>
      </c>
      <c r="C1205" s="206">
        <v>397.77999899999998</v>
      </c>
      <c r="D1205" s="207">
        <f t="shared" si="36"/>
        <v>1.7964962688991504E-2</v>
      </c>
      <c r="E1205" s="206">
        <v>110.25</v>
      </c>
      <c r="F1205" s="10">
        <f t="shared" si="37"/>
        <v>3.2690126776131034E-2</v>
      </c>
    </row>
    <row r="1206" spans="2:6" x14ac:dyDescent="0.25">
      <c r="B1206" s="210">
        <v>44812</v>
      </c>
      <c r="C1206" s="206">
        <v>400.38000499999998</v>
      </c>
      <c r="D1206" s="207">
        <f t="shared" si="36"/>
        <v>6.5362914337983025E-3</v>
      </c>
      <c r="E1206" s="206">
        <v>109.199997</v>
      </c>
      <c r="F1206" s="10">
        <f t="shared" si="37"/>
        <v>-9.5238367346939246E-3</v>
      </c>
    </row>
    <row r="1207" spans="2:6" x14ac:dyDescent="0.25">
      <c r="B1207" s="210">
        <v>44813</v>
      </c>
      <c r="C1207" s="206">
        <v>406.60000600000001</v>
      </c>
      <c r="D1207" s="207">
        <f t="shared" si="36"/>
        <v>1.5535243824176481E-2</v>
      </c>
      <c r="E1207" s="206">
        <v>109.879997</v>
      </c>
      <c r="F1207" s="10">
        <f t="shared" si="37"/>
        <v>6.2271063981806929E-3</v>
      </c>
    </row>
    <row r="1208" spans="2:6" x14ac:dyDescent="0.25">
      <c r="B1208" s="210">
        <v>44816</v>
      </c>
      <c r="C1208" s="206">
        <v>410.97000100000002</v>
      </c>
      <c r="D1208" s="207">
        <f t="shared" si="36"/>
        <v>1.0747651095706079E-2</v>
      </c>
      <c r="E1208" s="206">
        <v>110.879997</v>
      </c>
      <c r="F1208" s="10">
        <f t="shared" si="37"/>
        <v>9.1008375255052787E-3</v>
      </c>
    </row>
    <row r="1209" spans="2:6" x14ac:dyDescent="0.25">
      <c r="B1209" s="210">
        <v>44817</v>
      </c>
      <c r="C1209" s="206">
        <v>393.10000600000001</v>
      </c>
      <c r="D1209" s="207">
        <f t="shared" si="36"/>
        <v>-4.3482480367222798E-2</v>
      </c>
      <c r="E1209" s="206">
        <v>108.19000200000001</v>
      </c>
      <c r="F1209" s="10">
        <f t="shared" si="37"/>
        <v>-2.4260417323063166E-2</v>
      </c>
    </row>
    <row r="1210" spans="2:6" x14ac:dyDescent="0.25">
      <c r="B1210" s="210">
        <v>44818</v>
      </c>
      <c r="C1210" s="206">
        <v>394.60000600000001</v>
      </c>
      <c r="D1210" s="207">
        <f t="shared" si="36"/>
        <v>3.8158228875733169E-3</v>
      </c>
      <c r="E1210" s="206">
        <v>109.269997</v>
      </c>
      <c r="F1210" s="10">
        <f t="shared" si="37"/>
        <v>9.9823919034589537E-3</v>
      </c>
    </row>
    <row r="1211" spans="2:6" x14ac:dyDescent="0.25">
      <c r="B1211" s="210">
        <v>44819</v>
      </c>
      <c r="C1211" s="206">
        <v>390.11999500000002</v>
      </c>
      <c r="D1211" s="207">
        <f t="shared" si="36"/>
        <v>-1.1353296837000038E-2</v>
      </c>
      <c r="E1211" s="206">
        <v>106.279999</v>
      </c>
      <c r="F1211" s="10">
        <f t="shared" si="37"/>
        <v>-2.7363394180380585E-2</v>
      </c>
    </row>
    <row r="1212" spans="2:6" x14ac:dyDescent="0.25">
      <c r="B1212" s="210">
        <v>44820</v>
      </c>
      <c r="C1212" s="206">
        <v>385.55999800000001</v>
      </c>
      <c r="D1212" s="207">
        <f t="shared" si="36"/>
        <v>-1.1688703625662655E-2</v>
      </c>
      <c r="E1212" s="206">
        <v>106.110001</v>
      </c>
      <c r="F1212" s="10">
        <f t="shared" si="37"/>
        <v>-1.5995295596493708E-3</v>
      </c>
    </row>
    <row r="1213" spans="2:6" x14ac:dyDescent="0.25">
      <c r="B1213" s="210">
        <v>44823</v>
      </c>
      <c r="C1213" s="206">
        <v>388.54998799999998</v>
      </c>
      <c r="D1213" s="207">
        <f t="shared" si="36"/>
        <v>7.7549279373114732E-3</v>
      </c>
      <c r="E1213" s="206">
        <v>106.80999799999999</v>
      </c>
      <c r="F1213" s="10">
        <f t="shared" si="37"/>
        <v>6.5968993818028565E-3</v>
      </c>
    </row>
    <row r="1214" spans="2:6" x14ac:dyDescent="0.25">
      <c r="B1214" s="210">
        <v>44824</v>
      </c>
      <c r="C1214" s="206">
        <v>384.08999599999999</v>
      </c>
      <c r="D1214" s="207">
        <f t="shared" si="36"/>
        <v>-1.1478553951210002E-2</v>
      </c>
      <c r="E1214" s="206">
        <v>105.639999</v>
      </c>
      <c r="F1214" s="10">
        <f t="shared" si="37"/>
        <v>-1.0954021364179667E-2</v>
      </c>
    </row>
    <row r="1215" spans="2:6" x14ac:dyDescent="0.25">
      <c r="B1215" s="210">
        <v>44825</v>
      </c>
      <c r="C1215" s="206">
        <v>377.39001500000001</v>
      </c>
      <c r="D1215" s="207">
        <f t="shared" si="36"/>
        <v>-1.7443778983506686E-2</v>
      </c>
      <c r="E1215" s="206">
        <v>104.290001</v>
      </c>
      <c r="F1215" s="10">
        <f t="shared" si="37"/>
        <v>-1.2779231472730301E-2</v>
      </c>
    </row>
    <row r="1216" spans="2:6" x14ac:dyDescent="0.25">
      <c r="B1216" s="210">
        <v>44826</v>
      </c>
      <c r="C1216" s="206">
        <v>374.22000100000002</v>
      </c>
      <c r="D1216" s="207">
        <f t="shared" si="36"/>
        <v>-8.3998353798522274E-3</v>
      </c>
      <c r="E1216" s="206">
        <v>104.68</v>
      </c>
      <c r="F1216" s="10">
        <f t="shared" si="37"/>
        <v>3.7395627218375083E-3</v>
      </c>
    </row>
    <row r="1217" spans="2:6" x14ac:dyDescent="0.25">
      <c r="B1217" s="210">
        <v>44827</v>
      </c>
      <c r="C1217" s="206">
        <v>367.95001200000002</v>
      </c>
      <c r="D1217" s="207">
        <f t="shared" si="36"/>
        <v>-1.6754820648936963E-2</v>
      </c>
      <c r="E1217" s="206">
        <v>103.709999</v>
      </c>
      <c r="F1217" s="10">
        <f t="shared" si="37"/>
        <v>-9.2663450515858559E-3</v>
      </c>
    </row>
    <row r="1218" spans="2:6" x14ac:dyDescent="0.25">
      <c r="B1218" s="210">
        <v>44830</v>
      </c>
      <c r="C1218" s="206">
        <v>364.30999800000001</v>
      </c>
      <c r="D1218" s="207">
        <f t="shared" si="36"/>
        <v>-9.892686183687438E-3</v>
      </c>
      <c r="E1218" s="206">
        <v>100.839996</v>
      </c>
      <c r="F1218" s="10">
        <f t="shared" si="37"/>
        <v>-2.7673349027802052E-2</v>
      </c>
    </row>
    <row r="1219" spans="2:6" x14ac:dyDescent="0.25">
      <c r="B1219" s="210">
        <v>44831</v>
      </c>
      <c r="C1219" s="206">
        <v>363.38000499999998</v>
      </c>
      <c r="D1219" s="207">
        <f t="shared" si="36"/>
        <v>-2.5527517913467301E-3</v>
      </c>
      <c r="E1219" s="206">
        <v>98.32</v>
      </c>
      <c r="F1219" s="10">
        <f t="shared" si="37"/>
        <v>-2.499004462475396E-2</v>
      </c>
    </row>
    <row r="1220" spans="2:6" x14ac:dyDescent="0.25">
      <c r="B1220" s="210">
        <v>44832</v>
      </c>
      <c r="C1220" s="206">
        <v>370.52999899999998</v>
      </c>
      <c r="D1220" s="207">
        <f t="shared" si="36"/>
        <v>1.967635505976717E-2</v>
      </c>
      <c r="E1220" s="206">
        <v>99.610000999999997</v>
      </c>
      <c r="F1220" s="10">
        <f t="shared" si="37"/>
        <v>1.3120433279088628E-2</v>
      </c>
    </row>
    <row r="1221" spans="2:6" x14ac:dyDescent="0.25">
      <c r="B1221" s="210">
        <v>44833</v>
      </c>
      <c r="C1221" s="206">
        <v>362.790009</v>
      </c>
      <c r="D1221" s="207">
        <f t="shared" ref="D1221:D1261" si="38">C1221/C1220-1</f>
        <v>-2.0888969910368815E-2</v>
      </c>
      <c r="E1221" s="206">
        <v>95.099997999999999</v>
      </c>
      <c r="F1221" s="10">
        <f t="shared" ref="F1221:F1261" si="39">E1221/E1220-1</f>
        <v>-4.5276608319680611E-2</v>
      </c>
    </row>
    <row r="1222" spans="2:6" x14ac:dyDescent="0.25">
      <c r="B1222" s="210">
        <v>44834</v>
      </c>
      <c r="C1222" s="206">
        <v>357.17999300000002</v>
      </c>
      <c r="D1222" s="207">
        <f t="shared" si="38"/>
        <v>-1.5463534994978212E-2</v>
      </c>
      <c r="E1222" s="206">
        <v>93.019997000000004</v>
      </c>
      <c r="F1222" s="10">
        <f t="shared" si="39"/>
        <v>-2.1871724960498939E-2</v>
      </c>
    </row>
    <row r="1223" spans="2:6" x14ac:dyDescent="0.25">
      <c r="B1223" s="210">
        <v>44837</v>
      </c>
      <c r="C1223" s="206">
        <v>366.60998499999999</v>
      </c>
      <c r="D1223" s="207">
        <f t="shared" si="38"/>
        <v>2.6401232389295481E-2</v>
      </c>
      <c r="E1223" s="206">
        <v>95.330001999999993</v>
      </c>
      <c r="F1223" s="10">
        <f t="shared" si="39"/>
        <v>2.4833423720707959E-2</v>
      </c>
    </row>
    <row r="1224" spans="2:6" x14ac:dyDescent="0.25">
      <c r="B1224" s="210">
        <v>44838</v>
      </c>
      <c r="C1224" s="206">
        <v>377.97000100000002</v>
      </c>
      <c r="D1224" s="207">
        <f t="shared" si="38"/>
        <v>3.0986651932025433E-2</v>
      </c>
      <c r="E1224" s="206">
        <v>97.120002999999997</v>
      </c>
      <c r="F1224" s="10">
        <f t="shared" si="39"/>
        <v>1.8776890406443147E-2</v>
      </c>
    </row>
    <row r="1225" spans="2:6" x14ac:dyDescent="0.25">
      <c r="B1225" s="210">
        <v>44839</v>
      </c>
      <c r="C1225" s="206">
        <v>377.08999599999999</v>
      </c>
      <c r="D1225" s="207">
        <f t="shared" si="38"/>
        <v>-2.3282403303749311E-3</v>
      </c>
      <c r="E1225" s="206">
        <v>94.019997000000004</v>
      </c>
      <c r="F1225" s="10">
        <f t="shared" si="39"/>
        <v>-3.1919335916824387E-2</v>
      </c>
    </row>
    <row r="1226" spans="2:6" x14ac:dyDescent="0.25">
      <c r="B1226" s="210">
        <v>44840</v>
      </c>
      <c r="C1226" s="206">
        <v>373.20001200000002</v>
      </c>
      <c r="D1226" s="207">
        <f t="shared" si="38"/>
        <v>-1.0315797399196858E-2</v>
      </c>
      <c r="E1226" s="206">
        <v>90.769997000000004</v>
      </c>
      <c r="F1226" s="10">
        <f t="shared" si="39"/>
        <v>-3.4567114483103012E-2</v>
      </c>
    </row>
    <row r="1227" spans="2:6" x14ac:dyDescent="0.25">
      <c r="B1227" s="210">
        <v>44841</v>
      </c>
      <c r="C1227" s="206">
        <v>362.790009</v>
      </c>
      <c r="D1227" s="207">
        <f t="shared" si="38"/>
        <v>-2.7893897816916535E-2</v>
      </c>
      <c r="E1227" s="206">
        <v>89.07</v>
      </c>
      <c r="F1227" s="10">
        <f t="shared" si="39"/>
        <v>-1.8728622410332463E-2</v>
      </c>
    </row>
    <row r="1228" spans="2:6" x14ac:dyDescent="0.25">
      <c r="B1228" s="210">
        <v>44844</v>
      </c>
      <c r="C1228" s="206">
        <v>360.01998900000001</v>
      </c>
      <c r="D1228" s="207">
        <f t="shared" si="38"/>
        <v>-7.6353260323659411E-3</v>
      </c>
      <c r="E1228" s="206">
        <v>89.150002000000001</v>
      </c>
      <c r="F1228" s="10">
        <f t="shared" si="39"/>
        <v>8.9819243291811013E-4</v>
      </c>
    </row>
    <row r="1229" spans="2:6" x14ac:dyDescent="0.25">
      <c r="B1229" s="210">
        <v>44845</v>
      </c>
      <c r="C1229" s="206">
        <v>357.73998999999998</v>
      </c>
      <c r="D1229" s="207">
        <f t="shared" si="38"/>
        <v>-6.3329789169013218E-3</v>
      </c>
      <c r="E1229" s="206">
        <v>89.529999000000004</v>
      </c>
      <c r="F1229" s="10">
        <f t="shared" si="39"/>
        <v>4.2624452212576269E-3</v>
      </c>
    </row>
    <row r="1230" spans="2:6" x14ac:dyDescent="0.25">
      <c r="B1230" s="210">
        <v>44846</v>
      </c>
      <c r="C1230" s="206">
        <v>356.55999800000001</v>
      </c>
      <c r="D1230" s="207">
        <f t="shared" si="38"/>
        <v>-3.2984626627846625E-3</v>
      </c>
      <c r="E1230" s="206">
        <v>85.970000999999996</v>
      </c>
      <c r="F1230" s="10">
        <f t="shared" si="39"/>
        <v>-3.9763185968537895E-2</v>
      </c>
    </row>
    <row r="1231" spans="2:6" x14ac:dyDescent="0.25">
      <c r="B1231" s="210">
        <v>44847</v>
      </c>
      <c r="C1231" s="206">
        <v>365.97000100000002</v>
      </c>
      <c r="D1231" s="207">
        <f t="shared" si="38"/>
        <v>2.6391078788372768E-2</v>
      </c>
      <c r="E1231" s="206">
        <v>87.989998</v>
      </c>
      <c r="F1231" s="10">
        <f t="shared" si="39"/>
        <v>2.3496533401226927E-2</v>
      </c>
    </row>
    <row r="1232" spans="2:6" x14ac:dyDescent="0.25">
      <c r="B1232" s="210">
        <v>44848</v>
      </c>
      <c r="C1232" s="206">
        <v>357.63000499999998</v>
      </c>
      <c r="D1232" s="207">
        <f t="shared" si="38"/>
        <v>-2.2788742184362887E-2</v>
      </c>
      <c r="E1232" s="206">
        <v>86.82</v>
      </c>
      <c r="F1232" s="10">
        <f t="shared" si="39"/>
        <v>-1.3296943136650641E-2</v>
      </c>
    </row>
    <row r="1233" spans="2:6" x14ac:dyDescent="0.25">
      <c r="B1233" s="210">
        <v>44851</v>
      </c>
      <c r="C1233" s="206">
        <v>366.82000699999998</v>
      </c>
      <c r="D1233" s="207">
        <f t="shared" si="38"/>
        <v>2.5696954594176091E-2</v>
      </c>
      <c r="E1233" s="206">
        <v>89.099997999999999</v>
      </c>
      <c r="F1233" s="10">
        <f t="shared" si="39"/>
        <v>2.6261207095139349E-2</v>
      </c>
    </row>
    <row r="1234" spans="2:6" x14ac:dyDescent="0.25">
      <c r="B1234" s="210">
        <v>44852</v>
      </c>
      <c r="C1234" s="206">
        <v>371.13000499999998</v>
      </c>
      <c r="D1234" s="207">
        <f t="shared" si="38"/>
        <v>1.1749626295601612E-2</v>
      </c>
      <c r="E1234" s="206">
        <v>90.809997999999993</v>
      </c>
      <c r="F1234" s="10">
        <f t="shared" si="39"/>
        <v>1.919191962271416E-2</v>
      </c>
    </row>
    <row r="1235" spans="2:6" x14ac:dyDescent="0.25">
      <c r="B1235" s="210">
        <v>44853</v>
      </c>
      <c r="C1235" s="206">
        <v>368.5</v>
      </c>
      <c r="D1235" s="207">
        <f t="shared" si="38"/>
        <v>-7.08647903583004E-3</v>
      </c>
      <c r="E1235" s="206">
        <v>89.290001000000004</v>
      </c>
      <c r="F1235" s="10">
        <f t="shared" si="39"/>
        <v>-1.6738212019341669E-2</v>
      </c>
    </row>
    <row r="1236" spans="2:6" x14ac:dyDescent="0.25">
      <c r="B1236" s="210">
        <v>44854</v>
      </c>
      <c r="C1236" s="206">
        <v>365.41000400000001</v>
      </c>
      <c r="D1236" s="207">
        <f t="shared" si="38"/>
        <v>-8.3853351424694189E-3</v>
      </c>
      <c r="E1236" s="206">
        <v>87.230002999999996</v>
      </c>
      <c r="F1236" s="10">
        <f t="shared" si="39"/>
        <v>-2.3070869939849192E-2</v>
      </c>
    </row>
    <row r="1237" spans="2:6" x14ac:dyDescent="0.25">
      <c r="B1237" s="210">
        <v>44855</v>
      </c>
      <c r="C1237" s="206">
        <v>374.290009</v>
      </c>
      <c r="D1237" s="207">
        <f t="shared" si="38"/>
        <v>2.4301482999354196E-2</v>
      </c>
      <c r="E1237" s="206">
        <v>88.459998999999996</v>
      </c>
      <c r="F1237" s="10">
        <f t="shared" si="39"/>
        <v>1.410060710418648E-2</v>
      </c>
    </row>
    <row r="1238" spans="2:6" x14ac:dyDescent="0.25">
      <c r="B1238" s="210">
        <v>44858</v>
      </c>
      <c r="C1238" s="206">
        <v>378.86999500000002</v>
      </c>
      <c r="D1238" s="207">
        <f t="shared" si="38"/>
        <v>1.2236463410381981E-2</v>
      </c>
      <c r="E1238" s="206">
        <v>88.690002000000007</v>
      </c>
      <c r="F1238" s="10">
        <f t="shared" si="39"/>
        <v>2.6000791612037499E-3</v>
      </c>
    </row>
    <row r="1239" spans="2:6" x14ac:dyDescent="0.25">
      <c r="B1239" s="210">
        <v>44859</v>
      </c>
      <c r="C1239" s="206">
        <v>384.92001299999998</v>
      </c>
      <c r="D1239" s="207">
        <f t="shared" si="38"/>
        <v>1.5968585741396479E-2</v>
      </c>
      <c r="E1239" s="206">
        <v>90.239998</v>
      </c>
      <c r="F1239" s="10">
        <f t="shared" si="39"/>
        <v>1.7476558406211318E-2</v>
      </c>
    </row>
    <row r="1240" spans="2:6" x14ac:dyDescent="0.25">
      <c r="B1240" s="210">
        <v>44860</v>
      </c>
      <c r="C1240" s="206">
        <v>382.01998900000001</v>
      </c>
      <c r="D1240" s="207">
        <f t="shared" si="38"/>
        <v>-7.5340951419951008E-3</v>
      </c>
      <c r="E1240" s="206">
        <v>90.809997999999993</v>
      </c>
      <c r="F1240" s="10">
        <f t="shared" si="39"/>
        <v>6.3164895016951661E-3</v>
      </c>
    </row>
    <row r="1241" spans="2:6" x14ac:dyDescent="0.25">
      <c r="B1241" s="210">
        <v>44861</v>
      </c>
      <c r="C1241" s="206">
        <v>379.98001099999999</v>
      </c>
      <c r="D1241" s="207">
        <f t="shared" si="38"/>
        <v>-5.3399771183177958E-3</v>
      </c>
      <c r="E1241" s="206">
        <v>91.040001000000004</v>
      </c>
      <c r="F1241" s="10">
        <f t="shared" si="39"/>
        <v>2.5327938009647166E-3</v>
      </c>
    </row>
    <row r="1242" spans="2:6" x14ac:dyDescent="0.25">
      <c r="B1242" s="210">
        <v>44862</v>
      </c>
      <c r="C1242" s="206">
        <v>389.01998900000001</v>
      </c>
      <c r="D1242" s="207">
        <f t="shared" si="38"/>
        <v>2.3790667241177621E-2</v>
      </c>
      <c r="E1242" s="206">
        <v>94</v>
      </c>
      <c r="F1242" s="10">
        <f t="shared" si="39"/>
        <v>3.2513169678018761E-2</v>
      </c>
    </row>
    <row r="1243" spans="2:6" x14ac:dyDescent="0.25">
      <c r="B1243" s="210">
        <v>44865</v>
      </c>
      <c r="C1243" s="206">
        <v>386.209991</v>
      </c>
      <c r="D1243" s="207">
        <f t="shared" si="38"/>
        <v>-7.2232740719141431E-3</v>
      </c>
      <c r="E1243" s="206">
        <v>93.18</v>
      </c>
      <c r="F1243" s="10">
        <f t="shared" si="39"/>
        <v>-8.7234042553190339E-3</v>
      </c>
    </row>
    <row r="1244" spans="2:6" x14ac:dyDescent="0.25">
      <c r="B1244" s="210">
        <v>44866</v>
      </c>
      <c r="C1244" s="206">
        <v>384.51998900000001</v>
      </c>
      <c r="D1244" s="207">
        <f t="shared" si="38"/>
        <v>-4.3758629745028754E-3</v>
      </c>
      <c r="E1244" s="206">
        <v>93.739998</v>
      </c>
      <c r="F1244" s="10">
        <f t="shared" si="39"/>
        <v>6.0098518995492789E-3</v>
      </c>
    </row>
    <row r="1245" spans="2:6" x14ac:dyDescent="0.25">
      <c r="B1245" s="210">
        <v>44867</v>
      </c>
      <c r="C1245" s="206">
        <v>374.86999500000002</v>
      </c>
      <c r="D1245" s="207">
        <f t="shared" si="38"/>
        <v>-2.5096208977578027E-2</v>
      </c>
      <c r="E1245" s="206">
        <v>92.879997000000003</v>
      </c>
      <c r="F1245" s="10">
        <f t="shared" si="39"/>
        <v>-9.174322790149847E-3</v>
      </c>
    </row>
    <row r="1246" spans="2:6" x14ac:dyDescent="0.25">
      <c r="B1246" s="210">
        <v>44868</v>
      </c>
      <c r="C1246" s="206">
        <v>371.01001000000002</v>
      </c>
      <c r="D1246" s="207">
        <f t="shared" si="38"/>
        <v>-1.0296863049815475E-2</v>
      </c>
      <c r="E1246" s="206">
        <v>93.220000999999996</v>
      </c>
      <c r="F1246" s="10">
        <f t="shared" si="39"/>
        <v>3.6606805661287822E-3</v>
      </c>
    </row>
    <row r="1247" spans="2:6" x14ac:dyDescent="0.25">
      <c r="B1247" s="210">
        <v>44869</v>
      </c>
      <c r="C1247" s="206">
        <v>376.35000600000001</v>
      </c>
      <c r="D1247" s="207">
        <f t="shared" si="38"/>
        <v>1.4393131872641352E-2</v>
      </c>
      <c r="E1247" s="206">
        <v>93.610000999999997</v>
      </c>
      <c r="F1247" s="10">
        <f t="shared" si="39"/>
        <v>4.1836515320354817E-3</v>
      </c>
    </row>
    <row r="1248" spans="2:6" x14ac:dyDescent="0.25">
      <c r="B1248" s="210">
        <v>44872</v>
      </c>
      <c r="C1248" s="206">
        <v>379.95001200000002</v>
      </c>
      <c r="D1248" s="207">
        <f t="shared" si="38"/>
        <v>9.5655797598153125E-3</v>
      </c>
      <c r="E1248" s="206">
        <v>92.230002999999996</v>
      </c>
      <c r="F1248" s="10">
        <f t="shared" si="39"/>
        <v>-1.4741993219292926E-2</v>
      </c>
    </row>
    <row r="1249" spans="2:6" x14ac:dyDescent="0.25">
      <c r="B1249" s="210">
        <v>44873</v>
      </c>
      <c r="C1249" s="206">
        <v>382</v>
      </c>
      <c r="D1249" s="207">
        <f t="shared" si="38"/>
        <v>5.3954150158046499E-3</v>
      </c>
      <c r="E1249" s="206">
        <v>93.199996999999996</v>
      </c>
      <c r="F1249" s="10">
        <f t="shared" si="39"/>
        <v>1.051711990077675E-2</v>
      </c>
    </row>
    <row r="1250" spans="2:6" x14ac:dyDescent="0.25">
      <c r="B1250" s="210">
        <v>44874</v>
      </c>
      <c r="C1250" s="206">
        <v>374.13000499999998</v>
      </c>
      <c r="D1250" s="207">
        <f t="shared" si="38"/>
        <v>-2.0602081151832485E-2</v>
      </c>
      <c r="E1250" s="206">
        <v>93.449996999999996</v>
      </c>
      <c r="F1250" s="10">
        <f t="shared" si="39"/>
        <v>2.6824035198198537E-3</v>
      </c>
    </row>
    <row r="1251" spans="2:6" x14ac:dyDescent="0.25">
      <c r="B1251" s="210">
        <v>44875</v>
      </c>
      <c r="C1251" s="206">
        <v>394.69000199999999</v>
      </c>
      <c r="D1251" s="207">
        <f t="shared" si="38"/>
        <v>5.4954151565576703E-2</v>
      </c>
      <c r="E1251" s="206">
        <v>97.099997999999999</v>
      </c>
      <c r="F1251" s="10">
        <f t="shared" si="39"/>
        <v>3.9058331911985045E-2</v>
      </c>
    </row>
    <row r="1252" spans="2:6" x14ac:dyDescent="0.25">
      <c r="B1252" s="210">
        <v>44876</v>
      </c>
      <c r="C1252" s="206">
        <v>398.51001000000002</v>
      </c>
      <c r="D1252" s="207">
        <f t="shared" si="38"/>
        <v>9.6785020665408616E-3</v>
      </c>
      <c r="E1252" s="206">
        <v>95.169998000000007</v>
      </c>
      <c r="F1252" s="10">
        <f t="shared" si="39"/>
        <v>-1.9876416475312353E-2</v>
      </c>
    </row>
    <row r="1253" spans="2:6" x14ac:dyDescent="0.25">
      <c r="B1253" s="210">
        <v>44879</v>
      </c>
      <c r="C1253" s="206">
        <v>395.11999500000002</v>
      </c>
      <c r="D1253" s="207">
        <f t="shared" si="38"/>
        <v>-8.5067248373510429E-3</v>
      </c>
      <c r="E1253" s="206">
        <v>95.449996999999996</v>
      </c>
      <c r="F1253" s="10">
        <f t="shared" si="39"/>
        <v>2.9420931583921117E-3</v>
      </c>
    </row>
    <row r="1254" spans="2:6" x14ac:dyDescent="0.25">
      <c r="B1254" s="210">
        <v>44880</v>
      </c>
      <c r="C1254" s="206">
        <v>398.48998999999998</v>
      </c>
      <c r="D1254" s="207">
        <f t="shared" si="38"/>
        <v>8.5290419180126253E-3</v>
      </c>
      <c r="E1254" s="206">
        <v>97.129997000000003</v>
      </c>
      <c r="F1254" s="10">
        <f t="shared" si="39"/>
        <v>1.7600838688344833E-2</v>
      </c>
    </row>
    <row r="1255" spans="2:6" x14ac:dyDescent="0.25">
      <c r="B1255" s="210">
        <v>44881</v>
      </c>
      <c r="C1255" s="206">
        <v>395.45001200000002</v>
      </c>
      <c r="D1255" s="207">
        <f t="shared" si="38"/>
        <v>-7.628743698179119E-3</v>
      </c>
      <c r="E1255" s="206">
        <v>97.940002000000007</v>
      </c>
      <c r="F1255" s="10">
        <f t="shared" si="39"/>
        <v>8.3393907651412302E-3</v>
      </c>
    </row>
    <row r="1256" spans="2:6" x14ac:dyDescent="0.25">
      <c r="B1256" s="210">
        <v>44882</v>
      </c>
      <c r="C1256" s="206">
        <v>394.23998999999998</v>
      </c>
      <c r="D1256" s="207">
        <f t="shared" si="38"/>
        <v>-3.0598608250896886E-3</v>
      </c>
      <c r="E1256" s="206">
        <v>95.519997000000004</v>
      </c>
      <c r="F1256" s="10">
        <f t="shared" si="39"/>
        <v>-2.4709056060668644E-2</v>
      </c>
    </row>
    <row r="1257" spans="2:6" x14ac:dyDescent="0.25">
      <c r="B1257" s="210">
        <v>44883</v>
      </c>
      <c r="C1257" s="206">
        <v>396.02999899999998</v>
      </c>
      <c r="D1257" s="207">
        <f t="shared" si="38"/>
        <v>4.5404044374088848E-3</v>
      </c>
      <c r="E1257" s="206">
        <v>96.790001000000004</v>
      </c>
      <c r="F1257" s="10">
        <f t="shared" si="39"/>
        <v>1.3295687184747385E-2</v>
      </c>
    </row>
    <row r="1258" spans="2:6" x14ac:dyDescent="0.25">
      <c r="B1258" s="210">
        <v>44886</v>
      </c>
      <c r="C1258" s="206">
        <v>394.58999599999999</v>
      </c>
      <c r="D1258" s="207">
        <f t="shared" si="38"/>
        <v>-3.6360957595032994E-3</v>
      </c>
      <c r="E1258" s="206">
        <v>97.040001000000004</v>
      </c>
      <c r="F1258" s="10">
        <f t="shared" si="39"/>
        <v>2.582911431109558E-3</v>
      </c>
    </row>
    <row r="1259" spans="2:6" x14ac:dyDescent="0.25">
      <c r="B1259" s="210">
        <v>44887</v>
      </c>
      <c r="C1259" s="206">
        <v>399.89999399999999</v>
      </c>
      <c r="D1259" s="207">
        <f t="shared" si="38"/>
        <v>1.3457001074097086E-2</v>
      </c>
      <c r="E1259" s="206">
        <v>97.68</v>
      </c>
      <c r="F1259" s="10">
        <f t="shared" si="39"/>
        <v>6.5952080936191315E-3</v>
      </c>
    </row>
    <row r="1260" spans="2:6" x14ac:dyDescent="0.25">
      <c r="B1260" s="210">
        <v>44888</v>
      </c>
      <c r="C1260" s="206">
        <v>402.42001299999998</v>
      </c>
      <c r="D1260" s="207">
        <f t="shared" si="38"/>
        <v>6.3016230002743701E-3</v>
      </c>
      <c r="E1260" s="206">
        <v>98.540001000000004</v>
      </c>
      <c r="F1260" s="10">
        <f t="shared" si="39"/>
        <v>8.8042690417691194E-3</v>
      </c>
    </row>
    <row r="1261" spans="2:6" x14ac:dyDescent="0.25">
      <c r="B1261" s="211">
        <v>44890</v>
      </c>
      <c r="C1261" s="209">
        <v>402.32998700000002</v>
      </c>
      <c r="D1261" s="212">
        <f t="shared" si="38"/>
        <v>-2.2371153792488663E-4</v>
      </c>
      <c r="E1261" s="209">
        <v>99.620002999999997</v>
      </c>
      <c r="F1261" s="213">
        <f t="shared" si="39"/>
        <v>1.0960036422163144E-2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2135C-F70E-BE41-B7AB-D1876295E796}">
  <dimension ref="B1:F20"/>
  <sheetViews>
    <sheetView showGridLines="0" zoomScaleNormal="100" workbookViewId="0"/>
  </sheetViews>
  <sheetFormatPr defaultColWidth="10.875" defaultRowHeight="15.75" x14ac:dyDescent="0.25"/>
  <cols>
    <col min="1" max="1" width="3.125" style="1" customWidth="1"/>
    <col min="2" max="2" width="35.625" style="206" customWidth="1"/>
    <col min="3" max="3" width="16.625" style="206" customWidth="1"/>
    <col min="4" max="4" width="14.375" style="1" customWidth="1"/>
    <col min="5" max="5" width="20.125" style="1" bestFit="1" customWidth="1"/>
    <col min="6" max="6" width="15.375" style="1" customWidth="1"/>
    <col min="7" max="16384" width="10.875" style="1"/>
  </cols>
  <sheetData>
    <row r="1" spans="2:6" ht="18.95" customHeight="1" x14ac:dyDescent="0.25"/>
    <row r="2" spans="2:6" s="208" customFormat="1" x14ac:dyDescent="0.25">
      <c r="B2" s="228" t="s">
        <v>240</v>
      </c>
      <c r="C2" s="220"/>
    </row>
    <row r="3" spans="2:6" x14ac:dyDescent="0.25">
      <c r="B3" s="8" t="s">
        <v>237</v>
      </c>
      <c r="C3" s="222">
        <f>F11</f>
        <v>5.8279999999999998E-2</v>
      </c>
    </row>
    <row r="4" spans="2:6" x14ac:dyDescent="0.25">
      <c r="B4" s="8" t="s">
        <v>38</v>
      </c>
      <c r="C4" s="222">
        <f>'Income Statement'!T27</f>
        <v>8.126984126984127E-2</v>
      </c>
      <c r="E4" s="237" t="s">
        <v>251</v>
      </c>
      <c r="F4" s="238">
        <f>'Income Statement'!T16</f>
        <v>2081</v>
      </c>
    </row>
    <row r="5" spans="2:6" x14ac:dyDescent="0.25">
      <c r="B5" s="240" t="s">
        <v>255</v>
      </c>
      <c r="C5" s="241">
        <f>C3*(1-C4)</f>
        <v>5.3543593650793649E-2</v>
      </c>
      <c r="E5" s="8" t="s">
        <v>14</v>
      </c>
      <c r="F5" s="239">
        <f>'Income Statement'!T18</f>
        <v>-621</v>
      </c>
    </row>
    <row r="6" spans="2:6" ht="16.5" thickBot="1" x14ac:dyDescent="0.3">
      <c r="B6" s="221"/>
      <c r="C6" s="9"/>
      <c r="E6" s="248" t="s">
        <v>252</v>
      </c>
      <c r="F6" s="249">
        <f>F4/-F5</f>
        <v>3.3510466988727856</v>
      </c>
    </row>
    <row r="7" spans="2:6" x14ac:dyDescent="0.25">
      <c r="B7" s="8" t="s">
        <v>241</v>
      </c>
      <c r="C7" s="222">
        <f>F10</f>
        <v>3.678E-2</v>
      </c>
    </row>
    <row r="8" spans="2:6" x14ac:dyDescent="0.25">
      <c r="B8" s="8" t="s">
        <v>242</v>
      </c>
      <c r="C8" s="222">
        <v>8.5300000000000001E-2</v>
      </c>
    </row>
    <row r="9" spans="2:6" x14ac:dyDescent="0.25">
      <c r="B9" s="8" t="s">
        <v>243</v>
      </c>
      <c r="C9" s="222">
        <f>C8-C7</f>
        <v>4.8520000000000001E-2</v>
      </c>
      <c r="E9" s="237" t="s">
        <v>253</v>
      </c>
      <c r="F9" s="246">
        <v>2.1499999999999998E-2</v>
      </c>
    </row>
    <row r="10" spans="2:6" x14ac:dyDescent="0.25">
      <c r="B10" s="8" t="s">
        <v>236</v>
      </c>
      <c r="C10" s="245">
        <f>Beta!I6</f>
        <v>0.48380627104751112</v>
      </c>
      <c r="E10" s="8" t="s">
        <v>254</v>
      </c>
      <c r="F10" s="222">
        <v>3.678E-2</v>
      </c>
    </row>
    <row r="11" spans="2:6" ht="16.5" thickBot="1" x14ac:dyDescent="0.3">
      <c r="B11" s="240" t="s">
        <v>244</v>
      </c>
      <c r="C11" s="242">
        <f>C7+C9*C10</f>
        <v>6.0254280271225244E-2</v>
      </c>
      <c r="E11" s="248" t="s">
        <v>255</v>
      </c>
      <c r="F11" s="250">
        <f>F9+F10</f>
        <v>5.8279999999999998E-2</v>
      </c>
    </row>
    <row r="12" spans="2:6" x14ac:dyDescent="0.25">
      <c r="B12" s="221"/>
      <c r="C12" s="9"/>
    </row>
    <row r="13" spans="2:6" x14ac:dyDescent="0.25">
      <c r="B13" s="8" t="s">
        <v>245</v>
      </c>
      <c r="C13" s="223">
        <f>Cover!D9</f>
        <v>76707400000</v>
      </c>
    </row>
    <row r="14" spans="2:6" x14ac:dyDescent="0.25">
      <c r="B14" s="224" t="s">
        <v>246</v>
      </c>
      <c r="C14" s="223">
        <f>'Balance Sheet'!P36*1000000</f>
        <v>60448000000</v>
      </c>
    </row>
    <row r="15" spans="2:6" x14ac:dyDescent="0.25">
      <c r="B15" s="243" t="s">
        <v>247</v>
      </c>
      <c r="C15" s="244">
        <f>C13+C14</f>
        <v>137155400000</v>
      </c>
    </row>
    <row r="16" spans="2:6" x14ac:dyDescent="0.25">
      <c r="B16" s="221"/>
      <c r="C16" s="9"/>
    </row>
    <row r="17" spans="2:3" x14ac:dyDescent="0.25">
      <c r="B17" s="224" t="s">
        <v>248</v>
      </c>
      <c r="C17" s="225">
        <f>C14/C15</f>
        <v>0.44072635856845593</v>
      </c>
    </row>
    <row r="18" spans="2:3" x14ac:dyDescent="0.25">
      <c r="B18" s="224" t="s">
        <v>249</v>
      </c>
      <c r="C18" s="225">
        <f>C13/C15</f>
        <v>0.55927364143154412</v>
      </c>
    </row>
    <row r="19" spans="2:3" x14ac:dyDescent="0.25">
      <c r="B19" s="221"/>
      <c r="C19" s="9"/>
    </row>
    <row r="20" spans="2:3" x14ac:dyDescent="0.25">
      <c r="B20" s="226" t="s">
        <v>250</v>
      </c>
      <c r="C20" s="227">
        <f>C17*C5+C18*C11</f>
        <v>5.7296703793508375E-2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Income Statement</vt:lpstr>
      <vt:lpstr>Revenue Build</vt:lpstr>
      <vt:lpstr>Balance Sheet</vt:lpstr>
      <vt:lpstr>Cash Flow Statement</vt:lpstr>
      <vt:lpstr>CapEx + D&amp;A</vt:lpstr>
      <vt:lpstr>NWC</vt:lpstr>
      <vt:lpstr>Beta</vt:lpstr>
      <vt:lpstr>WACC</vt:lpstr>
      <vt:lpstr>Comps SOTP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Max</cp:lastModifiedBy>
  <dcterms:created xsi:type="dcterms:W3CDTF">2022-10-26T02:22:48Z</dcterms:created>
  <dcterms:modified xsi:type="dcterms:W3CDTF">2022-12-09T04:41:37Z</dcterms:modified>
</cp:coreProperties>
</file>