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xl/comments6.xml" ContentType="application/vnd.openxmlformats-officedocument.spreadsheetml.comments+xml"/>
  <Override PartName="xl/worksheets/xl/commentsmeta1" ContentType="application/binary"/>
  <Override PartName="xl/drawings/vmlDrawing6.vml" ContentType="application/vnd.openxmlformats-officedocument.vmlDrawing"/>
  <Override PartName="xl/commentsmeta1" ContentType="application/binary"/>
  <Override PartName="xl/commentsmeta2" ContentType="application/binary"/>
  <Override PartName="xl/commentsmeta3" ContentType="application/binary"/>
  <Override PartName="xl/comments7.xml" ContentType="application/vnd.openxmlformats-officedocument.spreadsheetml.comments+xml"/>
  <Override PartName="xl/worksheets/xl/commentsmeta2" ContentType="application/binary"/>
  <Override PartName="xl/drawings/vmlDrawing7.vml" ContentType="application/vnd.openxmlformats-officedocument.vmlDrawing"/>
  <Override PartName="xl/comments8.xml" ContentType="application/vnd.openxmlformats-officedocument.spreadsheetml.comments+xml"/>
  <Override PartName="xl/worksheets/xl/commentsmeta3" ContentType="application/binary"/>
  <Override PartName="xl/drawings/vmlDrawing8.vml" ContentType="application/vnd.openxmlformats-officedocument.vmlDrawing"/>
  <Override PartName="xl/comments9.xml" ContentType="application/vnd.openxmlformats-officedocument.spreadsheetml.comments+xml"/>
  <Override PartName="xl/worksheets/xl/commentsmeta4" ContentType="application/binary"/>
  <Override PartName="xl/drawings/vmlDrawing9.vml" ContentType="application/vnd.openxmlformats-officedocument.vmlDrawing"/>
  <Override PartName="xl/comments10.xml" ContentType="application/vnd.openxmlformats-officedocument.spreadsheetml.comments+xml"/>
  <Override PartName="xl/worksheets/xl/commentsmeta5" ContentType="application/binary"/>
  <Override PartName="xl/drawings/vmlDrawing10.vml" ContentType="application/vnd.openxmlformats-officedocument.vmlDrawing"/>
  <Override PartName="xl/comments11.xml" ContentType="application/vnd.openxmlformats-officedocument.spreadsheetml.comments+xml"/>
  <Override PartName="xl/worksheets/xl/commentsmeta6" ContentType="application/binary"/>
  <Override PartName="xl/drawings/vmlDrawing11.vml" ContentType="application/vnd.openxmlformats-officedocument.vmlDrawing"/>
  <Override PartName="xl/comments12.xml" ContentType="application/vnd.openxmlformats-officedocument.spreadsheetml.comments+xml"/>
  <Override PartName="xl/worksheets/xl/commentsmeta7" ContentType="application/binary"/>
  <Override PartName="xl/drawings/vmlDrawing12.vml" ContentType="application/vnd.openxmlformats-officedocument.vmlDrawing"/>
  <Override PartName="xl/comments13.xml" ContentType="application/vnd.openxmlformats-officedocument.spreadsheetml.comments+xml"/>
  <Override PartName="xl/worksheets/xl/commentsmeta8" ContentType="application/binary"/>
  <Override PartName="xl/drawings/vmlDrawing13.vml" ContentType="application/vnd.openxmlformats-officedocument.vmlDrawing"/>
  <Override PartName="xl/comments14.xml" ContentType="application/vnd.openxmlformats-officedocument.spreadsheetml.comments+xml"/>
  <Override PartName="xl/worksheets/xl/commentsmeta9" ContentType="application/binary"/>
  <Override PartName="xl/drawings/vmlDrawing14.vml" ContentType="application/vnd.openxmlformats-officedocument.vmlDrawing"/>
  <Override PartName="xl/comments15.xml" ContentType="application/vnd.openxmlformats-officedocument.spreadsheetml.comments+xml"/>
  <Override PartName="xl/worksheets/xl/commentsmeta10" ContentType="application/binary"/>
  <Override PartName="xl/drawings/vmlDrawing15.vml" ContentType="application/vnd.openxmlformats-officedocument.vmlDrawing"/>
  <Override PartName="xl/comments16.xml" ContentType="application/vnd.openxmlformats-officedocument.spreadsheetml.comments+xml"/>
  <Override PartName="xl/worksheets/xl/commentsmeta11" ContentType="application/binary"/>
  <Override PartName="xl/drawings/vmlDrawing16.vml" ContentType="application/vnd.openxmlformats-officedocument.vmlDrawing"/>
  <Override PartName="xl/comments17.xml" ContentType="application/vnd.openxmlformats-officedocument.spreadsheetml.comments+xml"/>
  <Override PartName="xl/worksheets/xl/commentsmeta12" ContentType="application/binary"/>
  <Override PartName="xl/drawings/vmlDrawing17.vml" ContentType="application/vnd.openxmlformats-officedocument.vmlDrawing"/>
  <Override PartName="xl/comments18.xml" ContentType="application/vnd.openxmlformats-officedocument.spreadsheetml.comments+xml"/>
  <Override PartName="xl/worksheets/xl/commentsmeta13" ContentType="application/binary"/>
  <Override PartName="xl/drawings/vmlDrawing18.vml" ContentType="application/vnd.openxmlformats-officedocument.vmlDrawing"/>
  <Override PartName="xl/comments19.xml" ContentType="application/vnd.openxmlformats-officedocument.spreadsheetml.comments+xml"/>
  <Override PartName="xl/worksheets/xl/commentsmeta14" ContentType="application/binary"/>
  <Override PartName="xl/drawings/vmlDrawing19.vml" ContentType="application/vnd.openxmlformats-officedocument.vmlDrawing"/>
  <Override PartName="xl/commentsmeta4" ContentType="application/binary"/>
  <Override PartName="xl/comments20.xml" ContentType="application/vnd.openxmlformats-officedocument.spreadsheetml.comments+xml"/>
  <Override PartName="xl/worksheets/xl/commentsmeta15" ContentType="application/binary"/>
  <Override PartName="xl/drawings/vmlDrawing20.vml" ContentType="application/vnd.openxmlformats-officedocument.vmlDrawing"/>
  <Override PartName="xl/commentsmeta5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lowestEdited="7" appName="xl" rupBuild="20385" lastEdited="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sansiv1\Documents\"/>
    </mc:Choice>
  </mc:AlternateContent>
  <xr:revisionPtr revIDLastSave="0" xr10:uidLastSave="{00000000-0000-0000-0000-000000000000}" documentId="8_{2BE8D17C-62D9-4778-8C4D-6CFE1EE78707}" xr6:coauthVersionLast="36" xr6:coauthVersionMax="36"/>
  <bookViews>
    <workbookView xWindow="-105" windowHeight="10305" yWindow="-105" windowWidth="19425" xr2:uid="{47575760-7A5F-41BB-BF34-4425778D6D37}"/>
  </bookViews>
  <sheets>
    <sheet name="Cover" sheetId="6" r:id="rId1"/>
    <sheet name="Bull" sheetId="24" r:id="rId2"/>
    <sheet name="Base" sheetId="25" r:id="rId3"/>
    <sheet name="Bear" sheetId="26" r:id="rId4"/>
    <sheet name="COMPS" sheetId="8" r:id="rId5"/>
    <sheet name="Football Field" sheetId="14" r:id="rId6"/>
    <sheet name="WACC" sheetId="13" r:id="rId7"/>
    <sheet name="Liquidity Position" sheetId="27" r:id="rId8"/>
    <sheet name="TTF and brentForward Curve" sheetId="23" r:id="rId9"/>
    <sheet name="Balance Sheet" sheetId="2" r:id="rId10"/>
    <sheet name="Income Statment" sheetId="1" r:id="rId11"/>
    <sheet name="Cash Flows" sheetId="3" r:id="rId12"/>
    <sheet name="Shipping Spot" sheetId="30" r:id="rId13"/>
    <sheet name="Natural Gas Prices" sheetId="29" r:id="rId14"/>
    <sheet name="Analyst Ratings" sheetId="9" r:id="rId15"/>
    <sheet name="Supporting figures" sheetId="18" r:id="rId16"/>
    <sheet name="EIA outlook" sheetId="31" r:id="rId17"/>
    <sheet name="Projection" sheetId="15" r:id="rId18" state="hidden"/>
    <sheet name="D&amp;A &amp; CapEx" sheetId="22" r:id="rId19" state="hidden"/>
    <sheet name="DCFs" sheetId="28" r:id="rId20" state="hidden"/>
  </sheets>
  <externalReferences>
    <externalReference r:id="rId21"/>
  </externalReferences>
  <calcPr calcId="191028"/>
  <extLst>
    <ext xmlns:x15="http://schemas.microsoft.com/office/spreadsheetml/2010/11/main" uri="{140A7094-0E35-4892-8432-C4D2E57EDEB5}">
      <x15:workbookPr chartTrackingRefBase="1"/>
    </ext>
    <ext uri="GoogleSheetsCustomDataVersion1">
      <go:sheetsCustomData xmlns:go="http://customooxmlschemas.google.com/" roundtripDataSignature="AMtx7mhwByf0CCt3RWVMEgnzEEfU86Oy8g==" r:id="rId29"/>
    </ext>
  </extLst>
</workbook>
</file>

<file path=xl/calcChain.xml><?xml version="1.0" encoding="utf-8"?>
<calcChain xmlns="http://schemas.openxmlformats.org/spreadsheetml/2006/main">
  <c r="C161" i="25" l="1"/>
  <c r="D161" i="25"/>
  <c r="AD150" i="28"/>
  <c r="AD149" i="28"/>
  <c r="AD182" i="28"/>
  <c r="AD181" i="28"/>
  <c r="AD214" i="28"/>
  <c r="AD213" i="28"/>
  <c r="C15" i="13"/>
  <c r="C13" i="13"/>
  <c r="L7" i="8"/>
  <c r="I179" i="24"/>
  <c r="F184" i="24"/>
  <c r="I183" i="24"/>
  <c r="F183" i="24"/>
  <c r="I182" i="24"/>
  <c r="F182" i="24"/>
  <c r="I181" i="24"/>
  <c r="F181" i="24"/>
  <c r="I180" i="24"/>
  <c r="F180" i="24"/>
  <c r="F179" i="24"/>
  <c r="C184" i="24"/>
  <c r="C183" i="24"/>
  <c r="C182" i="24"/>
  <c r="C181" i="24"/>
  <c r="C180" i="24"/>
  <c r="C179" i="24"/>
  <c r="C178" i="24"/>
  <c r="B185" i="24"/>
  <c r="B184" i="24"/>
  <c r="B183" i="24"/>
  <c r="B182" i="24"/>
  <c r="B181" i="24"/>
  <c r="B180" i="24"/>
  <c r="B179" i="24"/>
  <c r="B178" i="24"/>
  <c r="B177" i="24"/>
  <c r="B176" i="24"/>
  <c r="I194" i="26"/>
  <c r="I193" i="26"/>
  <c r="I192" i="26"/>
  <c r="I191" i="26"/>
  <c r="I190" i="26"/>
  <c r="F195" i="26"/>
  <c r="F194" i="26"/>
  <c r="F193" i="26"/>
  <c r="F192" i="26"/>
  <c r="F191" i="26"/>
  <c r="F190" i="26"/>
  <c r="C195" i="26"/>
  <c r="AH70" i="18"/>
  <c r="AG70" i="18"/>
  <c r="AF70" i="18"/>
  <c r="AE70" i="18"/>
  <c r="AD70" i="18"/>
  <c r="V67" i="18"/>
  <c r="W67" i="18" s="1"/>
  <c r="X67" i="18" s="1"/>
  <c r="Y67" i="18" s="1"/>
  <c r="Z67" i="18" s="1"/>
  <c r="AA67" i="18" s="1"/>
  <c r="AB67" i="18" s="1"/>
  <c r="AC67" i="18" s="1"/>
  <c r="AD67" i="18" s="1"/>
  <c r="AE67" i="18" s="1"/>
  <c r="AF67" i="18" s="1"/>
  <c r="AG67" i="18" s="1"/>
  <c r="AH67" i="18" s="1"/>
  <c r="C194" i="26"/>
  <c r="C193" i="26"/>
  <c r="C192" i="26"/>
  <c r="C191" i="26"/>
  <c r="C190" i="26"/>
  <c r="C189" i="26"/>
  <c r="B195" i="26"/>
  <c r="B194" i="26"/>
  <c r="B193" i="26"/>
  <c r="B192" i="26"/>
  <c r="B191" i="26"/>
  <c r="B190" i="26"/>
  <c r="B189" i="26"/>
  <c r="B188" i="26"/>
  <c r="B187" i="26"/>
  <c r="B186" i="26"/>
  <c r="C11" i="13"/>
  <c r="G20" i="13"/>
  <c r="G22" i="13"/>
  <c r="F183" i="25"/>
  <c r="F182" i="25"/>
  <c r="F181" i="25"/>
  <c r="F180" i="25"/>
  <c r="F179" i="25"/>
  <c r="F178" i="25"/>
  <c r="B176" i="25"/>
  <c r="B175" i="25"/>
  <c r="B184" i="25"/>
  <c r="B183" i="25"/>
  <c r="B182" i="25"/>
  <c r="B181" i="25"/>
  <c r="B180" i="25"/>
  <c r="B179" i="25"/>
  <c r="B178" i="25"/>
  <c r="B177" i="25"/>
  <c r="C150" i="25"/>
  <c r="AF27" i="31" l="1"/>
  <c r="AE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AH31" i="31"/>
  <c r="AH30" i="31"/>
  <c r="AH29" i="31"/>
  <c r="AH28" i="31"/>
  <c r="AF32" i="31"/>
  <c r="AE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AF15" i="31"/>
  <c r="AE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23" i="18"/>
  <c r="N123" i="18"/>
  <c r="M123" i="18"/>
  <c r="O122" i="18"/>
  <c r="N122" i="18"/>
  <c r="M122" i="18"/>
  <c r="O121" i="18"/>
  <c r="N121" i="18"/>
  <c r="M121" i="18"/>
  <c r="O120" i="18"/>
  <c r="N120" i="18"/>
  <c r="M120" i="18"/>
  <c r="O119" i="18"/>
  <c r="N119" i="18"/>
  <c r="M119" i="18"/>
  <c r="O118" i="18"/>
  <c r="N118" i="18"/>
  <c r="M118" i="18"/>
  <c r="K123" i="18"/>
  <c r="K122" i="18"/>
  <c r="K121" i="18"/>
  <c r="K120" i="18"/>
  <c r="K119" i="18"/>
  <c r="K118" i="18"/>
  <c r="AH32" i="31" l="1"/>
  <c r="AF40" i="31"/>
  <c r="C18" i="13"/>
  <c r="G106" i="18" l="1"/>
  <c r="F27" i="26"/>
  <c r="E27" i="26"/>
  <c r="D27" i="26"/>
  <c r="C27" i="26"/>
  <c r="AD98" i="24"/>
  <c r="AC98" i="24"/>
  <c r="AB98" i="24"/>
  <c r="AA98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AD97" i="25"/>
  <c r="AC97" i="25"/>
  <c r="AB97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G28" i="24"/>
  <c r="H28" i="24" s="1"/>
  <c r="I28" i="24" s="1"/>
  <c r="J28" i="24" s="1"/>
  <c r="K28" i="24" s="1"/>
  <c r="L28" i="24" s="1"/>
  <c r="M28" i="24" s="1"/>
  <c r="N28" i="24" s="1"/>
  <c r="O28" i="24" s="1"/>
  <c r="P28" i="24" s="1"/>
  <c r="Q28" i="24" s="1"/>
  <c r="R28" i="24" s="1"/>
  <c r="S28" i="24" s="1"/>
  <c r="T28" i="24" s="1"/>
  <c r="U28" i="24" s="1"/>
  <c r="V28" i="24" s="1"/>
  <c r="W28" i="24" s="1"/>
  <c r="X28" i="24" s="1"/>
  <c r="Y28" i="24" s="1"/>
  <c r="Z28" i="24" s="1"/>
  <c r="K28" i="26"/>
  <c r="G27" i="25"/>
  <c r="H27" i="25" s="1"/>
  <c r="I27" i="25" s="1"/>
  <c r="J27" i="25" s="1"/>
  <c r="K27" i="25" s="1"/>
  <c r="L27" i="25" s="1"/>
  <c r="M27" i="25" s="1"/>
  <c r="N27" i="25" s="1"/>
  <c r="O27" i="25" s="1"/>
  <c r="P27" i="25" s="1"/>
  <c r="Q27" i="25" s="1"/>
  <c r="R27" i="25" s="1"/>
  <c r="S27" i="25" s="1"/>
  <c r="T27" i="25" s="1"/>
  <c r="U27" i="25" s="1"/>
  <c r="L66" i="18" l="1"/>
  <c r="D58" i="18"/>
  <c r="D59" i="18" s="1"/>
  <c r="D60" i="18" s="1"/>
  <c r="D61" i="18" s="1"/>
  <c r="D62" i="18" s="1"/>
  <c r="D63" i="18" s="1"/>
  <c r="D35" i="18"/>
  <c r="E35" i="18" s="1"/>
  <c r="F35" i="18" s="1"/>
  <c r="G35" i="18" s="1"/>
  <c r="H35" i="18" s="1"/>
  <c r="Z8" i="23"/>
  <c r="J16" i="25" s="1"/>
  <c r="Z7" i="23"/>
  <c r="I16" i="25" s="1"/>
  <c r="Z6" i="23"/>
  <c r="H16" i="25" s="1"/>
  <c r="Z5" i="23"/>
  <c r="G16" i="25" s="1"/>
  <c r="Z4" i="23"/>
  <c r="F16" i="25" s="1"/>
  <c r="C169" i="24"/>
  <c r="C28" i="14" l="1"/>
  <c r="J33" i="29"/>
  <c r="J34" i="29"/>
  <c r="J35" i="29"/>
  <c r="J32" i="29"/>
  <c r="J36" i="29"/>
  <c r="J31" i="29"/>
  <c r="J30" i="29"/>
  <c r="C180" i="26" l="1"/>
  <c r="E6" i="14"/>
  <c r="C6" i="14"/>
  <c r="E8" i="14"/>
  <c r="C8" i="14"/>
  <c r="E5" i="14"/>
  <c r="C5" i="14"/>
  <c r="AD191" i="28"/>
  <c r="D221" i="28"/>
  <c r="E221" i="28" s="1"/>
  <c r="F221" i="28" s="1"/>
  <c r="G221" i="28" s="1"/>
  <c r="H221" i="28" s="1"/>
  <c r="I221" i="28" s="1"/>
  <c r="J221" i="28" s="1"/>
  <c r="K221" i="28" s="1"/>
  <c r="L221" i="28" s="1"/>
  <c r="M221" i="28" s="1"/>
  <c r="N221" i="28" s="1"/>
  <c r="O221" i="28" s="1"/>
  <c r="P221" i="28" s="1"/>
  <c r="Q221" i="28" s="1"/>
  <c r="R221" i="28" s="1"/>
  <c r="S221" i="28" s="1"/>
  <c r="T221" i="28" s="1"/>
  <c r="U221" i="28" s="1"/>
  <c r="V221" i="28" s="1"/>
  <c r="W221" i="28" s="1"/>
  <c r="X221" i="28" s="1"/>
  <c r="Y221" i="28" s="1"/>
  <c r="Z221" i="28" s="1"/>
  <c r="AA221" i="28" s="1"/>
  <c r="Z147" i="28"/>
  <c r="AA147" i="28"/>
  <c r="Z148" i="28"/>
  <c r="AA148" i="28"/>
  <c r="Z149" i="28"/>
  <c r="AA149" i="28"/>
  <c r="Z150" i="28"/>
  <c r="AA150" i="28"/>
  <c r="Z152" i="28"/>
  <c r="AA152" i="28"/>
  <c r="Z153" i="28"/>
  <c r="W213" i="28" s="1"/>
  <c r="AA153" i="28"/>
  <c r="Z154" i="28"/>
  <c r="AA154" i="28"/>
  <c r="X214" i="28" s="1"/>
  <c r="Z155" i="28"/>
  <c r="Z179" i="28"/>
  <c r="AA179" i="28"/>
  <c r="Z180" i="28"/>
  <c r="AA180" i="28"/>
  <c r="Z181" i="28"/>
  <c r="AA181" i="28"/>
  <c r="Z182" i="28"/>
  <c r="AA182" i="28"/>
  <c r="J183" i="28"/>
  <c r="K183" i="28"/>
  <c r="L183" i="28"/>
  <c r="Z184" i="28"/>
  <c r="AA184" i="28"/>
  <c r="M185" i="28"/>
  <c r="N185" i="28"/>
  <c r="O185" i="28"/>
  <c r="P185" i="28"/>
  <c r="Q185" i="28"/>
  <c r="R185" i="28"/>
  <c r="S185" i="28"/>
  <c r="T185" i="28"/>
  <c r="U185" i="28"/>
  <c r="V185" i="28"/>
  <c r="W185" i="28"/>
  <c r="X185" i="28"/>
  <c r="Y185" i="28"/>
  <c r="Z185" i="28"/>
  <c r="AA185" i="28"/>
  <c r="Z186" i="28"/>
  <c r="AA186" i="28"/>
  <c r="J188" i="28"/>
  <c r="K188" i="28"/>
  <c r="L188" i="28"/>
  <c r="J190" i="28"/>
  <c r="K190" i="28"/>
  <c r="L190" i="28"/>
  <c r="W211" i="28"/>
  <c r="X211" i="28"/>
  <c r="Y211" i="28"/>
  <c r="Z211" i="28"/>
  <c r="AA211" i="28"/>
  <c r="M212" i="28"/>
  <c r="N212" i="28"/>
  <c r="O212" i="28"/>
  <c r="P212" i="28"/>
  <c r="Q212" i="28"/>
  <c r="R212" i="28"/>
  <c r="S212" i="28"/>
  <c r="T212" i="28"/>
  <c r="U212" i="28"/>
  <c r="V212" i="28"/>
  <c r="W212" i="28"/>
  <c r="X212" i="28"/>
  <c r="Y212" i="28"/>
  <c r="Z212" i="28"/>
  <c r="AA212" i="28"/>
  <c r="X213" i="28"/>
  <c r="Y213" i="28"/>
  <c r="Z213" i="28"/>
  <c r="AA213" i="28"/>
  <c r="W214" i="28"/>
  <c r="Y214" i="28"/>
  <c r="Z214" i="28"/>
  <c r="AA214" i="28"/>
  <c r="Y216" i="28"/>
  <c r="Z216" i="28"/>
  <c r="AA216" i="28"/>
  <c r="M217" i="28"/>
  <c r="N217" i="28"/>
  <c r="O217" i="28"/>
  <c r="P217" i="28"/>
  <c r="Q217" i="28"/>
  <c r="R217" i="28"/>
  <c r="S217" i="28"/>
  <c r="T217" i="28"/>
  <c r="U217" i="28"/>
  <c r="V217" i="28"/>
  <c r="W217" i="28"/>
  <c r="X217" i="28"/>
  <c r="Y217" i="28"/>
  <c r="Z217" i="28"/>
  <c r="AA217" i="28"/>
  <c r="Y218" i="28"/>
  <c r="Z218" i="28"/>
  <c r="AA218" i="28"/>
  <c r="Y219" i="28"/>
  <c r="Z219" i="28"/>
  <c r="M65" i="28"/>
  <c r="N65" i="28"/>
  <c r="O65" i="28"/>
  <c r="P65" i="28"/>
  <c r="Q65" i="28"/>
  <c r="R65" i="28"/>
  <c r="S65" i="28"/>
  <c r="T65" i="28"/>
  <c r="U65" i="28"/>
  <c r="V65" i="28"/>
  <c r="W65" i="28"/>
  <c r="X65" i="28"/>
  <c r="Y65" i="28"/>
  <c r="Z65" i="28"/>
  <c r="AA65" i="28"/>
  <c r="AB65" i="28"/>
  <c r="AB86" i="28"/>
  <c r="AB91" i="28" s="1"/>
  <c r="Y152" i="28" s="1"/>
  <c r="AB93" i="28"/>
  <c r="Y154" i="28" s="1"/>
  <c r="V214" i="28" s="1"/>
  <c r="K7" i="28"/>
  <c r="K29" i="28" s="1"/>
  <c r="K65" i="28"/>
  <c r="L65" i="28"/>
  <c r="AA219" i="28" l="1"/>
  <c r="AA187" i="28"/>
  <c r="Z187" i="28"/>
  <c r="AA155" i="28"/>
  <c r="W216" i="28"/>
  <c r="K31" i="28"/>
  <c r="K10" i="28"/>
  <c r="D33" i="14"/>
  <c r="D17" i="14"/>
  <c r="X216" i="28" l="1"/>
  <c r="K36" i="28"/>
  <c r="D6" i="14"/>
  <c r="D8" i="14"/>
  <c r="D5" i="14"/>
  <c r="D16" i="14"/>
  <c r="I190" i="28" l="1"/>
  <c r="H190" i="28"/>
  <c r="G190" i="28"/>
  <c r="F190" i="28"/>
  <c r="E190" i="28"/>
  <c r="D190" i="28"/>
  <c r="C190" i="28"/>
  <c r="C189" i="28"/>
  <c r="I188" i="28"/>
  <c r="H188" i="28"/>
  <c r="G188" i="28"/>
  <c r="F188" i="28"/>
  <c r="E188" i="28"/>
  <c r="D188" i="28"/>
  <c r="C188" i="28"/>
  <c r="I183" i="28"/>
  <c r="H183" i="28"/>
  <c r="G183" i="28"/>
  <c r="F183" i="28"/>
  <c r="E183" i="28"/>
  <c r="D183" i="28"/>
  <c r="C183" i="28"/>
  <c r="AD223" i="28"/>
  <c r="AD219" i="28"/>
  <c r="D208" i="28"/>
  <c r="E208" i="28" s="1"/>
  <c r="F208" i="28" s="1"/>
  <c r="G208" i="28" s="1"/>
  <c r="H208" i="28" s="1"/>
  <c r="I208" i="28" s="1"/>
  <c r="J208" i="28" s="1"/>
  <c r="K208" i="28" s="1"/>
  <c r="L208" i="28" s="1"/>
  <c r="M208" i="28" s="1"/>
  <c r="N208" i="28" s="1"/>
  <c r="O208" i="28" s="1"/>
  <c r="P208" i="28" s="1"/>
  <c r="Q208" i="28" s="1"/>
  <c r="R208" i="28" s="1"/>
  <c r="S208" i="28" s="1"/>
  <c r="T208" i="28" s="1"/>
  <c r="U208" i="28" s="1"/>
  <c r="V208" i="28" s="1"/>
  <c r="W208" i="28" s="1"/>
  <c r="X208" i="28" s="1"/>
  <c r="Y208" i="28" s="1"/>
  <c r="Z208" i="28" s="1"/>
  <c r="AA208" i="28" s="1"/>
  <c r="AD187" i="28"/>
  <c r="D176" i="28"/>
  <c r="E176" i="28" s="1"/>
  <c r="F176" i="28" s="1"/>
  <c r="G176" i="28" s="1"/>
  <c r="H176" i="28" s="1"/>
  <c r="I176" i="28" s="1"/>
  <c r="J176" i="28" s="1"/>
  <c r="K176" i="28" s="1"/>
  <c r="L176" i="28" s="1"/>
  <c r="M176" i="28" s="1"/>
  <c r="N176" i="28" s="1"/>
  <c r="O176" i="28" s="1"/>
  <c r="P176" i="28" s="1"/>
  <c r="Q176" i="28" s="1"/>
  <c r="R176" i="28" s="1"/>
  <c r="S176" i="28" s="1"/>
  <c r="T176" i="28" s="1"/>
  <c r="U176" i="28" s="1"/>
  <c r="V176" i="28" s="1"/>
  <c r="W176" i="28" s="1"/>
  <c r="X176" i="28" s="1"/>
  <c r="Y176" i="28" s="1"/>
  <c r="Z176" i="28" s="1"/>
  <c r="AA176" i="28" s="1"/>
  <c r="AD159" i="28"/>
  <c r="AD155" i="28"/>
  <c r="C182" i="26"/>
  <c r="C183" i="26"/>
  <c r="C177" i="26"/>
  <c r="E139" i="26"/>
  <c r="G119" i="26"/>
  <c r="H119" i="26" s="1"/>
  <c r="I119" i="26" s="1"/>
  <c r="J119" i="26" s="1"/>
  <c r="K119" i="26" s="1"/>
  <c r="L119" i="26" s="1"/>
  <c r="M119" i="26" s="1"/>
  <c r="N119" i="26" s="1"/>
  <c r="O119" i="26" s="1"/>
  <c r="P119" i="26" s="1"/>
  <c r="Q119" i="26" s="1"/>
  <c r="R119" i="26" s="1"/>
  <c r="S119" i="26" s="1"/>
  <c r="T119" i="26" s="1"/>
  <c r="U119" i="26" s="1"/>
  <c r="V119" i="26" s="1"/>
  <c r="W119" i="26" s="1"/>
  <c r="X119" i="26" s="1"/>
  <c r="Y119" i="26" s="1"/>
  <c r="Z119" i="26" s="1"/>
  <c r="AA119" i="26" s="1"/>
  <c r="C171" i="25"/>
  <c r="C170" i="25"/>
  <c r="C168" i="25"/>
  <c r="C165" i="25"/>
  <c r="E139" i="25"/>
  <c r="G119" i="25"/>
  <c r="H119" i="25" s="1"/>
  <c r="I119" i="25" s="1"/>
  <c r="J119" i="25" s="1"/>
  <c r="K119" i="25" s="1"/>
  <c r="L119" i="25" s="1"/>
  <c r="M119" i="25" s="1"/>
  <c r="N119" i="25" s="1"/>
  <c r="O119" i="25" s="1"/>
  <c r="P119" i="25" s="1"/>
  <c r="Q119" i="25" s="1"/>
  <c r="R119" i="25" s="1"/>
  <c r="S119" i="25" s="1"/>
  <c r="T119" i="25" s="1"/>
  <c r="U119" i="25" s="1"/>
  <c r="V119" i="25" s="1"/>
  <c r="W119" i="25" s="1"/>
  <c r="X119" i="25" s="1"/>
  <c r="Y119" i="25" s="1"/>
  <c r="Z119" i="25" s="1"/>
  <c r="AA119" i="25" s="1"/>
  <c r="AB119" i="25" s="1"/>
  <c r="AC119" i="25" s="1"/>
  <c r="AD119" i="25" s="1"/>
  <c r="AE119" i="25" s="1"/>
  <c r="C172" i="24"/>
  <c r="C171" i="24"/>
  <c r="C166" i="24"/>
  <c r="E9" i="27"/>
  <c r="E8" i="27"/>
  <c r="D157" i="28"/>
  <c r="E157" i="28" s="1"/>
  <c r="F157" i="28" s="1"/>
  <c r="G157" i="28" s="1"/>
  <c r="H157" i="28" s="1"/>
  <c r="I157" i="28" s="1"/>
  <c r="J157" i="28" s="1"/>
  <c r="K157" i="28" s="1"/>
  <c r="L157" i="28" s="1"/>
  <c r="M157" i="28" s="1"/>
  <c r="N157" i="28" s="1"/>
  <c r="O157" i="28" s="1"/>
  <c r="P157" i="28" s="1"/>
  <c r="D144" i="28"/>
  <c r="E144" i="28" s="1"/>
  <c r="F144" i="28" s="1"/>
  <c r="G144" i="28" s="1"/>
  <c r="H144" i="28" s="1"/>
  <c r="I144" i="28" s="1"/>
  <c r="J144" i="28" s="1"/>
  <c r="K144" i="28" s="1"/>
  <c r="L144" i="28" s="1"/>
  <c r="M144" i="28" s="1"/>
  <c r="N144" i="28" s="1"/>
  <c r="O144" i="28" s="1"/>
  <c r="P144" i="28" s="1"/>
  <c r="Q144" i="28" s="1"/>
  <c r="R144" i="28" s="1"/>
  <c r="S144" i="28" s="1"/>
  <c r="T144" i="28" s="1"/>
  <c r="U144" i="28" s="1"/>
  <c r="V144" i="28" s="1"/>
  <c r="W144" i="28" s="1"/>
  <c r="X144" i="28" s="1"/>
  <c r="Y144" i="28" s="1"/>
  <c r="Z144" i="28" s="1"/>
  <c r="AA144" i="28" s="1"/>
  <c r="E139" i="28"/>
  <c r="G119" i="28"/>
  <c r="H119" i="28" s="1"/>
  <c r="I119" i="28" s="1"/>
  <c r="J119" i="28" s="1"/>
  <c r="D112" i="28"/>
  <c r="E112" i="28" s="1"/>
  <c r="F112" i="28" s="1"/>
  <c r="G112" i="28" s="1"/>
  <c r="H112" i="28" s="1"/>
  <c r="I112" i="28" s="1"/>
  <c r="J112" i="28" s="1"/>
  <c r="B111" i="28"/>
  <c r="J100" i="28"/>
  <c r="I100" i="28"/>
  <c r="H100" i="28"/>
  <c r="G100" i="28"/>
  <c r="G95" i="28"/>
  <c r="H95" i="28" s="1"/>
  <c r="I95" i="28" s="1"/>
  <c r="J95" i="28" s="1"/>
  <c r="G62" i="28"/>
  <c r="H62" i="28" s="1"/>
  <c r="I62" i="28" s="1"/>
  <c r="J62" i="28" s="1"/>
  <c r="G41" i="28"/>
  <c r="H41" i="28" s="1"/>
  <c r="I41" i="28" s="1"/>
  <c r="J41" i="28" s="1"/>
  <c r="D32" i="28"/>
  <c r="C32" i="28"/>
  <c r="D30" i="28"/>
  <c r="C30" i="28"/>
  <c r="J24" i="28"/>
  <c r="J26" i="28" s="1"/>
  <c r="I24" i="28"/>
  <c r="I26" i="28" s="1"/>
  <c r="H24" i="28"/>
  <c r="H26" i="28" s="1"/>
  <c r="J19" i="28"/>
  <c r="I19" i="28"/>
  <c r="H19" i="28"/>
  <c r="G19" i="28"/>
  <c r="F19" i="28"/>
  <c r="J18" i="28"/>
  <c r="I18" i="28"/>
  <c r="H18" i="28"/>
  <c r="G18" i="28"/>
  <c r="F18" i="28"/>
  <c r="D11" i="28"/>
  <c r="C11" i="28"/>
  <c r="E8" i="28"/>
  <c r="D8" i="28"/>
  <c r="C8" i="28"/>
  <c r="G4" i="28"/>
  <c r="H4" i="28" s="1"/>
  <c r="I4" i="28" s="1"/>
  <c r="J4" i="28" s="1"/>
  <c r="G119" i="24"/>
  <c r="H119" i="24" s="1"/>
  <c r="I119" i="24" s="1"/>
  <c r="J119" i="24" s="1"/>
  <c r="K119" i="24" s="1"/>
  <c r="L119" i="24" s="1"/>
  <c r="M119" i="24" s="1"/>
  <c r="N119" i="24" s="1"/>
  <c r="O119" i="24" s="1"/>
  <c r="P119" i="24" s="1"/>
  <c r="Q119" i="24" s="1"/>
  <c r="R119" i="24" s="1"/>
  <c r="S119" i="24" s="1"/>
  <c r="T119" i="24" s="1"/>
  <c r="U119" i="24" s="1"/>
  <c r="V119" i="24" s="1"/>
  <c r="W119" i="24" s="1"/>
  <c r="X119" i="24" s="1"/>
  <c r="Y119" i="24" s="1"/>
  <c r="Z119" i="24" s="1"/>
  <c r="AA119" i="24" s="1"/>
  <c r="AB119" i="24" s="1"/>
  <c r="AC119" i="24" s="1"/>
  <c r="AD119" i="24" s="1"/>
  <c r="AE119" i="24" s="1"/>
  <c r="E139" i="24"/>
  <c r="K7" i="2"/>
  <c r="I3" i="2"/>
  <c r="J99" i="25"/>
  <c r="I99" i="25"/>
  <c r="H99" i="25"/>
  <c r="G99" i="25"/>
  <c r="G61" i="26"/>
  <c r="H61" i="26" s="1"/>
  <c r="I61" i="26" s="1"/>
  <c r="J61" i="26" s="1"/>
  <c r="K61" i="26" s="1"/>
  <c r="L61" i="26" s="1"/>
  <c r="M61" i="26" s="1"/>
  <c r="N61" i="26" s="1"/>
  <c r="O61" i="26" s="1"/>
  <c r="P61" i="26" s="1"/>
  <c r="Q61" i="26" s="1"/>
  <c r="R61" i="26" s="1"/>
  <c r="S61" i="26" s="1"/>
  <c r="T61" i="26" s="1"/>
  <c r="U61" i="26" s="1"/>
  <c r="V61" i="26" s="1"/>
  <c r="W61" i="26" s="1"/>
  <c r="X61" i="26" s="1"/>
  <c r="Y61" i="26" s="1"/>
  <c r="Z61" i="26" s="1"/>
  <c r="AA61" i="26" s="1"/>
  <c r="AB61" i="26" s="1"/>
  <c r="AC61" i="26" s="1"/>
  <c r="AD61" i="26" s="1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D159" i="26"/>
  <c r="E159" i="26" s="1"/>
  <c r="F159" i="26" s="1"/>
  <c r="G159" i="26" s="1"/>
  <c r="H159" i="26" s="1"/>
  <c r="I159" i="26" s="1"/>
  <c r="J159" i="26" s="1"/>
  <c r="K159" i="26" s="1"/>
  <c r="L159" i="26" s="1"/>
  <c r="M159" i="26" s="1"/>
  <c r="N159" i="26" s="1"/>
  <c r="O159" i="26" s="1"/>
  <c r="P159" i="26" s="1"/>
  <c r="Q159" i="26" s="1"/>
  <c r="R159" i="26" s="1"/>
  <c r="S159" i="26" s="1"/>
  <c r="T159" i="26" s="1"/>
  <c r="U159" i="26" s="1"/>
  <c r="V159" i="26" s="1"/>
  <c r="W159" i="26" s="1"/>
  <c r="D146" i="26"/>
  <c r="E146" i="26" s="1"/>
  <c r="F146" i="26" s="1"/>
  <c r="G146" i="26" s="1"/>
  <c r="H146" i="26" s="1"/>
  <c r="I146" i="26" s="1"/>
  <c r="J146" i="26" s="1"/>
  <c r="K146" i="26" s="1"/>
  <c r="L146" i="26" s="1"/>
  <c r="M146" i="26" s="1"/>
  <c r="N146" i="26" s="1"/>
  <c r="O146" i="26" s="1"/>
  <c r="P146" i="26" s="1"/>
  <c r="Q146" i="26" s="1"/>
  <c r="R146" i="26" s="1"/>
  <c r="S146" i="26" s="1"/>
  <c r="T146" i="26" s="1"/>
  <c r="U146" i="26" s="1"/>
  <c r="V146" i="26" s="1"/>
  <c r="W146" i="26" s="1"/>
  <c r="D111" i="26"/>
  <c r="E111" i="26" s="1"/>
  <c r="F111" i="26" s="1"/>
  <c r="G111" i="26" s="1"/>
  <c r="H111" i="26" s="1"/>
  <c r="I111" i="26" s="1"/>
  <c r="J111" i="26" s="1"/>
  <c r="K111" i="26" s="1"/>
  <c r="L111" i="26" s="1"/>
  <c r="M111" i="26" s="1"/>
  <c r="N111" i="26" s="1"/>
  <c r="O111" i="26" s="1"/>
  <c r="P111" i="26" s="1"/>
  <c r="Q111" i="26" s="1"/>
  <c r="R111" i="26" s="1"/>
  <c r="S111" i="26" s="1"/>
  <c r="T111" i="26" s="1"/>
  <c r="U111" i="26" s="1"/>
  <c r="V111" i="26" s="1"/>
  <c r="W111" i="26" s="1"/>
  <c r="X111" i="26" s="1"/>
  <c r="Y111" i="26" s="1"/>
  <c r="Z111" i="26" s="1"/>
  <c r="AA111" i="26" s="1"/>
  <c r="B110" i="26"/>
  <c r="O113" i="26" s="1"/>
  <c r="J99" i="26"/>
  <c r="I99" i="26"/>
  <c r="H99" i="26"/>
  <c r="G99" i="26"/>
  <c r="G94" i="26"/>
  <c r="H94" i="26" s="1"/>
  <c r="I94" i="26" s="1"/>
  <c r="J94" i="26" s="1"/>
  <c r="K94" i="26" s="1"/>
  <c r="L94" i="26" s="1"/>
  <c r="M94" i="26" s="1"/>
  <c r="N94" i="26" s="1"/>
  <c r="O94" i="26" s="1"/>
  <c r="P94" i="26" s="1"/>
  <c r="Q94" i="26" s="1"/>
  <c r="R94" i="26" s="1"/>
  <c r="S94" i="26" s="1"/>
  <c r="T94" i="26" s="1"/>
  <c r="U94" i="26" s="1"/>
  <c r="V94" i="26" s="1"/>
  <c r="W94" i="26" s="1"/>
  <c r="X94" i="26" s="1"/>
  <c r="Y94" i="26" s="1"/>
  <c r="Z94" i="26" s="1"/>
  <c r="G40" i="26"/>
  <c r="H40" i="26" s="1"/>
  <c r="I40" i="26" s="1"/>
  <c r="J40" i="26" s="1"/>
  <c r="K40" i="26" s="1"/>
  <c r="L40" i="26" s="1"/>
  <c r="M40" i="26" s="1"/>
  <c r="N40" i="26" s="1"/>
  <c r="O40" i="26" s="1"/>
  <c r="P40" i="26" s="1"/>
  <c r="Q40" i="26" s="1"/>
  <c r="R40" i="26" s="1"/>
  <c r="S40" i="26" s="1"/>
  <c r="T40" i="26" s="1"/>
  <c r="U40" i="26" s="1"/>
  <c r="V40" i="26" s="1"/>
  <c r="W40" i="26" s="1"/>
  <c r="X40" i="26" s="1"/>
  <c r="Y40" i="26" s="1"/>
  <c r="Z40" i="26" s="1"/>
  <c r="D31" i="26"/>
  <c r="C31" i="26"/>
  <c r="D29" i="26"/>
  <c r="C29" i="26"/>
  <c r="H23" i="26"/>
  <c r="H25" i="26" s="1"/>
  <c r="J23" i="26"/>
  <c r="J25" i="26" s="1"/>
  <c r="I23" i="26"/>
  <c r="I25" i="26" s="1"/>
  <c r="G23" i="26"/>
  <c r="G25" i="26" s="1"/>
  <c r="F23" i="26"/>
  <c r="F25" i="26" s="1"/>
  <c r="J18" i="26"/>
  <c r="I18" i="26"/>
  <c r="H18" i="26"/>
  <c r="G18" i="26"/>
  <c r="F18" i="26"/>
  <c r="J17" i="26"/>
  <c r="I17" i="26"/>
  <c r="H17" i="26"/>
  <c r="G17" i="26"/>
  <c r="F17" i="26"/>
  <c r="D10" i="26"/>
  <c r="C10" i="26"/>
  <c r="E7" i="26"/>
  <c r="D7" i="26"/>
  <c r="C7" i="26"/>
  <c r="G3" i="26"/>
  <c r="D159" i="25"/>
  <c r="D146" i="25"/>
  <c r="E146" i="25" s="1"/>
  <c r="F146" i="25" s="1"/>
  <c r="G146" i="25" s="1"/>
  <c r="H146" i="25" s="1"/>
  <c r="I146" i="25" s="1"/>
  <c r="J146" i="25" s="1"/>
  <c r="K146" i="25" s="1"/>
  <c r="L146" i="25" s="1"/>
  <c r="M146" i="25" s="1"/>
  <c r="N146" i="25" s="1"/>
  <c r="O146" i="25" s="1"/>
  <c r="P146" i="25" s="1"/>
  <c r="Q146" i="25" s="1"/>
  <c r="R146" i="25" s="1"/>
  <c r="S146" i="25" s="1"/>
  <c r="T146" i="25" s="1"/>
  <c r="U146" i="25" s="1"/>
  <c r="V146" i="25" s="1"/>
  <c r="W146" i="25" s="1"/>
  <c r="X146" i="25" s="1"/>
  <c r="Y146" i="25" s="1"/>
  <c r="Z146" i="25" s="1"/>
  <c r="AA146" i="25" s="1"/>
  <c r="D111" i="25"/>
  <c r="E111" i="25" s="1"/>
  <c r="F111" i="25" s="1"/>
  <c r="G111" i="25" s="1"/>
  <c r="H111" i="25" s="1"/>
  <c r="I111" i="25" s="1"/>
  <c r="J111" i="25" s="1"/>
  <c r="K111" i="25" s="1"/>
  <c r="L111" i="25" s="1"/>
  <c r="M111" i="25" s="1"/>
  <c r="N111" i="25" s="1"/>
  <c r="O111" i="25" s="1"/>
  <c r="P111" i="25" s="1"/>
  <c r="Q111" i="25" s="1"/>
  <c r="R111" i="25" s="1"/>
  <c r="S111" i="25" s="1"/>
  <c r="T111" i="25" s="1"/>
  <c r="U111" i="25" s="1"/>
  <c r="V111" i="25" s="1"/>
  <c r="W111" i="25" s="1"/>
  <c r="X111" i="25" s="1"/>
  <c r="Y111" i="25" s="1"/>
  <c r="Z111" i="25" s="1"/>
  <c r="AA111" i="25" s="1"/>
  <c r="AB111" i="25" s="1"/>
  <c r="AC111" i="25" s="1"/>
  <c r="AD111" i="25" s="1"/>
  <c r="AE111" i="25" s="1"/>
  <c r="B110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G61" i="25"/>
  <c r="H61" i="25" s="1"/>
  <c r="I61" i="25" s="1"/>
  <c r="J61" i="25" s="1"/>
  <c r="K61" i="25" s="1"/>
  <c r="L61" i="25" s="1"/>
  <c r="M61" i="25" s="1"/>
  <c r="N61" i="25" s="1"/>
  <c r="O61" i="25" s="1"/>
  <c r="P61" i="25" s="1"/>
  <c r="Q61" i="25" s="1"/>
  <c r="R61" i="25" s="1"/>
  <c r="S61" i="25" s="1"/>
  <c r="T61" i="25" s="1"/>
  <c r="U61" i="25" s="1"/>
  <c r="V61" i="25" s="1"/>
  <c r="W61" i="25" s="1"/>
  <c r="X61" i="25" s="1"/>
  <c r="Y61" i="25" s="1"/>
  <c r="Z61" i="25" s="1"/>
  <c r="AA61" i="25" s="1"/>
  <c r="AB61" i="25" s="1"/>
  <c r="AC61" i="25" s="1"/>
  <c r="AD61" i="25" s="1"/>
  <c r="G40" i="25"/>
  <c r="H40" i="25" s="1"/>
  <c r="I40" i="25" s="1"/>
  <c r="J40" i="25" s="1"/>
  <c r="K40" i="25" s="1"/>
  <c r="L40" i="25" s="1"/>
  <c r="M40" i="25" s="1"/>
  <c r="N40" i="25" s="1"/>
  <c r="O40" i="25" s="1"/>
  <c r="P40" i="25" s="1"/>
  <c r="Q40" i="25" s="1"/>
  <c r="R40" i="25" s="1"/>
  <c r="S40" i="25" s="1"/>
  <c r="T40" i="25" s="1"/>
  <c r="U40" i="25" s="1"/>
  <c r="V40" i="25" s="1"/>
  <c r="W40" i="25" s="1"/>
  <c r="X40" i="25" s="1"/>
  <c r="Y40" i="25" s="1"/>
  <c r="Z40" i="25" s="1"/>
  <c r="D31" i="25"/>
  <c r="C31" i="25"/>
  <c r="D29" i="25"/>
  <c r="C29" i="25"/>
  <c r="H23" i="25"/>
  <c r="H25" i="25" s="1"/>
  <c r="F23" i="25"/>
  <c r="F25" i="25" s="1"/>
  <c r="J23" i="25"/>
  <c r="J25" i="25" s="1"/>
  <c r="I23" i="25"/>
  <c r="I25" i="25" s="1"/>
  <c r="G23" i="25"/>
  <c r="G25" i="25" s="1"/>
  <c r="J18" i="25"/>
  <c r="I18" i="25"/>
  <c r="H18" i="25"/>
  <c r="G18" i="25"/>
  <c r="F18" i="25"/>
  <c r="J17" i="25"/>
  <c r="I17" i="25"/>
  <c r="H17" i="25"/>
  <c r="G17" i="25"/>
  <c r="F17" i="25"/>
  <c r="D10" i="25"/>
  <c r="C10" i="25"/>
  <c r="E7" i="25"/>
  <c r="D7" i="25"/>
  <c r="C7" i="25"/>
  <c r="K6" i="25"/>
  <c r="G3" i="25"/>
  <c r="H3" i="25" s="1"/>
  <c r="I3" i="25" s="1"/>
  <c r="J3" i="25" s="1"/>
  <c r="K3" i="25" s="1"/>
  <c r="L3" i="25" s="1"/>
  <c r="M3" i="25" s="1"/>
  <c r="N3" i="25" s="1"/>
  <c r="O3" i="25" s="1"/>
  <c r="P3" i="25" s="1"/>
  <c r="Q3" i="25" s="1"/>
  <c r="R3" i="25" s="1"/>
  <c r="S3" i="25" s="1"/>
  <c r="T3" i="25" s="1"/>
  <c r="U3" i="25" s="1"/>
  <c r="D157" i="24"/>
  <c r="E157" i="24" s="1"/>
  <c r="F157" i="24" s="1"/>
  <c r="G157" i="24" s="1"/>
  <c r="H157" i="24" s="1"/>
  <c r="I157" i="24" s="1"/>
  <c r="J157" i="24" s="1"/>
  <c r="K157" i="24" s="1"/>
  <c r="L157" i="24" s="1"/>
  <c r="M157" i="24" s="1"/>
  <c r="N157" i="24" s="1"/>
  <c r="O157" i="24" s="1"/>
  <c r="P157" i="24" s="1"/>
  <c r="Q157" i="24" s="1"/>
  <c r="R157" i="24" s="1"/>
  <c r="S157" i="24" s="1"/>
  <c r="T157" i="24" s="1"/>
  <c r="U157" i="24" s="1"/>
  <c r="V157" i="24" s="1"/>
  <c r="W157" i="24" s="1"/>
  <c r="X157" i="24" s="1"/>
  <c r="Y157" i="24" s="1"/>
  <c r="Z157" i="24" s="1"/>
  <c r="AA157" i="24" s="1"/>
  <c r="D144" i="24"/>
  <c r="E144" i="24" s="1"/>
  <c r="F144" i="24" s="1"/>
  <c r="G144" i="24" s="1"/>
  <c r="H144" i="24" s="1"/>
  <c r="I144" i="24" s="1"/>
  <c r="J144" i="24" s="1"/>
  <c r="K144" i="24" s="1"/>
  <c r="L144" i="24" s="1"/>
  <c r="M144" i="24" s="1"/>
  <c r="N144" i="24" s="1"/>
  <c r="O144" i="24" s="1"/>
  <c r="P144" i="24" s="1"/>
  <c r="Q144" i="24" s="1"/>
  <c r="R144" i="24" s="1"/>
  <c r="S144" i="24" s="1"/>
  <c r="T144" i="24" s="1"/>
  <c r="U144" i="24" s="1"/>
  <c r="V144" i="24" s="1"/>
  <c r="W144" i="24" s="1"/>
  <c r="X144" i="24" s="1"/>
  <c r="Y144" i="24" s="1"/>
  <c r="Z144" i="24" s="1"/>
  <c r="AA144" i="24" s="1"/>
  <c r="G95" i="24"/>
  <c r="H95" i="24" s="1"/>
  <c r="I95" i="24" s="1"/>
  <c r="J95" i="24" s="1"/>
  <c r="K95" i="24" s="1"/>
  <c r="L95" i="24" s="1"/>
  <c r="M95" i="24" s="1"/>
  <c r="N95" i="24" s="1"/>
  <c r="O95" i="24" s="1"/>
  <c r="P95" i="24" s="1"/>
  <c r="Q95" i="24" s="1"/>
  <c r="R95" i="24" s="1"/>
  <c r="S95" i="24" s="1"/>
  <c r="T95" i="24" s="1"/>
  <c r="U95" i="24" s="1"/>
  <c r="V95" i="24" s="1"/>
  <c r="W95" i="24" s="1"/>
  <c r="X95" i="24" s="1"/>
  <c r="Y95" i="24" s="1"/>
  <c r="Z95" i="24" s="1"/>
  <c r="AA95" i="24" s="1"/>
  <c r="AB95" i="24" s="1"/>
  <c r="AC95" i="24" s="1"/>
  <c r="AD95" i="24" s="1"/>
  <c r="D112" i="24"/>
  <c r="E112" i="24" s="1"/>
  <c r="F112" i="24" s="1"/>
  <c r="G112" i="24" s="1"/>
  <c r="H112" i="24" s="1"/>
  <c r="I112" i="24" s="1"/>
  <c r="J112" i="24" s="1"/>
  <c r="K112" i="24" s="1"/>
  <c r="L112" i="24" s="1"/>
  <c r="M112" i="24" s="1"/>
  <c r="N112" i="24" s="1"/>
  <c r="O112" i="24" s="1"/>
  <c r="P112" i="24" s="1"/>
  <c r="Q112" i="24" s="1"/>
  <c r="R112" i="24" s="1"/>
  <c r="S112" i="24" s="1"/>
  <c r="T112" i="24" s="1"/>
  <c r="U112" i="24" s="1"/>
  <c r="V112" i="24" s="1"/>
  <c r="W112" i="24" s="1"/>
  <c r="X112" i="24" s="1"/>
  <c r="Y112" i="24" s="1"/>
  <c r="Z112" i="24" s="1"/>
  <c r="AA112" i="24" s="1"/>
  <c r="AB112" i="24" s="1"/>
  <c r="AC112" i="24" s="1"/>
  <c r="AD112" i="24" s="1"/>
  <c r="AE112" i="24" s="1"/>
  <c r="B111" i="24"/>
  <c r="AD116" i="24" s="1"/>
  <c r="J100" i="24"/>
  <c r="I100" i="24"/>
  <c r="H100" i="24"/>
  <c r="G100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G62" i="24"/>
  <c r="H62" i="24" s="1"/>
  <c r="I62" i="24" s="1"/>
  <c r="J62" i="24" s="1"/>
  <c r="K62" i="24" s="1"/>
  <c r="L62" i="24" s="1"/>
  <c r="M62" i="24" s="1"/>
  <c r="N62" i="24" s="1"/>
  <c r="O62" i="24" s="1"/>
  <c r="P62" i="24" s="1"/>
  <c r="Q62" i="24" s="1"/>
  <c r="R62" i="24" s="1"/>
  <c r="S62" i="24" s="1"/>
  <c r="T62" i="24" s="1"/>
  <c r="U62" i="24" s="1"/>
  <c r="V62" i="24" s="1"/>
  <c r="W62" i="24" s="1"/>
  <c r="X62" i="24" s="1"/>
  <c r="Y62" i="24" s="1"/>
  <c r="Z62" i="24" s="1"/>
  <c r="AA62" i="24" s="1"/>
  <c r="AB62" i="24" s="1"/>
  <c r="AC62" i="24" s="1"/>
  <c r="AD62" i="24" s="1"/>
  <c r="G41" i="24"/>
  <c r="H41" i="24" s="1"/>
  <c r="I41" i="24" s="1"/>
  <c r="J41" i="24" s="1"/>
  <c r="K41" i="24" s="1"/>
  <c r="L41" i="24" s="1"/>
  <c r="M41" i="24" s="1"/>
  <c r="N41" i="24" s="1"/>
  <c r="O41" i="24" s="1"/>
  <c r="P41" i="24" s="1"/>
  <c r="Q41" i="24" s="1"/>
  <c r="R41" i="24" s="1"/>
  <c r="S41" i="24" s="1"/>
  <c r="T41" i="24" s="1"/>
  <c r="U41" i="24" s="1"/>
  <c r="V41" i="24" s="1"/>
  <c r="W41" i="24" s="1"/>
  <c r="X41" i="24" s="1"/>
  <c r="Y41" i="24" s="1"/>
  <c r="Z41" i="24" s="1"/>
  <c r="D32" i="24"/>
  <c r="C32" i="24"/>
  <c r="D30" i="24"/>
  <c r="C30" i="24"/>
  <c r="H24" i="24"/>
  <c r="H26" i="24" s="1"/>
  <c r="J24" i="24"/>
  <c r="J26" i="24" s="1"/>
  <c r="I24" i="24"/>
  <c r="I26" i="24" s="1"/>
  <c r="J19" i="24"/>
  <c r="I19" i="24"/>
  <c r="H19" i="24"/>
  <c r="G19" i="24"/>
  <c r="F19" i="24"/>
  <c r="J18" i="24"/>
  <c r="I18" i="24"/>
  <c r="H18" i="24"/>
  <c r="G18" i="24"/>
  <c r="F18" i="24"/>
  <c r="D11" i="24"/>
  <c r="C11" i="24"/>
  <c r="E8" i="24"/>
  <c r="D8" i="24"/>
  <c r="C8" i="24"/>
  <c r="K7" i="24"/>
  <c r="G4" i="24"/>
  <c r="H4" i="24" s="1"/>
  <c r="I4" i="24" s="1"/>
  <c r="J4" i="24" s="1"/>
  <c r="K4" i="24" s="1"/>
  <c r="P26" i="22"/>
  <c r="C31" i="22"/>
  <c r="F22" i="22" s="1"/>
  <c r="D20" i="22"/>
  <c r="C20" i="22"/>
  <c r="D19" i="22"/>
  <c r="E19" i="22" s="1"/>
  <c r="F19" i="22" s="1"/>
  <c r="G19" i="22" s="1"/>
  <c r="H19" i="22" s="1"/>
  <c r="I19" i="22" s="1"/>
  <c r="J19" i="22" s="1"/>
  <c r="K19" i="22" s="1"/>
  <c r="L19" i="22" s="1"/>
  <c r="M19" i="22" s="1"/>
  <c r="N19" i="22" s="1"/>
  <c r="AB26" i="2"/>
  <c r="AC26" i="2" s="1"/>
  <c r="AD26" i="2" s="1"/>
  <c r="C182" i="25" l="1"/>
  <c r="C178" i="25"/>
  <c r="I179" i="25" s="1"/>
  <c r="C181" i="25"/>
  <c r="I182" i="25" s="1"/>
  <c r="C180" i="25"/>
  <c r="I181" i="25" s="1"/>
  <c r="C179" i="25"/>
  <c r="I180" i="25" s="1"/>
  <c r="C177" i="25"/>
  <c r="I178" i="25" s="1"/>
  <c r="L4" i="24"/>
  <c r="M4" i="24" s="1"/>
  <c r="N4" i="24" s="1"/>
  <c r="O4" i="24" s="1"/>
  <c r="P4" i="24" s="1"/>
  <c r="Q4" i="24" s="1"/>
  <c r="R4" i="24" s="1"/>
  <c r="S4" i="24" s="1"/>
  <c r="T4" i="24" s="1"/>
  <c r="U4" i="24" s="1"/>
  <c r="V4" i="24" s="1"/>
  <c r="W4" i="24" s="1"/>
  <c r="X4" i="24" s="1"/>
  <c r="Y4" i="24" s="1"/>
  <c r="Z4" i="24" s="1"/>
  <c r="H3" i="26"/>
  <c r="G27" i="26"/>
  <c r="K28" i="25"/>
  <c r="C178" i="26"/>
  <c r="C167" i="24"/>
  <c r="C166" i="25"/>
  <c r="C168" i="24"/>
  <c r="C167" i="25"/>
  <c r="I24" i="22"/>
  <c r="H24" i="22"/>
  <c r="G24" i="22"/>
  <c r="F24" i="22"/>
  <c r="I23" i="22"/>
  <c r="H23" i="22"/>
  <c r="G23" i="22"/>
  <c r="F23" i="22"/>
  <c r="AB114" i="25"/>
  <c r="H113" i="25"/>
  <c r="E159" i="25"/>
  <c r="D189" i="28"/>
  <c r="E11" i="27"/>
  <c r="C179" i="26"/>
  <c r="Q157" i="28"/>
  <c r="M218" i="28"/>
  <c r="M113" i="28"/>
  <c r="U113" i="28"/>
  <c r="N114" i="28"/>
  <c r="V114" i="28"/>
  <c r="O115" i="28"/>
  <c r="W115" i="28"/>
  <c r="O116" i="28"/>
  <c r="W116" i="28"/>
  <c r="T179" i="28" s="1"/>
  <c r="N113" i="28"/>
  <c r="W113" i="28"/>
  <c r="Q114" i="28"/>
  <c r="Z114" i="28"/>
  <c r="T115" i="28"/>
  <c r="M116" i="28"/>
  <c r="V116" i="28"/>
  <c r="S179" i="28" s="1"/>
  <c r="O113" i="28"/>
  <c r="X113" i="28"/>
  <c r="R114" i="28"/>
  <c r="AA114" i="28"/>
  <c r="U115" i="28"/>
  <c r="N116" i="28"/>
  <c r="X116" i="28"/>
  <c r="U179" i="28" s="1"/>
  <c r="P113" i="28"/>
  <c r="Y113" i="28"/>
  <c r="S114" i="28"/>
  <c r="M115" i="28"/>
  <c r="V115" i="28"/>
  <c r="P116" i="28"/>
  <c r="M179" i="28" s="1"/>
  <c r="Y116" i="28"/>
  <c r="V179" i="28" s="1"/>
  <c r="Q113" i="28"/>
  <c r="Z113" i="28"/>
  <c r="T114" i="28"/>
  <c r="N115" i="28"/>
  <c r="X115" i="28"/>
  <c r="Q116" i="28"/>
  <c r="N179" i="28" s="1"/>
  <c r="Z116" i="28"/>
  <c r="W179" i="28" s="1"/>
  <c r="R113" i="28"/>
  <c r="AA113" i="28"/>
  <c r="U114" i="28"/>
  <c r="P115" i="28"/>
  <c r="Y115" i="28"/>
  <c r="R116" i="28"/>
  <c r="O179" i="28" s="1"/>
  <c r="AA116" i="28"/>
  <c r="X179" i="28" s="1"/>
  <c r="S113" i="28"/>
  <c r="M114" i="28"/>
  <c r="W114" i="28"/>
  <c r="Q115" i="28"/>
  <c r="Z115" i="28"/>
  <c r="S116" i="28"/>
  <c r="P179" i="28" s="1"/>
  <c r="AB116" i="28"/>
  <c r="Y179" i="28" s="1"/>
  <c r="V113" i="28"/>
  <c r="P114" i="28"/>
  <c r="Y114" i="28"/>
  <c r="S115" i="28"/>
  <c r="AB115" i="28"/>
  <c r="U116" i="28"/>
  <c r="R179" i="28" s="1"/>
  <c r="T116" i="28"/>
  <c r="Q179" i="28" s="1"/>
  <c r="T113" i="28"/>
  <c r="R115" i="28"/>
  <c r="AA115" i="28"/>
  <c r="O114" i="28"/>
  <c r="X114" i="28"/>
  <c r="Q8" i="28"/>
  <c r="Q7" i="28" s="1"/>
  <c r="Y8" i="28"/>
  <c r="Y7" i="28" s="1"/>
  <c r="M45" i="28"/>
  <c r="M44" i="28" s="1"/>
  <c r="U45" i="28"/>
  <c r="U44" i="28" s="1"/>
  <c r="O67" i="28"/>
  <c r="O66" i="28" s="1"/>
  <c r="W67" i="28"/>
  <c r="W66" i="28" s="1"/>
  <c r="M8" i="28"/>
  <c r="M7" i="28" s="1"/>
  <c r="U8" i="28"/>
  <c r="U7" i="28" s="1"/>
  <c r="P8" i="28"/>
  <c r="P7" i="28" s="1"/>
  <c r="X8" i="28"/>
  <c r="X7" i="28" s="1"/>
  <c r="T45" i="28"/>
  <c r="T44" i="28" s="1"/>
  <c r="N67" i="28"/>
  <c r="N66" i="28" s="1"/>
  <c r="V67" i="28"/>
  <c r="V66" i="28" s="1"/>
  <c r="W8" i="28"/>
  <c r="W7" i="28" s="1"/>
  <c r="W45" i="28"/>
  <c r="W44" i="28" s="1"/>
  <c r="M67" i="28"/>
  <c r="M66" i="28" s="1"/>
  <c r="Y67" i="28"/>
  <c r="Y66" i="28" s="1"/>
  <c r="V8" i="28"/>
  <c r="V7" i="28" s="1"/>
  <c r="V45" i="28"/>
  <c r="V44" i="28" s="1"/>
  <c r="X67" i="28"/>
  <c r="X66" i="28" s="1"/>
  <c r="S8" i="28"/>
  <c r="S7" i="28" s="1"/>
  <c r="R45" i="28"/>
  <c r="R44" i="28" s="1"/>
  <c r="R67" i="28"/>
  <c r="R66" i="28" s="1"/>
  <c r="T8" i="28"/>
  <c r="T7" i="28" s="1"/>
  <c r="S45" i="28"/>
  <c r="S44" i="28" s="1"/>
  <c r="S67" i="28"/>
  <c r="S66" i="28" s="1"/>
  <c r="Z8" i="28"/>
  <c r="Z7" i="28" s="1"/>
  <c r="X45" i="28"/>
  <c r="X44" i="28" s="1"/>
  <c r="T67" i="28"/>
  <c r="T66" i="28" s="1"/>
  <c r="Y45" i="28"/>
  <c r="Y44" i="28" s="1"/>
  <c r="U67" i="28"/>
  <c r="U66" i="28" s="1"/>
  <c r="N45" i="28"/>
  <c r="N44" i="28" s="1"/>
  <c r="Z45" i="28"/>
  <c r="Z44" i="28" s="1"/>
  <c r="Z67" i="28"/>
  <c r="Z66" i="28" s="1"/>
  <c r="N8" i="28"/>
  <c r="N7" i="28" s="1"/>
  <c r="O45" i="28"/>
  <c r="O44" i="28" s="1"/>
  <c r="AA67" i="28"/>
  <c r="AA66" i="28" s="1"/>
  <c r="R8" i="28"/>
  <c r="R7" i="28" s="1"/>
  <c r="Q45" i="28"/>
  <c r="Q44" i="28" s="1"/>
  <c r="Q67" i="28"/>
  <c r="Q66" i="28" s="1"/>
  <c r="P45" i="28"/>
  <c r="P44" i="28" s="1"/>
  <c r="AB67" i="28"/>
  <c r="AB66" i="28" s="1"/>
  <c r="O8" i="28"/>
  <c r="O7" i="28" s="1"/>
  <c r="P67" i="28"/>
  <c r="P66" i="28" s="1"/>
  <c r="K4" i="28"/>
  <c r="L4" i="28" s="1"/>
  <c r="M4" i="28" s="1"/>
  <c r="N4" i="28" s="1"/>
  <c r="O4" i="28" s="1"/>
  <c r="P4" i="28" s="1"/>
  <c r="Q4" i="28" s="1"/>
  <c r="R4" i="28" s="1"/>
  <c r="S4" i="28" s="1"/>
  <c r="T4" i="28" s="1"/>
  <c r="U4" i="28" s="1"/>
  <c r="V4" i="28" s="1"/>
  <c r="W4" i="28" s="1"/>
  <c r="X4" i="28" s="1"/>
  <c r="Y4" i="28" s="1"/>
  <c r="Z4" i="28" s="1"/>
  <c r="H113" i="28"/>
  <c r="L115" i="28"/>
  <c r="L116" i="28"/>
  <c r="K113" i="28"/>
  <c r="L114" i="28"/>
  <c r="L113" i="28"/>
  <c r="K114" i="28"/>
  <c r="L8" i="28"/>
  <c r="L7" i="28" s="1"/>
  <c r="K45" i="28"/>
  <c r="K44" i="28" s="1"/>
  <c r="K67" i="28"/>
  <c r="K66" i="28" s="1"/>
  <c r="L45" i="28"/>
  <c r="L44" i="28" s="1"/>
  <c r="L67" i="28"/>
  <c r="L66" i="28" s="1"/>
  <c r="K41" i="28"/>
  <c r="L41" i="28" s="1"/>
  <c r="M41" i="28" s="1"/>
  <c r="N41" i="28" s="1"/>
  <c r="O41" i="28" s="1"/>
  <c r="P41" i="28" s="1"/>
  <c r="Q41" i="28" s="1"/>
  <c r="R41" i="28" s="1"/>
  <c r="S41" i="28" s="1"/>
  <c r="T41" i="28" s="1"/>
  <c r="U41" i="28" s="1"/>
  <c r="V41" i="28" s="1"/>
  <c r="W41" i="28" s="1"/>
  <c r="X41" i="28" s="1"/>
  <c r="Y41" i="28" s="1"/>
  <c r="Z41" i="28" s="1"/>
  <c r="K112" i="28"/>
  <c r="L112" i="28" s="1"/>
  <c r="K62" i="28"/>
  <c r="L62" i="28" s="1"/>
  <c r="M62" i="28" s="1"/>
  <c r="N62" i="28" s="1"/>
  <c r="O62" i="28" s="1"/>
  <c r="P62" i="28" s="1"/>
  <c r="Q62" i="28" s="1"/>
  <c r="R62" i="28" s="1"/>
  <c r="S62" i="28" s="1"/>
  <c r="T62" i="28" s="1"/>
  <c r="U62" i="28" s="1"/>
  <c r="V62" i="28" s="1"/>
  <c r="W62" i="28" s="1"/>
  <c r="X62" i="28" s="1"/>
  <c r="Y62" i="28" s="1"/>
  <c r="Z62" i="28" s="1"/>
  <c r="AA62" i="28" s="1"/>
  <c r="AB62" i="28" s="1"/>
  <c r="K119" i="28"/>
  <c r="L119" i="28" s="1"/>
  <c r="M119" i="28" s="1"/>
  <c r="N119" i="28" s="1"/>
  <c r="O119" i="28" s="1"/>
  <c r="P119" i="28" s="1"/>
  <c r="M180" i="28" s="1"/>
  <c r="K95" i="28"/>
  <c r="L95" i="28" s="1"/>
  <c r="M95" i="28" s="1"/>
  <c r="N95" i="28" s="1"/>
  <c r="O95" i="28" s="1"/>
  <c r="P95" i="28" s="1"/>
  <c r="Q95" i="28" s="1"/>
  <c r="R95" i="28" s="1"/>
  <c r="S95" i="28" s="1"/>
  <c r="T95" i="28" s="1"/>
  <c r="U95" i="28" s="1"/>
  <c r="V95" i="28" s="1"/>
  <c r="W95" i="28" s="1"/>
  <c r="X95" i="28" s="1"/>
  <c r="Y95" i="28" s="1"/>
  <c r="Z95" i="28" s="1"/>
  <c r="AA95" i="28" s="1"/>
  <c r="AB95" i="28" s="1"/>
  <c r="K7" i="26"/>
  <c r="K6" i="26" s="1"/>
  <c r="K30" i="26" s="1"/>
  <c r="K9" i="25"/>
  <c r="G19" i="25"/>
  <c r="G12" i="25" s="1"/>
  <c r="Z112" i="25"/>
  <c r="D112" i="25"/>
  <c r="Y112" i="25"/>
  <c r="T112" i="25"/>
  <c r="X112" i="25"/>
  <c r="W112" i="25"/>
  <c r="P114" i="25"/>
  <c r="V112" i="25"/>
  <c r="P113" i="25"/>
  <c r="J19" i="25"/>
  <c r="P7" i="25"/>
  <c r="P6" i="25" s="1"/>
  <c r="AA112" i="25"/>
  <c r="I113" i="28"/>
  <c r="J114" i="28"/>
  <c r="F20" i="28"/>
  <c r="I20" i="28"/>
  <c r="I13" i="28" s="1"/>
  <c r="AE116" i="28"/>
  <c r="J20" i="28"/>
  <c r="J13" i="28" s="1"/>
  <c r="AE115" i="28"/>
  <c r="G20" i="28"/>
  <c r="H20" i="28"/>
  <c r="H13" i="28" s="1"/>
  <c r="G113" i="28"/>
  <c r="G117" i="28" s="1"/>
  <c r="F86" i="28" s="1"/>
  <c r="F91" i="28" s="1"/>
  <c r="C152" i="28" s="1"/>
  <c r="AC116" i="28"/>
  <c r="H114" i="28"/>
  <c r="AF116" i="28"/>
  <c r="F8" i="28"/>
  <c r="F7" i="28" s="1"/>
  <c r="F84" i="28" s="1"/>
  <c r="J8" i="28"/>
  <c r="J7" i="28" s="1"/>
  <c r="J113" i="28"/>
  <c r="I114" i="28"/>
  <c r="AD115" i="28"/>
  <c r="E11" i="28"/>
  <c r="L11" i="28" s="1"/>
  <c r="E32" i="28"/>
  <c r="E31" i="28" s="1"/>
  <c r="D113" i="28"/>
  <c r="E113" i="28"/>
  <c r="F113" i="28"/>
  <c r="H45" i="28"/>
  <c r="H44" i="28" s="1"/>
  <c r="G45" i="28"/>
  <c r="G44" i="28" s="1"/>
  <c r="J45" i="28"/>
  <c r="J44" i="28" s="1"/>
  <c r="I8" i="28"/>
  <c r="I7" i="28" s="1"/>
  <c r="I45" i="28"/>
  <c r="I44" i="28" s="1"/>
  <c r="H8" i="28"/>
  <c r="H7" i="28" s="1"/>
  <c r="G8" i="28"/>
  <c r="G7" i="28" s="1"/>
  <c r="E30" i="28"/>
  <c r="L30" i="28" s="1"/>
  <c r="AD116" i="28"/>
  <c r="AC115" i="28"/>
  <c r="C113" i="28"/>
  <c r="AF115" i="28"/>
  <c r="W8" i="24"/>
  <c r="W7" i="24" s="1"/>
  <c r="X8" i="24"/>
  <c r="X7" i="24" s="1"/>
  <c r="U115" i="24"/>
  <c r="H113" i="24"/>
  <c r="E31" i="25"/>
  <c r="Z74" i="25" s="1"/>
  <c r="Q7" i="25"/>
  <c r="Q6" i="25" s="1"/>
  <c r="F19" i="25"/>
  <c r="F12" i="25" s="1"/>
  <c r="I19" i="25"/>
  <c r="I12" i="25" s="1"/>
  <c r="G31" i="25"/>
  <c r="R112" i="25"/>
  <c r="N113" i="25"/>
  <c r="N114" i="25"/>
  <c r="AD114" i="25"/>
  <c r="M31" i="25"/>
  <c r="E112" i="25"/>
  <c r="U112" i="25"/>
  <c r="Q113" i="25"/>
  <c r="Q114" i="25"/>
  <c r="R7" i="25"/>
  <c r="R6" i="25" s="1"/>
  <c r="H112" i="25"/>
  <c r="T113" i="25"/>
  <c r="T114" i="25"/>
  <c r="G7" i="25"/>
  <c r="G6" i="25" s="1"/>
  <c r="T31" i="25"/>
  <c r="J112" i="25"/>
  <c r="V113" i="25"/>
  <c r="V114" i="25"/>
  <c r="H7" i="25"/>
  <c r="H6" i="25" s="1"/>
  <c r="J12" i="25"/>
  <c r="O31" i="25"/>
  <c r="U31" i="25"/>
  <c r="L112" i="25"/>
  <c r="X113" i="25"/>
  <c r="X114" i="25"/>
  <c r="I7" i="25"/>
  <c r="I6" i="25" s="1"/>
  <c r="M112" i="25"/>
  <c r="I113" i="25"/>
  <c r="Y113" i="25"/>
  <c r="Y114" i="25"/>
  <c r="H19" i="25"/>
  <c r="H12" i="25" s="1"/>
  <c r="P112" i="25"/>
  <c r="L113" i="25"/>
  <c r="L114" i="25"/>
  <c r="Y66" i="26"/>
  <c r="Y65" i="26" s="1"/>
  <c r="I19" i="26"/>
  <c r="I12" i="26" s="1"/>
  <c r="J19" i="26"/>
  <c r="J12" i="26" s="1"/>
  <c r="R66" i="26"/>
  <c r="R65" i="26" s="1"/>
  <c r="Q66" i="26"/>
  <c r="Q65" i="26" s="1"/>
  <c r="O66" i="26"/>
  <c r="O65" i="26" s="1"/>
  <c r="G19" i="26"/>
  <c r="G12" i="26" s="1"/>
  <c r="H19" i="26"/>
  <c r="H12" i="26" s="1"/>
  <c r="Z66" i="26"/>
  <c r="Z65" i="26" s="1"/>
  <c r="W66" i="26"/>
  <c r="W65" i="26" s="1"/>
  <c r="X66" i="26"/>
  <c r="X65" i="26" s="1"/>
  <c r="P66" i="26"/>
  <c r="P65" i="26" s="1"/>
  <c r="AD66" i="26"/>
  <c r="AD65" i="26" s="1"/>
  <c r="V66" i="26"/>
  <c r="V65" i="26" s="1"/>
  <c r="N66" i="26"/>
  <c r="N65" i="26" s="1"/>
  <c r="C112" i="26"/>
  <c r="AC66" i="26"/>
  <c r="AC65" i="26" s="1"/>
  <c r="U66" i="26"/>
  <c r="U65" i="26" s="1"/>
  <c r="M66" i="26"/>
  <c r="M65" i="26" s="1"/>
  <c r="AB66" i="26"/>
  <c r="AB65" i="26" s="1"/>
  <c r="T66" i="26"/>
  <c r="T65" i="26" s="1"/>
  <c r="L66" i="26"/>
  <c r="L65" i="26" s="1"/>
  <c r="F19" i="26"/>
  <c r="F12" i="26" s="1"/>
  <c r="AA66" i="26"/>
  <c r="AA65" i="26" s="1"/>
  <c r="S66" i="26"/>
  <c r="S65" i="26" s="1"/>
  <c r="K66" i="26"/>
  <c r="K65" i="26" s="1"/>
  <c r="E10" i="26"/>
  <c r="K10" i="26" s="1"/>
  <c r="E31" i="26"/>
  <c r="T74" i="26" s="1"/>
  <c r="F7" i="26"/>
  <c r="F6" i="26" s="1"/>
  <c r="F83" i="26" s="1"/>
  <c r="F98" i="26" s="1"/>
  <c r="O7" i="26"/>
  <c r="O6" i="26" s="1"/>
  <c r="N44" i="26"/>
  <c r="N43" i="26" s="1"/>
  <c r="N7" i="26"/>
  <c r="N6" i="26" s="1"/>
  <c r="M44" i="26"/>
  <c r="M43" i="26" s="1"/>
  <c r="G7" i="26"/>
  <c r="G6" i="26" s="1"/>
  <c r="O44" i="26"/>
  <c r="O43" i="26" s="1"/>
  <c r="H7" i="26"/>
  <c r="H6" i="26" s="1"/>
  <c r="G44" i="26"/>
  <c r="G43" i="26" s="1"/>
  <c r="Q44" i="26"/>
  <c r="Q43" i="26" s="1"/>
  <c r="I7" i="26"/>
  <c r="I6" i="26" s="1"/>
  <c r="E29" i="26"/>
  <c r="P72" i="26" s="1"/>
  <c r="H44" i="26"/>
  <c r="H43" i="26" s="1"/>
  <c r="V44" i="26"/>
  <c r="V43" i="26" s="1"/>
  <c r="J7" i="26"/>
  <c r="J6" i="26" s="1"/>
  <c r="I44" i="26"/>
  <c r="I43" i="26" s="1"/>
  <c r="W44" i="26"/>
  <c r="W43" i="26" s="1"/>
  <c r="V113" i="26"/>
  <c r="N113" i="26"/>
  <c r="Z112" i="26"/>
  <c r="R112" i="26"/>
  <c r="J112" i="26"/>
  <c r="U113" i="26"/>
  <c r="M113" i="26"/>
  <c r="Y112" i="26"/>
  <c r="Q112" i="26"/>
  <c r="I112" i="26"/>
  <c r="T113" i="26"/>
  <c r="L113" i="26"/>
  <c r="X112" i="26"/>
  <c r="P112" i="26"/>
  <c r="H112" i="26"/>
  <c r="AA113" i="26"/>
  <c r="S113" i="26"/>
  <c r="K113" i="26"/>
  <c r="W112" i="26"/>
  <c r="O112" i="26"/>
  <c r="G112" i="26"/>
  <c r="G114" i="26" s="1"/>
  <c r="F85" i="26" s="1"/>
  <c r="F90" i="26" s="1"/>
  <c r="C154" i="26" s="1"/>
  <c r="C216" i="28" s="1"/>
  <c r="Z113" i="26"/>
  <c r="R113" i="26"/>
  <c r="J113" i="26"/>
  <c r="V112" i="26"/>
  <c r="N112" i="26"/>
  <c r="F112" i="26"/>
  <c r="Y113" i="26"/>
  <c r="Q113" i="26"/>
  <c r="I113" i="26"/>
  <c r="U112" i="26"/>
  <c r="M112" i="26"/>
  <c r="E112" i="26"/>
  <c r="AA112" i="26"/>
  <c r="T112" i="26"/>
  <c r="S112" i="26"/>
  <c r="X113" i="26"/>
  <c r="L112" i="26"/>
  <c r="W113" i="26"/>
  <c r="K112" i="26"/>
  <c r="P113" i="26"/>
  <c r="D112" i="26"/>
  <c r="H113" i="26"/>
  <c r="U44" i="26"/>
  <c r="U43" i="26" s="1"/>
  <c r="T44" i="26"/>
  <c r="T43" i="26" s="1"/>
  <c r="L44" i="26"/>
  <c r="L43" i="26" s="1"/>
  <c r="S44" i="26"/>
  <c r="S43" i="26" s="1"/>
  <c r="Z44" i="26"/>
  <c r="Z43" i="26" s="1"/>
  <c r="R44" i="26"/>
  <c r="R43" i="26" s="1"/>
  <c r="X44" i="26"/>
  <c r="X43" i="26" s="1"/>
  <c r="P44" i="26"/>
  <c r="P43" i="26" s="1"/>
  <c r="L7" i="26"/>
  <c r="L6" i="26" s="1"/>
  <c r="J44" i="26"/>
  <c r="J43" i="26" s="1"/>
  <c r="Y44" i="26"/>
  <c r="Y43" i="26" s="1"/>
  <c r="M7" i="26"/>
  <c r="M6" i="26" s="1"/>
  <c r="K44" i="26"/>
  <c r="K43" i="26" s="1"/>
  <c r="Y66" i="25"/>
  <c r="Y65" i="25" s="1"/>
  <c r="Q66" i="25"/>
  <c r="Q65" i="25" s="1"/>
  <c r="X66" i="25"/>
  <c r="X65" i="25" s="1"/>
  <c r="P66" i="25"/>
  <c r="P65" i="25" s="1"/>
  <c r="X44" i="25"/>
  <c r="X43" i="25" s="1"/>
  <c r="X83" i="25" s="1"/>
  <c r="U66" i="25"/>
  <c r="U65" i="25" s="1"/>
  <c r="K66" i="25"/>
  <c r="K65" i="25" s="1"/>
  <c r="AD66" i="25"/>
  <c r="AD65" i="25" s="1"/>
  <c r="AD83" i="25" s="1"/>
  <c r="T66" i="25"/>
  <c r="T65" i="25" s="1"/>
  <c r="AA66" i="25"/>
  <c r="AA65" i="25" s="1"/>
  <c r="AA83" i="25" s="1"/>
  <c r="O66" i="25"/>
  <c r="O65" i="25" s="1"/>
  <c r="R44" i="25"/>
  <c r="R43" i="25" s="1"/>
  <c r="J44" i="25"/>
  <c r="J43" i="25" s="1"/>
  <c r="Z66" i="25"/>
  <c r="Z65" i="25" s="1"/>
  <c r="N66" i="25"/>
  <c r="N65" i="25" s="1"/>
  <c r="Z44" i="25"/>
  <c r="Z43" i="25" s="1"/>
  <c r="Q44" i="25"/>
  <c r="Q43" i="25" s="1"/>
  <c r="I44" i="25"/>
  <c r="I43" i="25" s="1"/>
  <c r="T7" i="25"/>
  <c r="T6" i="25" s="1"/>
  <c r="P44" i="25"/>
  <c r="P43" i="25" s="1"/>
  <c r="M7" i="25"/>
  <c r="M6" i="25" s="1"/>
  <c r="U7" i="25"/>
  <c r="U6" i="25" s="1"/>
  <c r="E30" i="25"/>
  <c r="Y74" i="25"/>
  <c r="Q74" i="25"/>
  <c r="X74" i="25"/>
  <c r="P74" i="25"/>
  <c r="X52" i="25"/>
  <c r="P52" i="25"/>
  <c r="H52" i="25"/>
  <c r="G52" i="25"/>
  <c r="AB74" i="25"/>
  <c r="R74" i="25"/>
  <c r="R52" i="25"/>
  <c r="W74" i="25"/>
  <c r="S31" i="25"/>
  <c r="J31" i="25"/>
  <c r="V74" i="25"/>
  <c r="L74" i="25"/>
  <c r="V52" i="25"/>
  <c r="N31" i="25"/>
  <c r="G44" i="25"/>
  <c r="G43" i="25" s="1"/>
  <c r="S44" i="25"/>
  <c r="S43" i="25" s="1"/>
  <c r="Z52" i="25"/>
  <c r="S66" i="25"/>
  <c r="S65" i="25" s="1"/>
  <c r="L7" i="25"/>
  <c r="L6" i="25" s="1"/>
  <c r="R66" i="25"/>
  <c r="R65" i="25" s="1"/>
  <c r="N7" i="25"/>
  <c r="N6" i="25" s="1"/>
  <c r="E29" i="25"/>
  <c r="Q72" i="25" s="1"/>
  <c r="H44" i="25"/>
  <c r="H43" i="25" s="1"/>
  <c r="T44" i="25"/>
  <c r="T43" i="25" s="1"/>
  <c r="V66" i="25"/>
  <c r="V65" i="25" s="1"/>
  <c r="F7" i="25"/>
  <c r="F6" i="25" s="1"/>
  <c r="F83" i="25" s="1"/>
  <c r="F98" i="25" s="1"/>
  <c r="O7" i="25"/>
  <c r="O6" i="25" s="1"/>
  <c r="P31" i="25"/>
  <c r="K44" i="25"/>
  <c r="K43" i="25" s="1"/>
  <c r="K83" i="25" s="1"/>
  <c r="U44" i="25"/>
  <c r="U43" i="25" s="1"/>
  <c r="J52" i="25"/>
  <c r="W66" i="25"/>
  <c r="W65" i="25" s="1"/>
  <c r="L44" i="25"/>
  <c r="L43" i="25" s="1"/>
  <c r="V44" i="25"/>
  <c r="V43" i="25" s="1"/>
  <c r="AB66" i="25"/>
  <c r="AB65" i="25" s="1"/>
  <c r="AB83" i="25" s="1"/>
  <c r="K30" i="25"/>
  <c r="M44" i="25"/>
  <c r="M43" i="25" s="1"/>
  <c r="W44" i="25"/>
  <c r="W43" i="25" s="1"/>
  <c r="N52" i="25"/>
  <c r="AC66" i="25"/>
  <c r="AC65" i="25" s="1"/>
  <c r="AC83" i="25" s="1"/>
  <c r="N44" i="25"/>
  <c r="N43" i="25" s="1"/>
  <c r="Y44" i="25"/>
  <c r="Y43" i="25" s="1"/>
  <c r="O52" i="25"/>
  <c r="L66" i="25"/>
  <c r="L65" i="25" s="1"/>
  <c r="T74" i="25"/>
  <c r="J7" i="25"/>
  <c r="J6" i="25" s="1"/>
  <c r="J83" i="25" s="1"/>
  <c r="S7" i="25"/>
  <c r="S6" i="25" s="1"/>
  <c r="E10" i="25"/>
  <c r="O44" i="25"/>
  <c r="O43" i="25" s="1"/>
  <c r="T52" i="25"/>
  <c r="M66" i="25"/>
  <c r="M65" i="25" s="1"/>
  <c r="AD115" i="25"/>
  <c r="C112" i="25"/>
  <c r="K112" i="25"/>
  <c r="S112" i="25"/>
  <c r="O113" i="25"/>
  <c r="W113" i="25"/>
  <c r="O114" i="25"/>
  <c r="W114" i="25"/>
  <c r="AE114" i="25"/>
  <c r="AE115" i="25" s="1"/>
  <c r="F112" i="25"/>
  <c r="N112" i="25"/>
  <c r="J113" i="25"/>
  <c r="R113" i="25"/>
  <c r="Z113" i="25"/>
  <c r="R114" i="25"/>
  <c r="Z114" i="25"/>
  <c r="G112" i="25"/>
  <c r="G115" i="25" s="1"/>
  <c r="O112" i="25"/>
  <c r="K113" i="25"/>
  <c r="S113" i="25"/>
  <c r="AA113" i="25"/>
  <c r="S114" i="25"/>
  <c r="AA114" i="25"/>
  <c r="T115" i="25"/>
  <c r="AB115" i="25"/>
  <c r="I112" i="25"/>
  <c r="I115" i="25" s="1"/>
  <c r="Q112" i="25"/>
  <c r="M113" i="25"/>
  <c r="U113" i="25"/>
  <c r="M114" i="25"/>
  <c r="U114" i="25"/>
  <c r="AC114" i="25"/>
  <c r="AC115" i="25" s="1"/>
  <c r="P113" i="24"/>
  <c r="AC115" i="24"/>
  <c r="Y8" i="24"/>
  <c r="Y7" i="24" s="1"/>
  <c r="X113" i="24"/>
  <c r="O116" i="24"/>
  <c r="Z8" i="24"/>
  <c r="Z7" i="24" s="1"/>
  <c r="H114" i="24"/>
  <c r="W116" i="24"/>
  <c r="P114" i="24"/>
  <c r="AE116" i="24"/>
  <c r="X114" i="24"/>
  <c r="V8" i="24"/>
  <c r="V7" i="24" s="1"/>
  <c r="C113" i="24"/>
  <c r="M115" i="24"/>
  <c r="I113" i="24"/>
  <c r="Q113" i="24"/>
  <c r="Y113" i="24"/>
  <c r="I114" i="24"/>
  <c r="Q114" i="24"/>
  <c r="Y114" i="24"/>
  <c r="N115" i="24"/>
  <c r="V115" i="24"/>
  <c r="AD115" i="24"/>
  <c r="P116" i="24"/>
  <c r="X116" i="24"/>
  <c r="J113" i="24"/>
  <c r="R113" i="24"/>
  <c r="Z113" i="24"/>
  <c r="J114" i="24"/>
  <c r="R114" i="24"/>
  <c r="Z114" i="24"/>
  <c r="O115" i="24"/>
  <c r="W115" i="24"/>
  <c r="AE115" i="24"/>
  <c r="Q116" i="24"/>
  <c r="Y116" i="24"/>
  <c r="K113" i="24"/>
  <c r="S113" i="24"/>
  <c r="AA113" i="24"/>
  <c r="K114" i="24"/>
  <c r="S114" i="24"/>
  <c r="AA114" i="24"/>
  <c r="P115" i="24"/>
  <c r="X115" i="24"/>
  <c r="R116" i="24"/>
  <c r="Z116" i="24"/>
  <c r="D113" i="24"/>
  <c r="L113" i="24"/>
  <c r="T113" i="24"/>
  <c r="L114" i="24"/>
  <c r="T114" i="24"/>
  <c r="Q115" i="24"/>
  <c r="Y115" i="24"/>
  <c r="S116" i="24"/>
  <c r="AA116" i="24"/>
  <c r="E113" i="24"/>
  <c r="M113" i="24"/>
  <c r="U113" i="24"/>
  <c r="M114" i="24"/>
  <c r="U114" i="24"/>
  <c r="R115" i="24"/>
  <c r="Z115" i="24"/>
  <c r="T116" i="24"/>
  <c r="AB116" i="24"/>
  <c r="F113" i="24"/>
  <c r="N113" i="24"/>
  <c r="V113" i="24"/>
  <c r="N114" i="24"/>
  <c r="V114" i="24"/>
  <c r="L115" i="24"/>
  <c r="S115" i="24"/>
  <c r="AA115" i="24"/>
  <c r="M116" i="24"/>
  <c r="U116" i="24"/>
  <c r="AC116" i="24"/>
  <c r="G113" i="24"/>
  <c r="G117" i="24" s="1"/>
  <c r="F86" i="24" s="1"/>
  <c r="O113" i="24"/>
  <c r="W113" i="24"/>
  <c r="O114" i="24"/>
  <c r="W114" i="24"/>
  <c r="L116" i="24"/>
  <c r="T115" i="24"/>
  <c r="AB115" i="24"/>
  <c r="N116" i="24"/>
  <c r="V116" i="24"/>
  <c r="G45" i="24"/>
  <c r="G44" i="24" s="1"/>
  <c r="H20" i="24"/>
  <c r="H13" i="24" s="1"/>
  <c r="T45" i="24"/>
  <c r="T44" i="24" s="1"/>
  <c r="G20" i="24"/>
  <c r="AB67" i="24"/>
  <c r="AB66" i="24" s="1"/>
  <c r="AA67" i="24"/>
  <c r="AA66" i="24" s="1"/>
  <c r="AC67" i="24"/>
  <c r="AC66" i="24" s="1"/>
  <c r="AD67" i="24"/>
  <c r="AD66" i="24" s="1"/>
  <c r="J20" i="24"/>
  <c r="J13" i="24" s="1"/>
  <c r="F20" i="24"/>
  <c r="P8" i="24"/>
  <c r="P7" i="24" s="1"/>
  <c r="J45" i="24"/>
  <c r="J44" i="24" s="1"/>
  <c r="R45" i="24"/>
  <c r="R44" i="24" s="1"/>
  <c r="Z45" i="24"/>
  <c r="Z44" i="24" s="1"/>
  <c r="N67" i="24"/>
  <c r="N66" i="24" s="1"/>
  <c r="V67" i="24"/>
  <c r="V66" i="24" s="1"/>
  <c r="M8" i="24"/>
  <c r="M7" i="24" s="1"/>
  <c r="E11" i="24"/>
  <c r="X11" i="24" s="1"/>
  <c r="K45" i="24"/>
  <c r="K44" i="24" s="1"/>
  <c r="S45" i="24"/>
  <c r="S44" i="24" s="1"/>
  <c r="O67" i="24"/>
  <c r="O66" i="24" s="1"/>
  <c r="W67" i="24"/>
  <c r="W66" i="24" s="1"/>
  <c r="M45" i="24"/>
  <c r="M44" i="24" s="1"/>
  <c r="I8" i="24"/>
  <c r="I7" i="24" s="1"/>
  <c r="N45" i="24"/>
  <c r="N44" i="24" s="1"/>
  <c r="V45" i="24"/>
  <c r="V44" i="24" s="1"/>
  <c r="R67" i="24"/>
  <c r="R66" i="24" s="1"/>
  <c r="Z67" i="24"/>
  <c r="Z66" i="24" s="1"/>
  <c r="H8" i="24"/>
  <c r="H7" i="24" s="1"/>
  <c r="U45" i="24"/>
  <c r="U44" i="24" s="1"/>
  <c r="Q67" i="24"/>
  <c r="Q66" i="24" s="1"/>
  <c r="Q8" i="24"/>
  <c r="Q7" i="24" s="1"/>
  <c r="O45" i="24"/>
  <c r="O44" i="24" s="1"/>
  <c r="W45" i="24"/>
  <c r="W44" i="24" s="1"/>
  <c r="K67" i="24"/>
  <c r="K66" i="24" s="1"/>
  <c r="S67" i="24"/>
  <c r="S66" i="24" s="1"/>
  <c r="L45" i="24"/>
  <c r="L44" i="24" s="1"/>
  <c r="P67" i="24"/>
  <c r="P66" i="24" s="1"/>
  <c r="R8" i="24"/>
  <c r="R7" i="24" s="1"/>
  <c r="I20" i="24"/>
  <c r="I13" i="24" s="1"/>
  <c r="E32" i="24"/>
  <c r="W32" i="24" s="1"/>
  <c r="H45" i="24"/>
  <c r="H44" i="24" s="1"/>
  <c r="P45" i="24"/>
  <c r="P44" i="24" s="1"/>
  <c r="X45" i="24"/>
  <c r="X44" i="24" s="1"/>
  <c r="L67" i="24"/>
  <c r="L66" i="24" s="1"/>
  <c r="T67" i="24"/>
  <c r="T66" i="24" s="1"/>
  <c r="X67" i="24"/>
  <c r="X66" i="24" s="1"/>
  <c r="Y67" i="24"/>
  <c r="Y66" i="24" s="1"/>
  <c r="I45" i="24"/>
  <c r="I44" i="24" s="1"/>
  <c r="Q45" i="24"/>
  <c r="Q44" i="24" s="1"/>
  <c r="Y45" i="24"/>
  <c r="Y44" i="24" s="1"/>
  <c r="M67" i="24"/>
  <c r="M66" i="24" s="1"/>
  <c r="U67" i="24"/>
  <c r="U66" i="24" s="1"/>
  <c r="J8" i="24"/>
  <c r="J7" i="24" s="1"/>
  <c r="S8" i="24"/>
  <c r="S7" i="24" s="1"/>
  <c r="L8" i="24"/>
  <c r="L7" i="24" s="1"/>
  <c r="T8" i="24"/>
  <c r="T7" i="24" s="1"/>
  <c r="K10" i="24"/>
  <c r="U8" i="24"/>
  <c r="U7" i="24" s="1"/>
  <c r="N8" i="24"/>
  <c r="N7" i="24" s="1"/>
  <c r="E30" i="24"/>
  <c r="F8" i="24"/>
  <c r="F7" i="24" s="1"/>
  <c r="F84" i="24" s="1"/>
  <c r="O8" i="24"/>
  <c r="O7" i="24" s="1"/>
  <c r="G8" i="24"/>
  <c r="G7" i="24" s="1"/>
  <c r="E22" i="22"/>
  <c r="AC73" i="24" l="1"/>
  <c r="K30" i="24"/>
  <c r="K29" i="24" s="1"/>
  <c r="I83" i="25"/>
  <c r="G83" i="25"/>
  <c r="I3" i="26"/>
  <c r="H27" i="26"/>
  <c r="K32" i="24"/>
  <c r="K31" i="24" s="1"/>
  <c r="S85" i="25"/>
  <c r="S90" i="25" s="1"/>
  <c r="P154" i="25" s="1"/>
  <c r="Q83" i="25"/>
  <c r="Y83" i="25"/>
  <c r="N83" i="25"/>
  <c r="M83" i="25"/>
  <c r="L31" i="25"/>
  <c r="L30" i="25" s="1"/>
  <c r="V83" i="25"/>
  <c r="V98" i="25" s="1"/>
  <c r="O83" i="25"/>
  <c r="I31" i="25"/>
  <c r="M52" i="25"/>
  <c r="S52" i="25"/>
  <c r="I52" i="25"/>
  <c r="H83" i="25"/>
  <c r="P83" i="25"/>
  <c r="O74" i="25"/>
  <c r="O73" i="25" s="1"/>
  <c r="L83" i="25"/>
  <c r="R31" i="25"/>
  <c r="R30" i="25" s="1"/>
  <c r="W52" i="25"/>
  <c r="S74" i="25"/>
  <c r="Q52" i="25"/>
  <c r="T83" i="25"/>
  <c r="R83" i="25"/>
  <c r="S83" i="25"/>
  <c r="S98" i="25" s="1"/>
  <c r="K74" i="25"/>
  <c r="AD74" i="25"/>
  <c r="AA74" i="25"/>
  <c r="L52" i="25"/>
  <c r="M74" i="25"/>
  <c r="AC74" i="25"/>
  <c r="Y52" i="25"/>
  <c r="H85" i="25"/>
  <c r="H90" i="25" s="1"/>
  <c r="E154" i="25" s="1"/>
  <c r="E184" i="28" s="1"/>
  <c r="AA85" i="25"/>
  <c r="AA90" i="25" s="1"/>
  <c r="X154" i="25" s="1"/>
  <c r="F85" i="25"/>
  <c r="F90" i="25" s="1"/>
  <c r="C154" i="25" s="1"/>
  <c r="C184" i="28" s="1"/>
  <c r="AD85" i="25"/>
  <c r="AD90" i="25" s="1"/>
  <c r="AA154" i="25" s="1"/>
  <c r="AC85" i="25"/>
  <c r="AC90" i="25" s="1"/>
  <c r="Z154" i="25" s="1"/>
  <c r="T73" i="25"/>
  <c r="W83" i="25"/>
  <c r="Z83" i="25"/>
  <c r="AB85" i="25"/>
  <c r="AB90" i="25" s="1"/>
  <c r="Y154" i="25" s="1"/>
  <c r="U83" i="25"/>
  <c r="I30" i="25"/>
  <c r="H9" i="8"/>
  <c r="AD220" i="28"/>
  <c r="AD188" i="28"/>
  <c r="AD156" i="28"/>
  <c r="F159" i="25"/>
  <c r="E189" i="28"/>
  <c r="R157" i="28"/>
  <c r="N218" i="28"/>
  <c r="J117" i="28"/>
  <c r="I86" i="28" s="1"/>
  <c r="I91" i="28" s="1"/>
  <c r="F152" i="28" s="1"/>
  <c r="Y117" i="28"/>
  <c r="X86" i="28" s="1"/>
  <c r="X91" i="28" s="1"/>
  <c r="U152" i="28" s="1"/>
  <c r="N75" i="28"/>
  <c r="N74" i="28" s="1"/>
  <c r="P53" i="28"/>
  <c r="M48" i="28"/>
  <c r="R11" i="28"/>
  <c r="P32" i="28"/>
  <c r="P31" i="28" s="1"/>
  <c r="P70" i="28"/>
  <c r="U75" i="28"/>
  <c r="U74" i="28" s="1"/>
  <c r="T48" i="28"/>
  <c r="T47" i="28" s="1"/>
  <c r="I30" i="28"/>
  <c r="I29" i="28" s="1"/>
  <c r="Z75" i="28"/>
  <c r="Z74" i="28" s="1"/>
  <c r="N70" i="28"/>
  <c r="N69" i="28" s="1"/>
  <c r="L29" i="28"/>
  <c r="M75" i="28"/>
  <c r="M74" i="28" s="1"/>
  <c r="X48" i="28"/>
  <c r="X47" i="28" s="1"/>
  <c r="O117" i="28"/>
  <c r="N86" i="28" s="1"/>
  <c r="N91" i="28" s="1"/>
  <c r="K152" i="28" s="1"/>
  <c r="R53" i="28"/>
  <c r="R52" i="28" s="1"/>
  <c r="V32" i="28"/>
  <c r="V31" i="28" s="1"/>
  <c r="V75" i="28"/>
  <c r="U70" i="28"/>
  <c r="AB70" i="28"/>
  <c r="V70" i="28"/>
  <c r="V69" i="28" s="1"/>
  <c r="S53" i="28"/>
  <c r="S52" i="28" s="1"/>
  <c r="U53" i="28"/>
  <c r="U52" i="28" s="1"/>
  <c r="Q53" i="28"/>
  <c r="Q52" i="28" s="1"/>
  <c r="T70" i="28"/>
  <c r="T69" i="28" s="1"/>
  <c r="Z11" i="28"/>
  <c r="Q11" i="28"/>
  <c r="N53" i="28"/>
  <c r="N52" i="28" s="1"/>
  <c r="X75" i="28"/>
  <c r="X74" i="28" s="1"/>
  <c r="U32" i="28"/>
  <c r="U31" i="28" s="1"/>
  <c r="O11" i="28"/>
  <c r="X70" i="28"/>
  <c r="X69" i="28" s="1"/>
  <c r="W70" i="28"/>
  <c r="P52" i="28"/>
  <c r="V117" i="28"/>
  <c r="U86" i="28" s="1"/>
  <c r="U91" i="28" s="1"/>
  <c r="R152" i="28" s="1"/>
  <c r="Z32" i="28"/>
  <c r="Z31" i="28" s="1"/>
  <c r="V53" i="28"/>
  <c r="V52" i="28" s="1"/>
  <c r="R48" i="28"/>
  <c r="R47" i="28" s="1"/>
  <c r="R70" i="28"/>
  <c r="R69" i="28" s="1"/>
  <c r="Z48" i="28"/>
  <c r="Z47" i="28" s="1"/>
  <c r="O70" i="28"/>
  <c r="O69" i="28" s="1"/>
  <c r="T117" i="28"/>
  <c r="S86" i="28" s="1"/>
  <c r="S91" i="28" s="1"/>
  <c r="P152" i="28" s="1"/>
  <c r="W117" i="28"/>
  <c r="V86" i="28" s="1"/>
  <c r="V91" i="28" s="1"/>
  <c r="S152" i="28" s="1"/>
  <c r="U117" i="28"/>
  <c r="T86" i="28" s="1"/>
  <c r="T91" i="28" s="1"/>
  <c r="Q152" i="28" s="1"/>
  <c r="AB75" i="28"/>
  <c r="AB74" i="28" s="1"/>
  <c r="X32" i="28"/>
  <c r="X31" i="28" s="1"/>
  <c r="W11" i="28"/>
  <c r="W10" i="28" s="1"/>
  <c r="V48" i="28"/>
  <c r="O48" i="28"/>
  <c r="O47" i="28" s="1"/>
  <c r="Y48" i="28"/>
  <c r="Y47" i="28" s="1"/>
  <c r="Q75" i="28"/>
  <c r="Q74" i="28" s="1"/>
  <c r="N32" i="28"/>
  <c r="N31" i="28" s="1"/>
  <c r="X11" i="28"/>
  <c r="X10" i="28" s="1"/>
  <c r="N11" i="28"/>
  <c r="V11" i="28"/>
  <c r="V10" i="28" s="1"/>
  <c r="Q48" i="28"/>
  <c r="Q47" i="28" s="1"/>
  <c r="X84" i="28"/>
  <c r="U147" i="28" s="1"/>
  <c r="AB73" i="28"/>
  <c r="AB72" i="28" s="1"/>
  <c r="V51" i="28"/>
  <c r="V50" i="28" s="1"/>
  <c r="U51" i="28"/>
  <c r="U50" i="28" s="1"/>
  <c r="P84" i="28"/>
  <c r="M147" i="28" s="1"/>
  <c r="P117" i="28"/>
  <c r="O86" i="28" s="1"/>
  <c r="O91" i="28" s="1"/>
  <c r="L152" i="28" s="1"/>
  <c r="P51" i="28"/>
  <c r="P50" i="28" s="1"/>
  <c r="N30" i="28"/>
  <c r="N29" i="28" s="1"/>
  <c r="Q32" i="28"/>
  <c r="Q31" i="28" s="1"/>
  <c r="W53" i="28"/>
  <c r="W52" i="28" s="1"/>
  <c r="K75" i="28"/>
  <c r="K74" i="28" s="1"/>
  <c r="R10" i="28"/>
  <c r="R84" i="28"/>
  <c r="O147" i="28" s="1"/>
  <c r="W84" i="28"/>
  <c r="T147" i="28" s="1"/>
  <c r="W69" i="28"/>
  <c r="S117" i="28"/>
  <c r="R86" i="28" s="1"/>
  <c r="R91" i="28" s="1"/>
  <c r="O152" i="28" s="1"/>
  <c r="Q51" i="28"/>
  <c r="Q50" i="28" s="1"/>
  <c r="N51" i="28"/>
  <c r="N50" i="28" s="1"/>
  <c r="T73" i="28"/>
  <c r="T72" i="28" s="1"/>
  <c r="R30" i="28"/>
  <c r="R29" i="28" s="1"/>
  <c r="U30" i="28"/>
  <c r="U29" i="28" s="1"/>
  <c r="T75" i="28"/>
  <c r="T74" i="28" s="1"/>
  <c r="R75" i="28"/>
  <c r="R74" i="28" s="1"/>
  <c r="Z53" i="28"/>
  <c r="Z52" i="28" s="1"/>
  <c r="R32" i="28"/>
  <c r="R31" i="28" s="1"/>
  <c r="O32" i="28"/>
  <c r="O31" i="28" s="1"/>
  <c r="Y53" i="28"/>
  <c r="Y52" i="28" s="1"/>
  <c r="S48" i="28"/>
  <c r="S47" i="28" s="1"/>
  <c r="W48" i="28"/>
  <c r="W47" i="28" s="1"/>
  <c r="AA70" i="28"/>
  <c r="AA69" i="28" s="1"/>
  <c r="M70" i="28"/>
  <c r="Y11" i="28"/>
  <c r="AA84" i="28"/>
  <c r="X147" i="28" s="1"/>
  <c r="S84" i="28"/>
  <c r="P147" i="28" s="1"/>
  <c r="AA73" i="28"/>
  <c r="AA72" i="28" s="1"/>
  <c r="W30" i="28"/>
  <c r="W29" i="28" s="1"/>
  <c r="W51" i="28"/>
  <c r="W50" i="28" s="1"/>
  <c r="S51" i="28"/>
  <c r="S50" i="28" s="1"/>
  <c r="M30" i="28"/>
  <c r="M29" i="28" s="1"/>
  <c r="V74" i="28"/>
  <c r="Y73" i="28"/>
  <c r="Y72" i="28" s="1"/>
  <c r="O30" i="28"/>
  <c r="O29" i="28" s="1"/>
  <c r="S30" i="28"/>
  <c r="S29" i="28" s="1"/>
  <c r="W73" i="28"/>
  <c r="W72" i="28" s="1"/>
  <c r="O84" i="28"/>
  <c r="L147" i="28" s="1"/>
  <c r="O10" i="28"/>
  <c r="N84" i="28"/>
  <c r="K147" i="28" s="1"/>
  <c r="N10" i="28"/>
  <c r="Z10" i="28"/>
  <c r="Z84" i="28"/>
  <c r="W147" i="28" s="1"/>
  <c r="V47" i="28"/>
  <c r="M47" i="28"/>
  <c r="X117" i="28"/>
  <c r="W86" i="28" s="1"/>
  <c r="W91" i="28" s="1"/>
  <c r="T152" i="28" s="1"/>
  <c r="N117" i="28"/>
  <c r="M86" i="28" s="1"/>
  <c r="M91" i="28" s="1"/>
  <c r="J152" i="28" s="1"/>
  <c r="M117" i="28"/>
  <c r="O51" i="28"/>
  <c r="O50" i="28" s="1"/>
  <c r="Y51" i="28"/>
  <c r="Y50" i="28" s="1"/>
  <c r="S73" i="28"/>
  <c r="S72" i="28" s="1"/>
  <c r="V73" i="28"/>
  <c r="V72" i="28" s="1"/>
  <c r="O73" i="28"/>
  <c r="O72" i="28" s="1"/>
  <c r="X53" i="28"/>
  <c r="X52" i="28" s="1"/>
  <c r="M32" i="28"/>
  <c r="M31" i="28" s="1"/>
  <c r="P73" i="28"/>
  <c r="P72" i="28" s="1"/>
  <c r="N73" i="28"/>
  <c r="N72" i="28" s="1"/>
  <c r="AB69" i="28"/>
  <c r="AB84" i="28"/>
  <c r="Y147" i="28" s="1"/>
  <c r="V84" i="28"/>
  <c r="S147" i="28" s="1"/>
  <c r="Z30" i="28"/>
  <c r="Z29" i="28" s="1"/>
  <c r="Q84" i="28"/>
  <c r="N147" i="28" s="1"/>
  <c r="Q10" i="28"/>
  <c r="Z73" i="28"/>
  <c r="Z72" i="28" s="1"/>
  <c r="T51" i="28"/>
  <c r="T50" i="28" s="1"/>
  <c r="W32" i="28"/>
  <c r="W31" i="28" s="1"/>
  <c r="T32" i="28"/>
  <c r="T31" i="28" s="1"/>
  <c r="L32" i="28"/>
  <c r="L31" i="28" s="1"/>
  <c r="T84" i="28"/>
  <c r="Q147" i="28" s="1"/>
  <c r="M69" i="28"/>
  <c r="U84" i="28"/>
  <c r="R147" i="28" s="1"/>
  <c r="AA117" i="28"/>
  <c r="Z86" i="28" s="1"/>
  <c r="Z91" i="28" s="1"/>
  <c r="W152" i="28" s="1"/>
  <c r="Q117" i="28"/>
  <c r="P86" i="28" s="1"/>
  <c r="P91" i="28" s="1"/>
  <c r="M152" i="28" s="1"/>
  <c r="Q73" i="28"/>
  <c r="Q72" i="28" s="1"/>
  <c r="M73" i="28"/>
  <c r="M72" i="28" s="1"/>
  <c r="X51" i="28"/>
  <c r="X50" i="28" s="1"/>
  <c r="X73" i="28"/>
  <c r="X72" i="28" s="1"/>
  <c r="X30" i="28"/>
  <c r="X29" i="28" s="1"/>
  <c r="Y30" i="28"/>
  <c r="Y29" i="28" s="1"/>
  <c r="S75" i="28"/>
  <c r="S74" i="28" s="1"/>
  <c r="AA75" i="28"/>
  <c r="AA74" i="28" s="1"/>
  <c r="Y75" i="28"/>
  <c r="Y74" i="28" s="1"/>
  <c r="M53" i="28"/>
  <c r="M52" i="28" s="1"/>
  <c r="W75" i="28"/>
  <c r="W74" i="28" s="1"/>
  <c r="Y70" i="28"/>
  <c r="Y69" i="28" s="1"/>
  <c r="P11" i="28"/>
  <c r="P10" i="28" s="1"/>
  <c r="Q70" i="28"/>
  <c r="Q69" i="28" s="1"/>
  <c r="N48" i="28"/>
  <c r="N47" i="28" s="1"/>
  <c r="N56" i="28" s="1"/>
  <c r="N58" i="28" s="1"/>
  <c r="P48" i="28"/>
  <c r="P47" i="28" s="1"/>
  <c r="U11" i="28"/>
  <c r="U10" i="28" s="1"/>
  <c r="P69" i="28"/>
  <c r="Q119" i="28"/>
  <c r="N180" i="28" s="1"/>
  <c r="Y84" i="28"/>
  <c r="V147" i="28" s="1"/>
  <c r="Y10" i="28"/>
  <c r="V30" i="28"/>
  <c r="V29" i="28" s="1"/>
  <c r="AB117" i="28"/>
  <c r="AA86" i="28" s="1"/>
  <c r="AA91" i="28" s="1"/>
  <c r="X152" i="28" s="1"/>
  <c r="Z117" i="28"/>
  <c r="Y86" i="28" s="1"/>
  <c r="Y91" i="28" s="1"/>
  <c r="V152" i="28" s="1"/>
  <c r="U73" i="28"/>
  <c r="U72" i="28" s="1"/>
  <c r="M51" i="28"/>
  <c r="M50" i="28" s="1"/>
  <c r="S32" i="28"/>
  <c r="S31" i="28" s="1"/>
  <c r="AC112" i="28"/>
  <c r="AD112" i="28" s="1"/>
  <c r="AE112" i="28" s="1"/>
  <c r="AF112" i="28" s="1"/>
  <c r="M112" i="28"/>
  <c r="N112" i="28" s="1"/>
  <c r="O112" i="28" s="1"/>
  <c r="P112" i="28" s="1"/>
  <c r="Q112" i="28" s="1"/>
  <c r="R112" i="28" s="1"/>
  <c r="S112" i="28" s="1"/>
  <c r="T112" i="28" s="1"/>
  <c r="U112" i="28" s="1"/>
  <c r="V112" i="28" s="1"/>
  <c r="W112" i="28" s="1"/>
  <c r="X112" i="28" s="1"/>
  <c r="Y112" i="28" s="1"/>
  <c r="Z112" i="28" s="1"/>
  <c r="AA112" i="28" s="1"/>
  <c r="AB112" i="28" s="1"/>
  <c r="L53" i="28"/>
  <c r="L52" i="28" s="1"/>
  <c r="U69" i="28"/>
  <c r="M84" i="28"/>
  <c r="J147" i="28" s="1"/>
  <c r="R117" i="28"/>
  <c r="Q86" i="28" s="1"/>
  <c r="Q91" i="28" s="1"/>
  <c r="N152" i="28" s="1"/>
  <c r="R73" i="28"/>
  <c r="R72" i="28" s="1"/>
  <c r="Z51" i="28"/>
  <c r="Z50" i="28" s="1"/>
  <c r="T30" i="28"/>
  <c r="T29" i="28" s="1"/>
  <c r="R51" i="28"/>
  <c r="R50" i="28" s="1"/>
  <c r="P30" i="28"/>
  <c r="P29" i="28" s="1"/>
  <c r="Q30" i="28"/>
  <c r="Q29" i="28" s="1"/>
  <c r="O53" i="28"/>
  <c r="O52" i="28" s="1"/>
  <c r="P75" i="28"/>
  <c r="P74" i="28" s="1"/>
  <c r="T53" i="28"/>
  <c r="T52" i="28" s="1"/>
  <c r="Y32" i="28"/>
  <c r="Y31" i="28" s="1"/>
  <c r="O75" i="28"/>
  <c r="O74" i="28" s="1"/>
  <c r="Z70" i="28"/>
  <c r="Z69" i="28" s="1"/>
  <c r="Z78" i="28" s="1"/>
  <c r="Z80" i="28" s="1"/>
  <c r="S70" i="28"/>
  <c r="S69" i="28" s="1"/>
  <c r="U48" i="28"/>
  <c r="U47" i="28" s="1"/>
  <c r="U56" i="28" s="1"/>
  <c r="U58" i="28" s="1"/>
  <c r="S11" i="28"/>
  <c r="S10" i="28" s="1"/>
  <c r="T11" i="28"/>
  <c r="T10" i="28" s="1"/>
  <c r="M11" i="28"/>
  <c r="M10" i="28" s="1"/>
  <c r="K51" i="28"/>
  <c r="K50" i="28" s="1"/>
  <c r="H51" i="28"/>
  <c r="H50" i="28" s="1"/>
  <c r="AE117" i="28"/>
  <c r="K73" i="28"/>
  <c r="K72" i="28" s="1"/>
  <c r="H117" i="28"/>
  <c r="G86" i="28" s="1"/>
  <c r="G91" i="28" s="1"/>
  <c r="D152" i="28" s="1"/>
  <c r="K117" i="28"/>
  <c r="J86" i="28" s="1"/>
  <c r="J91" i="28" s="1"/>
  <c r="G152" i="28" s="1"/>
  <c r="K53" i="28"/>
  <c r="K52" i="28" s="1"/>
  <c r="L73" i="28"/>
  <c r="L72" i="28" s="1"/>
  <c r="L48" i="28"/>
  <c r="L47" i="28" s="1"/>
  <c r="I117" i="28"/>
  <c r="H86" i="28" s="1"/>
  <c r="H91" i="28" s="1"/>
  <c r="E152" i="28" s="1"/>
  <c r="K70" i="28"/>
  <c r="K69" i="28" s="1"/>
  <c r="L139" i="28" s="1"/>
  <c r="L117" i="28"/>
  <c r="K86" i="28" s="1"/>
  <c r="K91" i="28" s="1"/>
  <c r="H152" i="28" s="1"/>
  <c r="L51" i="28"/>
  <c r="L50" i="28" s="1"/>
  <c r="K48" i="28"/>
  <c r="K47" i="28" s="1"/>
  <c r="L75" i="28"/>
  <c r="L74" i="28" s="1"/>
  <c r="K84" i="28"/>
  <c r="H147" i="28" s="1"/>
  <c r="L70" i="28"/>
  <c r="L69" i="28" s="1"/>
  <c r="L84" i="28"/>
  <c r="L10" i="28"/>
  <c r="H30" i="28"/>
  <c r="H29" i="28" s="1"/>
  <c r="H11" i="28"/>
  <c r="H10" i="28" s="1"/>
  <c r="I139" i="28" s="1"/>
  <c r="K9" i="26"/>
  <c r="K35" i="26" s="1"/>
  <c r="J114" i="26"/>
  <c r="I85" i="26" s="1"/>
  <c r="I90" i="26" s="1"/>
  <c r="F154" i="26" s="1"/>
  <c r="F216" i="28" s="1"/>
  <c r="H115" i="25"/>
  <c r="K35" i="25"/>
  <c r="P30" i="25"/>
  <c r="X73" i="25"/>
  <c r="I10" i="25"/>
  <c r="I9" i="25" s="1"/>
  <c r="T51" i="25"/>
  <c r="AD73" i="25"/>
  <c r="H29" i="25"/>
  <c r="H28" i="25" s="1"/>
  <c r="M30" i="25"/>
  <c r="F31" i="25"/>
  <c r="M29" i="25"/>
  <c r="M28" i="25" s="1"/>
  <c r="O50" i="25"/>
  <c r="O49" i="25" s="1"/>
  <c r="K73" i="25"/>
  <c r="Y115" i="25"/>
  <c r="L115" i="25"/>
  <c r="W115" i="25"/>
  <c r="L29" i="25"/>
  <c r="L28" i="25" s="1"/>
  <c r="U29" i="25"/>
  <c r="U28" i="25" s="1"/>
  <c r="AC72" i="25"/>
  <c r="J115" i="25"/>
  <c r="Y47" i="25"/>
  <c r="Y46" i="25" s="1"/>
  <c r="T72" i="25"/>
  <c r="T71" i="25" s="1"/>
  <c r="R50" i="25"/>
  <c r="R49" i="25" s="1"/>
  <c r="R72" i="25"/>
  <c r="R71" i="25" s="1"/>
  <c r="L72" i="25"/>
  <c r="L71" i="25" s="1"/>
  <c r="W50" i="25"/>
  <c r="W49" i="25" s="1"/>
  <c r="N50" i="25"/>
  <c r="W47" i="25"/>
  <c r="W46" i="25" s="1"/>
  <c r="X115" i="25"/>
  <c r="N74" i="25"/>
  <c r="N73" i="25" s="1"/>
  <c r="O72" i="25"/>
  <c r="O71" i="25" s="1"/>
  <c r="G98" i="25"/>
  <c r="G100" i="25" s="1"/>
  <c r="R10" i="25"/>
  <c r="Q50" i="25"/>
  <c r="Q49" i="25" s="1"/>
  <c r="Z115" i="25"/>
  <c r="M50" i="25"/>
  <c r="M49" i="25" s="1"/>
  <c r="L50" i="25"/>
  <c r="L49" i="25" s="1"/>
  <c r="U52" i="25"/>
  <c r="U51" i="25" s="1"/>
  <c r="R115" i="25"/>
  <c r="Q98" i="25"/>
  <c r="Q100" i="25" s="1"/>
  <c r="I98" i="25"/>
  <c r="I100" i="25" s="1"/>
  <c r="Z73" i="25"/>
  <c r="S50" i="25"/>
  <c r="S49" i="25" s="1"/>
  <c r="P115" i="25"/>
  <c r="J29" i="25"/>
  <c r="J28" i="25" s="1"/>
  <c r="G50" i="25"/>
  <c r="G49" i="25" s="1"/>
  <c r="W51" i="25"/>
  <c r="Q31" i="25"/>
  <c r="Q30" i="25" s="1"/>
  <c r="Q115" i="25"/>
  <c r="AB69" i="25"/>
  <c r="S29" i="25"/>
  <c r="O29" i="25"/>
  <c r="O28" i="25" s="1"/>
  <c r="F30" i="28"/>
  <c r="F29" i="28" s="1"/>
  <c r="I48" i="28"/>
  <c r="I47" i="28" s="1"/>
  <c r="AC117" i="28"/>
  <c r="AF117" i="28"/>
  <c r="G48" i="28"/>
  <c r="G47" i="28" s="1"/>
  <c r="H53" i="28"/>
  <c r="H52" i="28" s="1"/>
  <c r="J84" i="28"/>
  <c r="G147" i="28" s="1"/>
  <c r="J11" i="28"/>
  <c r="J10" i="28" s="1"/>
  <c r="K139" i="28" s="1"/>
  <c r="H32" i="28"/>
  <c r="H31" i="28" s="1"/>
  <c r="E10" i="28"/>
  <c r="F139" i="28" s="1"/>
  <c r="G11" i="28"/>
  <c r="G10" i="28" s="1"/>
  <c r="H139" i="28" s="1"/>
  <c r="AD117" i="28"/>
  <c r="J53" i="28"/>
  <c r="J52" i="28" s="1"/>
  <c r="G30" i="28"/>
  <c r="G29" i="28" s="1"/>
  <c r="AC139" i="28"/>
  <c r="F11" i="28"/>
  <c r="F10" i="28" s="1"/>
  <c r="G139" i="28" s="1"/>
  <c r="G53" i="28"/>
  <c r="G52" i="28" s="1"/>
  <c r="J48" i="28"/>
  <c r="J47" i="28" s="1"/>
  <c r="I32" i="28"/>
  <c r="I31" i="28" s="1"/>
  <c r="F32" i="28"/>
  <c r="F31" i="28" s="1"/>
  <c r="I53" i="28"/>
  <c r="I52" i="28" s="1"/>
  <c r="I11" i="28"/>
  <c r="I10" i="28" s="1"/>
  <c r="J139" i="28" s="1"/>
  <c r="G32" i="28"/>
  <c r="G31" i="28" s="1"/>
  <c r="J32" i="28"/>
  <c r="J31" i="28" s="1"/>
  <c r="H48" i="28"/>
  <c r="H47" i="28" s="1"/>
  <c r="C147" i="28"/>
  <c r="F99" i="28"/>
  <c r="F101" i="28" s="1"/>
  <c r="F92" i="28" s="1"/>
  <c r="C153" i="28" s="1"/>
  <c r="J51" i="28"/>
  <c r="J50" i="28" s="1"/>
  <c r="G51" i="28"/>
  <c r="G50" i="28" s="1"/>
  <c r="E29" i="28"/>
  <c r="J30" i="28"/>
  <c r="J29" i="28" s="1"/>
  <c r="I51" i="28"/>
  <c r="I50" i="28" s="1"/>
  <c r="G84" i="28"/>
  <c r="H84" i="28"/>
  <c r="I84" i="28"/>
  <c r="W31" i="24"/>
  <c r="H117" i="24"/>
  <c r="G86" i="24" s="1"/>
  <c r="X10" i="24"/>
  <c r="X117" i="24"/>
  <c r="W86" i="24" s="1"/>
  <c r="W91" i="24" s="1"/>
  <c r="T152" i="24" s="1"/>
  <c r="S84" i="24"/>
  <c r="Z30" i="24"/>
  <c r="Z29" i="24" s="1"/>
  <c r="X32" i="24"/>
  <c r="X31" i="24" s="1"/>
  <c r="W30" i="24"/>
  <c r="W29" i="24" s="1"/>
  <c r="Y30" i="24"/>
  <c r="Y29" i="24" s="1"/>
  <c r="P117" i="24"/>
  <c r="O86" i="24" s="1"/>
  <c r="O91" i="24" s="1"/>
  <c r="L152" i="24" s="1"/>
  <c r="O84" i="24"/>
  <c r="C147" i="24"/>
  <c r="F99" i="24"/>
  <c r="F101" i="24" s="1"/>
  <c r="F92" i="24" s="1"/>
  <c r="C153" i="24" s="1"/>
  <c r="O117" i="24"/>
  <c r="N86" i="24" s="1"/>
  <c r="X30" i="24"/>
  <c r="X29" i="24" s="1"/>
  <c r="O115" i="25"/>
  <c r="N30" i="25"/>
  <c r="J30" i="25"/>
  <c r="Q29" i="25"/>
  <c r="Q28" i="25" s="1"/>
  <c r="U72" i="25"/>
  <c r="U71" i="25" s="1"/>
  <c r="G30" i="25"/>
  <c r="G51" i="25"/>
  <c r="S30" i="25"/>
  <c r="W69" i="25"/>
  <c r="M51" i="25"/>
  <c r="I51" i="25"/>
  <c r="X50" i="25"/>
  <c r="X49" i="25" s="1"/>
  <c r="S28" i="25"/>
  <c r="R98" i="25"/>
  <c r="R100" i="25" s="1"/>
  <c r="M115" i="25"/>
  <c r="Z51" i="25"/>
  <c r="L51" i="25"/>
  <c r="Y51" i="25"/>
  <c r="U74" i="25"/>
  <c r="U73" i="25" s="1"/>
  <c r="H31" i="25"/>
  <c r="H30" i="25" s="1"/>
  <c r="K52" i="25"/>
  <c r="K51" i="25" s="1"/>
  <c r="AB73" i="25"/>
  <c r="P73" i="25"/>
  <c r="Q71" i="25"/>
  <c r="K83" i="26"/>
  <c r="AD72" i="26"/>
  <c r="AD71" i="26" s="1"/>
  <c r="R52" i="26"/>
  <c r="R51" i="26" s="1"/>
  <c r="K72" i="26"/>
  <c r="K71" i="26" s="1"/>
  <c r="M10" i="26"/>
  <c r="M9" i="26" s="1"/>
  <c r="P71" i="26"/>
  <c r="M50" i="26"/>
  <c r="M49" i="26" s="1"/>
  <c r="N10" i="26"/>
  <c r="N9" i="26" s="1"/>
  <c r="C149" i="26"/>
  <c r="C211" i="28" s="1"/>
  <c r="AB72" i="26"/>
  <c r="AB71" i="26" s="1"/>
  <c r="S74" i="26"/>
  <c r="S73" i="26" s="1"/>
  <c r="W47" i="26"/>
  <c r="W46" i="26" s="1"/>
  <c r="O83" i="26"/>
  <c r="O98" i="26" s="1"/>
  <c r="U72" i="26"/>
  <c r="U71" i="26" s="1"/>
  <c r="X72" i="26"/>
  <c r="X71" i="26" s="1"/>
  <c r="K114" i="26"/>
  <c r="J85" i="26" s="1"/>
  <c r="J90" i="26" s="1"/>
  <c r="G154" i="26" s="1"/>
  <c r="G216" i="28" s="1"/>
  <c r="W83" i="26"/>
  <c r="W98" i="26" s="1"/>
  <c r="L72" i="26"/>
  <c r="L71" i="26" s="1"/>
  <c r="T73" i="26"/>
  <c r="Y69" i="26"/>
  <c r="Y68" i="26" s="1"/>
  <c r="J52" i="26"/>
  <c r="J51" i="26" s="1"/>
  <c r="J47" i="26"/>
  <c r="S69" i="26"/>
  <c r="S68" i="26" s="1"/>
  <c r="M69" i="26"/>
  <c r="M68" i="26" s="1"/>
  <c r="AC74" i="26"/>
  <c r="AC73" i="26" s="1"/>
  <c r="V69" i="26"/>
  <c r="V68" i="26" s="1"/>
  <c r="O69" i="26"/>
  <c r="O68" i="26" s="1"/>
  <c r="Y72" i="26"/>
  <c r="Y71" i="26" s="1"/>
  <c r="K69" i="26"/>
  <c r="K68" i="26" s="1"/>
  <c r="M47" i="26"/>
  <c r="U69" i="26"/>
  <c r="U68" i="26" s="1"/>
  <c r="AD69" i="26"/>
  <c r="AD68" i="26" s="1"/>
  <c r="S52" i="26"/>
  <c r="S51" i="26" s="1"/>
  <c r="H114" i="26"/>
  <c r="G85" i="26" s="1"/>
  <c r="G90" i="26" s="1"/>
  <c r="D154" i="26" s="1"/>
  <c r="D216" i="28" s="1"/>
  <c r="V52" i="26"/>
  <c r="V51" i="26" s="1"/>
  <c r="U47" i="26"/>
  <c r="U46" i="26" s="1"/>
  <c r="S72" i="26"/>
  <c r="S71" i="26" s="1"/>
  <c r="AC69" i="26"/>
  <c r="AC68" i="26" s="1"/>
  <c r="Q69" i="26"/>
  <c r="Q68" i="26" s="1"/>
  <c r="N72" i="26"/>
  <c r="N71" i="26" s="1"/>
  <c r="O72" i="26"/>
  <c r="O71" i="26" s="1"/>
  <c r="X69" i="26"/>
  <c r="X68" i="26" s="1"/>
  <c r="R74" i="26"/>
  <c r="R73" i="26" s="1"/>
  <c r="Z74" i="26"/>
  <c r="Z73" i="26" s="1"/>
  <c r="Q74" i="26"/>
  <c r="Q73" i="26" s="1"/>
  <c r="Y74" i="26"/>
  <c r="Y73" i="26" s="1"/>
  <c r="AA69" i="26"/>
  <c r="AA68" i="26" s="1"/>
  <c r="L74" i="26"/>
  <c r="L73" i="26" s="1"/>
  <c r="W69" i="26"/>
  <c r="W68" i="26" s="1"/>
  <c r="P69" i="26"/>
  <c r="P68" i="26" s="1"/>
  <c r="U52" i="26"/>
  <c r="U51" i="26" s="1"/>
  <c r="AA72" i="26"/>
  <c r="AA71" i="26" s="1"/>
  <c r="L69" i="26"/>
  <c r="L68" i="26" s="1"/>
  <c r="AB74" i="26"/>
  <c r="AB73" i="26" s="1"/>
  <c r="M72" i="26"/>
  <c r="M71" i="26" s="1"/>
  <c r="Z69" i="26"/>
  <c r="Z68" i="26" s="1"/>
  <c r="V72" i="26"/>
  <c r="V71" i="26" s="1"/>
  <c r="W72" i="26"/>
  <c r="W71" i="26" s="1"/>
  <c r="T69" i="26"/>
  <c r="T68" i="26" s="1"/>
  <c r="O74" i="26"/>
  <c r="O73" i="26" s="1"/>
  <c r="O52" i="26"/>
  <c r="O51" i="26" s="1"/>
  <c r="AA114" i="26"/>
  <c r="Z85" i="26" s="1"/>
  <c r="Z90" i="26" s="1"/>
  <c r="W154" i="26" s="1"/>
  <c r="N114" i="26"/>
  <c r="M85" i="26" s="1"/>
  <c r="M90" i="26" s="1"/>
  <c r="J154" i="26" s="1"/>
  <c r="J216" i="28" s="1"/>
  <c r="I114" i="26"/>
  <c r="H85" i="26" s="1"/>
  <c r="H90" i="26" s="1"/>
  <c r="E154" i="26" s="1"/>
  <c r="E216" i="28" s="1"/>
  <c r="I31" i="26"/>
  <c r="I30" i="26" s="1"/>
  <c r="R72" i="26"/>
  <c r="R71" i="26" s="1"/>
  <c r="Z72" i="26"/>
  <c r="Z71" i="26" s="1"/>
  <c r="AA74" i="26"/>
  <c r="AA73" i="26" s="1"/>
  <c r="AB69" i="26"/>
  <c r="AB68" i="26" s="1"/>
  <c r="AC72" i="26"/>
  <c r="AC71" i="26" s="1"/>
  <c r="N74" i="26"/>
  <c r="N73" i="26" s="1"/>
  <c r="W74" i="26"/>
  <c r="W73" i="26" s="1"/>
  <c r="P74" i="26"/>
  <c r="P73" i="26" s="1"/>
  <c r="K74" i="26"/>
  <c r="K73" i="26" s="1"/>
  <c r="X74" i="26"/>
  <c r="X73" i="26" s="1"/>
  <c r="M74" i="26"/>
  <c r="M73" i="26" s="1"/>
  <c r="V74" i="26"/>
  <c r="V73" i="26" s="1"/>
  <c r="L31" i="26"/>
  <c r="L30" i="26" s="1"/>
  <c r="X47" i="26"/>
  <c r="X46" i="26" s="1"/>
  <c r="Y139" i="26" s="1"/>
  <c r="R69" i="26"/>
  <c r="R68" i="26" s="1"/>
  <c r="T72" i="26"/>
  <c r="T71" i="26" s="1"/>
  <c r="U74" i="26"/>
  <c r="U73" i="26" s="1"/>
  <c r="N69" i="26"/>
  <c r="N68" i="26" s="1"/>
  <c r="AD74" i="26"/>
  <c r="AD73" i="26" s="1"/>
  <c r="Q72" i="26"/>
  <c r="Q71" i="26" s="1"/>
  <c r="G47" i="26"/>
  <c r="G46" i="26" s="1"/>
  <c r="K52" i="26"/>
  <c r="K51" i="26" s="1"/>
  <c r="Y47" i="26"/>
  <c r="Y46" i="26" s="1"/>
  <c r="G31" i="26"/>
  <c r="G30" i="26" s="1"/>
  <c r="Z47" i="26"/>
  <c r="Z46" i="26" s="1"/>
  <c r="F31" i="26"/>
  <c r="F30" i="26" s="1"/>
  <c r="N31" i="26"/>
  <c r="N30" i="26" s="1"/>
  <c r="K47" i="26"/>
  <c r="K46" i="26" s="1"/>
  <c r="F100" i="26"/>
  <c r="F91" i="26" s="1"/>
  <c r="C155" i="26" s="1"/>
  <c r="C217" i="28" s="1"/>
  <c r="H52" i="26"/>
  <c r="H51" i="26" s="1"/>
  <c r="L52" i="26"/>
  <c r="L51" i="26" s="1"/>
  <c r="V114" i="26"/>
  <c r="U85" i="26" s="1"/>
  <c r="U90" i="26" s="1"/>
  <c r="R154" i="26" s="1"/>
  <c r="H31" i="26"/>
  <c r="H30" i="26" s="1"/>
  <c r="Y52" i="26"/>
  <c r="Y51" i="26" s="1"/>
  <c r="L10" i="26"/>
  <c r="L9" i="26" s="1"/>
  <c r="S47" i="26"/>
  <c r="S46" i="26" s="1"/>
  <c r="I10" i="26"/>
  <c r="I9" i="26" s="1"/>
  <c r="F10" i="26"/>
  <c r="F9" i="26" s="1"/>
  <c r="G139" i="26" s="1"/>
  <c r="P52" i="26"/>
  <c r="P51" i="26" s="1"/>
  <c r="T52" i="26"/>
  <c r="T51" i="26" s="1"/>
  <c r="J31" i="26"/>
  <c r="J30" i="26" s="1"/>
  <c r="E30" i="26"/>
  <c r="V47" i="26"/>
  <c r="V46" i="26" s="1"/>
  <c r="W139" i="26" s="1"/>
  <c r="H47" i="26"/>
  <c r="H46" i="26" s="1"/>
  <c r="L47" i="26"/>
  <c r="L46" i="26" s="1"/>
  <c r="W52" i="26"/>
  <c r="W51" i="26" s="1"/>
  <c r="Q52" i="26"/>
  <c r="Q51" i="26" s="1"/>
  <c r="H10" i="26"/>
  <c r="H9" i="26" s="1"/>
  <c r="N52" i="26"/>
  <c r="N51" i="26" s="1"/>
  <c r="X52" i="26"/>
  <c r="X51" i="26" s="1"/>
  <c r="M52" i="26"/>
  <c r="M51" i="26" s="1"/>
  <c r="O114" i="26"/>
  <c r="N85" i="26" s="1"/>
  <c r="N90" i="26" s="1"/>
  <c r="K154" i="26" s="1"/>
  <c r="K216" i="28" s="1"/>
  <c r="G52" i="26"/>
  <c r="G51" i="26" s="1"/>
  <c r="P47" i="26"/>
  <c r="P46" i="26" s="1"/>
  <c r="T47" i="26"/>
  <c r="T46" i="26" s="1"/>
  <c r="Q47" i="26"/>
  <c r="Q46" i="26" s="1"/>
  <c r="J10" i="26"/>
  <c r="J9" i="26" s="1"/>
  <c r="N47" i="26"/>
  <c r="N46" i="26" s="1"/>
  <c r="I47" i="26"/>
  <c r="I46" i="26" s="1"/>
  <c r="G10" i="26"/>
  <c r="G9" i="26" s="1"/>
  <c r="E9" i="26"/>
  <c r="F139" i="26" s="1"/>
  <c r="U114" i="26"/>
  <c r="T85" i="26" s="1"/>
  <c r="T90" i="26" s="1"/>
  <c r="Q154" i="26" s="1"/>
  <c r="Z52" i="26"/>
  <c r="Z51" i="26" s="1"/>
  <c r="I52" i="26"/>
  <c r="I51" i="26" s="1"/>
  <c r="R47" i="26"/>
  <c r="R46" i="26" s="1"/>
  <c r="O31" i="26"/>
  <c r="O30" i="26" s="1"/>
  <c r="M31" i="26"/>
  <c r="M30" i="26" s="1"/>
  <c r="O10" i="26"/>
  <c r="O9" i="26" s="1"/>
  <c r="O47" i="26"/>
  <c r="O46" i="26" s="1"/>
  <c r="U83" i="26"/>
  <c r="U98" i="26" s="1"/>
  <c r="L83" i="26"/>
  <c r="L98" i="26" s="1"/>
  <c r="S114" i="26"/>
  <c r="R85" i="26" s="1"/>
  <c r="R90" i="26" s="1"/>
  <c r="O154" i="26" s="1"/>
  <c r="Y114" i="26"/>
  <c r="X85" i="26" s="1"/>
  <c r="X90" i="26" s="1"/>
  <c r="U154" i="26" s="1"/>
  <c r="S50" i="26"/>
  <c r="S49" i="26" s="1"/>
  <c r="G83" i="26"/>
  <c r="G98" i="26" s="1"/>
  <c r="N83" i="26"/>
  <c r="N98" i="26" s="1"/>
  <c r="Z83" i="26"/>
  <c r="Z98" i="26" s="1"/>
  <c r="Y83" i="26"/>
  <c r="Y98" i="26" s="1"/>
  <c r="M114" i="26"/>
  <c r="L85" i="26" s="1"/>
  <c r="L90" i="26" s="1"/>
  <c r="I154" i="26" s="1"/>
  <c r="I216" i="28" s="1"/>
  <c r="W114" i="26"/>
  <c r="V85" i="26" s="1"/>
  <c r="V90" i="26" s="1"/>
  <c r="S154" i="26" s="1"/>
  <c r="R114" i="26"/>
  <c r="Q85" i="26" s="1"/>
  <c r="Q90" i="26" s="1"/>
  <c r="N154" i="26" s="1"/>
  <c r="R83" i="26"/>
  <c r="R98" i="26" s="1"/>
  <c r="Q83" i="26"/>
  <c r="Q98" i="26" s="1"/>
  <c r="J50" i="26"/>
  <c r="J49" i="26" s="1"/>
  <c r="U50" i="26"/>
  <c r="U49" i="26" s="1"/>
  <c r="O50" i="26"/>
  <c r="O49" i="26" s="1"/>
  <c r="M83" i="26"/>
  <c r="M98" i="26" s="1"/>
  <c r="J46" i="26"/>
  <c r="T114" i="26"/>
  <c r="S85" i="26" s="1"/>
  <c r="S90" i="26" s="1"/>
  <c r="P154" i="26" s="1"/>
  <c r="Z114" i="26"/>
  <c r="Y85" i="26" s="1"/>
  <c r="Y90" i="26" s="1"/>
  <c r="V154" i="26" s="1"/>
  <c r="I83" i="26"/>
  <c r="I98" i="26" s="1"/>
  <c r="H83" i="26"/>
  <c r="H98" i="26" s="1"/>
  <c r="R50" i="26"/>
  <c r="R49" i="26" s="1"/>
  <c r="I29" i="26"/>
  <c r="I28" i="26" s="1"/>
  <c r="P114" i="26"/>
  <c r="O85" i="26" s="1"/>
  <c r="O90" i="26" s="1"/>
  <c r="L154" i="26" s="1"/>
  <c r="L216" i="28" s="1"/>
  <c r="L29" i="26"/>
  <c r="L28" i="26" s="1"/>
  <c r="Z50" i="26"/>
  <c r="Z49" i="26" s="1"/>
  <c r="L50" i="26"/>
  <c r="L49" i="26" s="1"/>
  <c r="L114" i="26"/>
  <c r="K85" i="26" s="1"/>
  <c r="K90" i="26" s="1"/>
  <c r="H154" i="26" s="1"/>
  <c r="H216" i="28" s="1"/>
  <c r="X114" i="26"/>
  <c r="W85" i="26" s="1"/>
  <c r="W90" i="26" s="1"/>
  <c r="T154" i="26" s="1"/>
  <c r="G50" i="26"/>
  <c r="G49" i="26" s="1"/>
  <c r="S83" i="26"/>
  <c r="S98" i="26" s="1"/>
  <c r="Y50" i="26"/>
  <c r="Y49" i="26" s="1"/>
  <c r="N29" i="26"/>
  <c r="N28" i="26" s="1"/>
  <c r="V50" i="26"/>
  <c r="V49" i="26" s="1"/>
  <c r="H50" i="26"/>
  <c r="H49" i="26" s="1"/>
  <c r="T50" i="26"/>
  <c r="T49" i="26" s="1"/>
  <c r="J83" i="26"/>
  <c r="J98" i="26" s="1"/>
  <c r="N50" i="26"/>
  <c r="N49" i="26" s="1"/>
  <c r="H29" i="26"/>
  <c r="H28" i="26" s="1"/>
  <c r="I50" i="26"/>
  <c r="I49" i="26" s="1"/>
  <c r="G29" i="26"/>
  <c r="G28" i="26" s="1"/>
  <c r="O29" i="26"/>
  <c r="O28" i="26" s="1"/>
  <c r="F29" i="26"/>
  <c r="F28" i="26" s="1"/>
  <c r="J29" i="26"/>
  <c r="J28" i="26" s="1"/>
  <c r="E28" i="26"/>
  <c r="Q50" i="26"/>
  <c r="Q49" i="26" s="1"/>
  <c r="P50" i="26"/>
  <c r="P49" i="26" s="1"/>
  <c r="X83" i="26"/>
  <c r="X98" i="26" s="1"/>
  <c r="M46" i="26"/>
  <c r="T83" i="26"/>
  <c r="T98" i="26" s="1"/>
  <c r="Q114" i="26"/>
  <c r="P85" i="26" s="1"/>
  <c r="P90" i="26" s="1"/>
  <c r="M154" i="26" s="1"/>
  <c r="W50" i="26"/>
  <c r="W49" i="26" s="1"/>
  <c r="M29" i="26"/>
  <c r="M28" i="26" s="1"/>
  <c r="X50" i="26"/>
  <c r="X49" i="26" s="1"/>
  <c r="K50" i="26"/>
  <c r="K49" i="26" s="1"/>
  <c r="P83" i="26"/>
  <c r="P98" i="26" s="1"/>
  <c r="V83" i="26"/>
  <c r="V98" i="26" s="1"/>
  <c r="N10" i="25"/>
  <c r="P69" i="25"/>
  <c r="P68" i="25" s="1"/>
  <c r="S10" i="25"/>
  <c r="K98" i="25"/>
  <c r="AC73" i="25"/>
  <c r="AA115" i="25"/>
  <c r="N29" i="25"/>
  <c r="N28" i="25" s="1"/>
  <c r="M47" i="25"/>
  <c r="M46" i="25" s="1"/>
  <c r="L69" i="25"/>
  <c r="L68" i="25" s="1"/>
  <c r="X69" i="25"/>
  <c r="AB68" i="25"/>
  <c r="AC139" i="25" s="1"/>
  <c r="AB98" i="25"/>
  <c r="V47" i="25"/>
  <c r="V46" i="25" s="1"/>
  <c r="AB72" i="25"/>
  <c r="AB71" i="25" s="1"/>
  <c r="AA73" i="25"/>
  <c r="V51" i="25"/>
  <c r="W73" i="25"/>
  <c r="H51" i="25"/>
  <c r="Q73" i="25"/>
  <c r="U98" i="25"/>
  <c r="U30" i="25"/>
  <c r="K50" i="25"/>
  <c r="K49" i="25" s="1"/>
  <c r="AA72" i="25"/>
  <c r="AA71" i="25" s="1"/>
  <c r="Y50" i="25"/>
  <c r="Y49" i="25" s="1"/>
  <c r="AD98" i="25"/>
  <c r="E9" i="25"/>
  <c r="F139" i="25" s="1"/>
  <c r="T10" i="25"/>
  <c r="J10" i="25"/>
  <c r="AC69" i="25"/>
  <c r="N98" i="25"/>
  <c r="M73" i="25"/>
  <c r="U115" i="25"/>
  <c r="V115" i="25"/>
  <c r="S115" i="25"/>
  <c r="S72" i="25"/>
  <c r="S71" i="25" s="1"/>
  <c r="J98" i="25"/>
  <c r="M72" i="25"/>
  <c r="M71" i="25" s="1"/>
  <c r="R47" i="25"/>
  <c r="R46" i="25" s="1"/>
  <c r="V69" i="25"/>
  <c r="I47" i="25"/>
  <c r="I46" i="25" s="1"/>
  <c r="J47" i="25"/>
  <c r="J46" i="25" s="1"/>
  <c r="Z69" i="25"/>
  <c r="R29" i="25"/>
  <c r="R28" i="25" s="1"/>
  <c r="V72" i="25"/>
  <c r="V71" i="25" s="1"/>
  <c r="W72" i="25"/>
  <c r="W71" i="25" s="1"/>
  <c r="L73" i="25"/>
  <c r="R51" i="25"/>
  <c r="P51" i="25"/>
  <c r="Y73" i="25"/>
  <c r="M98" i="25"/>
  <c r="J50" i="25"/>
  <c r="J49" i="25" s="1"/>
  <c r="U50" i="25"/>
  <c r="U49" i="25" s="1"/>
  <c r="H50" i="25"/>
  <c r="H49" i="25" s="1"/>
  <c r="Z98" i="25"/>
  <c r="N115" i="25"/>
  <c r="K115" i="25"/>
  <c r="O69" i="25"/>
  <c r="O68" i="25" s="1"/>
  <c r="K69" i="25"/>
  <c r="R69" i="25"/>
  <c r="R68" i="25" s="1"/>
  <c r="M69" i="25"/>
  <c r="M68" i="25" s="1"/>
  <c r="Q47" i="25"/>
  <c r="Q46" i="25" s="1"/>
  <c r="T29" i="25"/>
  <c r="T28" i="25" s="1"/>
  <c r="I29" i="25"/>
  <c r="I28" i="25" s="1"/>
  <c r="E28" i="25"/>
  <c r="U69" i="25"/>
  <c r="U68" i="25" s="1"/>
  <c r="V73" i="25"/>
  <c r="R73" i="25"/>
  <c r="X51" i="25"/>
  <c r="T69" i="25"/>
  <c r="T68" i="25" s="1"/>
  <c r="T50" i="25"/>
  <c r="T49" i="25" s="1"/>
  <c r="K72" i="25"/>
  <c r="K71" i="25" s="1"/>
  <c r="P50" i="25"/>
  <c r="P49" i="25" s="1"/>
  <c r="Y72" i="25"/>
  <c r="Y71" i="25" s="1"/>
  <c r="AC71" i="25"/>
  <c r="N69" i="25"/>
  <c r="N68" i="25" s="1"/>
  <c r="N51" i="25"/>
  <c r="G47" i="25"/>
  <c r="G46" i="25" s="1"/>
  <c r="H47" i="25"/>
  <c r="H46" i="25" s="1"/>
  <c r="Q69" i="25"/>
  <c r="Q68" i="25" s="1"/>
  <c r="K47" i="25"/>
  <c r="K46" i="25" s="1"/>
  <c r="AA69" i="25"/>
  <c r="O98" i="25"/>
  <c r="H10" i="25"/>
  <c r="O47" i="25"/>
  <c r="O46" i="25" s="1"/>
  <c r="AD72" i="25"/>
  <c r="AD71" i="25" s="1"/>
  <c r="Z50" i="25"/>
  <c r="Z49" i="25" s="1"/>
  <c r="P72" i="25"/>
  <c r="P71" i="25" s="1"/>
  <c r="F10" i="25"/>
  <c r="AD69" i="25"/>
  <c r="N49" i="25"/>
  <c r="U10" i="25"/>
  <c r="S47" i="25"/>
  <c r="S46" i="25" s="1"/>
  <c r="P47" i="25"/>
  <c r="P46" i="25" s="1"/>
  <c r="Y69" i="25"/>
  <c r="U47" i="25"/>
  <c r="U46" i="25" s="1"/>
  <c r="P10" i="25"/>
  <c r="V50" i="25"/>
  <c r="V49" i="25" s="1"/>
  <c r="S51" i="25"/>
  <c r="Q10" i="25"/>
  <c r="G29" i="25"/>
  <c r="G28" i="25" s="1"/>
  <c r="N72" i="25"/>
  <c r="N71" i="25" s="1"/>
  <c r="X72" i="25"/>
  <c r="X71" i="25" s="1"/>
  <c r="T98" i="25"/>
  <c r="T30" i="25"/>
  <c r="X68" i="25"/>
  <c r="F30" i="25"/>
  <c r="O30" i="25"/>
  <c r="AC98" i="25"/>
  <c r="N47" i="25"/>
  <c r="N46" i="25" s="1"/>
  <c r="O10" i="25"/>
  <c r="O51" i="25"/>
  <c r="M10" i="25"/>
  <c r="Z47" i="25"/>
  <c r="Z46" i="25" s="1"/>
  <c r="L10" i="25"/>
  <c r="S69" i="25"/>
  <c r="S68" i="25" s="1"/>
  <c r="X47" i="25"/>
  <c r="X46" i="25" s="1"/>
  <c r="H98" i="25"/>
  <c r="J51" i="25"/>
  <c r="L98" i="25"/>
  <c r="T47" i="25"/>
  <c r="T46" i="25" s="1"/>
  <c r="S73" i="25"/>
  <c r="Q51" i="25"/>
  <c r="G10" i="25"/>
  <c r="F29" i="25"/>
  <c r="F28" i="25" s="1"/>
  <c r="P29" i="25"/>
  <c r="P28" i="25" s="1"/>
  <c r="Z72" i="25"/>
  <c r="Z71" i="25" s="1"/>
  <c r="I50" i="25"/>
  <c r="I49" i="25" s="1"/>
  <c r="AA98" i="25"/>
  <c r="W98" i="25"/>
  <c r="L47" i="25"/>
  <c r="L46" i="25" s="1"/>
  <c r="AD70" i="24"/>
  <c r="AD69" i="24" s="1"/>
  <c r="AE139" i="24" s="1"/>
  <c r="W11" i="24"/>
  <c r="W10" i="24" s="1"/>
  <c r="I32" i="24"/>
  <c r="I31" i="24" s="1"/>
  <c r="Z11" i="24"/>
  <c r="Z10" i="24" s="1"/>
  <c r="V11" i="24"/>
  <c r="V10" i="24" s="1"/>
  <c r="Y11" i="24"/>
  <c r="Y10" i="24" s="1"/>
  <c r="AD84" i="24"/>
  <c r="M117" i="24"/>
  <c r="L86" i="24" s="1"/>
  <c r="J117" i="24"/>
  <c r="I86" i="24" s="1"/>
  <c r="Y32" i="24"/>
  <c r="Y31" i="24" s="1"/>
  <c r="V117" i="24"/>
  <c r="U86" i="24" s="1"/>
  <c r="U91" i="24" s="1"/>
  <c r="R152" i="24" s="1"/>
  <c r="S117" i="24"/>
  <c r="R86" i="24" s="1"/>
  <c r="Z32" i="24"/>
  <c r="Z31" i="24" s="1"/>
  <c r="V32" i="24"/>
  <c r="V31" i="24" s="1"/>
  <c r="V30" i="24"/>
  <c r="V29" i="24" s="1"/>
  <c r="AD117" i="24"/>
  <c r="AC86" i="24" s="1"/>
  <c r="AA117" i="24"/>
  <c r="Z86" i="24" s="1"/>
  <c r="N117" i="24"/>
  <c r="M86" i="24" s="1"/>
  <c r="M91" i="24" s="1"/>
  <c r="J152" i="24" s="1"/>
  <c r="AB117" i="24"/>
  <c r="AA86" i="24" s="1"/>
  <c r="K117" i="24"/>
  <c r="J86" i="24" s="1"/>
  <c r="Y117" i="24"/>
  <c r="X86" i="24" s="1"/>
  <c r="AE117" i="24"/>
  <c r="AD86" i="24" s="1"/>
  <c r="AD91" i="24" s="1"/>
  <c r="AA152" i="24" s="1"/>
  <c r="T117" i="24"/>
  <c r="S86" i="24" s="1"/>
  <c r="S91" i="24" s="1"/>
  <c r="P152" i="24" s="1"/>
  <c r="Q117" i="24"/>
  <c r="P86" i="24" s="1"/>
  <c r="W84" i="24"/>
  <c r="W117" i="24"/>
  <c r="V86" i="24" s="1"/>
  <c r="L117" i="24"/>
  <c r="K86" i="24" s="1"/>
  <c r="I117" i="24"/>
  <c r="H86" i="24" s="1"/>
  <c r="AC117" i="24"/>
  <c r="AB86" i="24" s="1"/>
  <c r="Z117" i="24"/>
  <c r="Y86" i="24" s="1"/>
  <c r="U117" i="24"/>
  <c r="T86" i="24" s="1"/>
  <c r="T91" i="24" s="1"/>
  <c r="Q152" i="24" s="1"/>
  <c r="R117" i="24"/>
  <c r="Q86" i="24" s="1"/>
  <c r="U84" i="24"/>
  <c r="T84" i="24"/>
  <c r="M84" i="24"/>
  <c r="AB84" i="24"/>
  <c r="V84" i="24"/>
  <c r="X84" i="24"/>
  <c r="F91" i="24"/>
  <c r="C152" i="24" s="1"/>
  <c r="K84" i="24"/>
  <c r="L84" i="24"/>
  <c r="Q84" i="24"/>
  <c r="R84" i="24"/>
  <c r="AC84" i="24"/>
  <c r="I84" i="24"/>
  <c r="N84" i="24"/>
  <c r="J84" i="24"/>
  <c r="Z84" i="24"/>
  <c r="AA84" i="24"/>
  <c r="H84" i="24"/>
  <c r="G84" i="24"/>
  <c r="Y84" i="24"/>
  <c r="P84" i="24"/>
  <c r="P32" i="24"/>
  <c r="P31" i="24" s="1"/>
  <c r="AC70" i="24"/>
  <c r="AC69" i="24" s="1"/>
  <c r="AD139" i="24" s="1"/>
  <c r="L32" i="24"/>
  <c r="L31" i="24" s="1"/>
  <c r="L11" i="24"/>
  <c r="L10" i="24" s="1"/>
  <c r="AA73" i="24"/>
  <c r="AA72" i="24" s="1"/>
  <c r="W75" i="24"/>
  <c r="W74" i="24" s="1"/>
  <c r="K70" i="24"/>
  <c r="K69" i="24" s="1"/>
  <c r="L139" i="24" s="1"/>
  <c r="Q32" i="24"/>
  <c r="Q31" i="24" s="1"/>
  <c r="AC72" i="24"/>
  <c r="E10" i="24"/>
  <c r="F139" i="24" s="1"/>
  <c r="N70" i="24"/>
  <c r="N69" i="24" s="1"/>
  <c r="AB73" i="24"/>
  <c r="AB72" i="24" s="1"/>
  <c r="Y75" i="24"/>
  <c r="Y74" i="24" s="1"/>
  <c r="AC75" i="24"/>
  <c r="AC74" i="24" s="1"/>
  <c r="G30" i="24"/>
  <c r="G29" i="24" s="1"/>
  <c r="AD73" i="24"/>
  <c r="AD72" i="24" s="1"/>
  <c r="U70" i="24"/>
  <c r="U69" i="24" s="1"/>
  <c r="AA70" i="24"/>
  <c r="AA69" i="24" s="1"/>
  <c r="AB139" i="24" s="1"/>
  <c r="AB70" i="24"/>
  <c r="AB69" i="24" s="1"/>
  <c r="AC139" i="24" s="1"/>
  <c r="P75" i="24"/>
  <c r="P74" i="24" s="1"/>
  <c r="M48" i="24"/>
  <c r="M47" i="24" s="1"/>
  <c r="AD75" i="24"/>
  <c r="AD74" i="24" s="1"/>
  <c r="AA75" i="24"/>
  <c r="AA74" i="24" s="1"/>
  <c r="AB75" i="24"/>
  <c r="AB74" i="24" s="1"/>
  <c r="X70" i="24"/>
  <c r="X69" i="24" s="1"/>
  <c r="R32" i="24"/>
  <c r="R31" i="24" s="1"/>
  <c r="J32" i="24"/>
  <c r="J31" i="24" s="1"/>
  <c r="R11" i="24"/>
  <c r="R10" i="24" s="1"/>
  <c r="Q11" i="24"/>
  <c r="Q10" i="24" s="1"/>
  <c r="G11" i="24"/>
  <c r="G10" i="24" s="1"/>
  <c r="H139" i="24" s="1"/>
  <c r="T53" i="24"/>
  <c r="T52" i="24" s="1"/>
  <c r="Z53" i="24"/>
  <c r="Z52" i="24" s="1"/>
  <c r="Y48" i="24"/>
  <c r="Y47" i="24" s="1"/>
  <c r="O53" i="24"/>
  <c r="O52" i="24" s="1"/>
  <c r="H32" i="24"/>
  <c r="H31" i="24" s="1"/>
  <c r="Y70" i="24"/>
  <c r="Y69" i="24" s="1"/>
  <c r="M70" i="24"/>
  <c r="M69" i="24" s="1"/>
  <c r="T32" i="24"/>
  <c r="T31" i="24" s="1"/>
  <c r="E31" i="24"/>
  <c r="I11" i="24"/>
  <c r="I10" i="24" s="1"/>
  <c r="J139" i="24" s="1"/>
  <c r="H11" i="24"/>
  <c r="H10" i="24" s="1"/>
  <c r="I139" i="24" s="1"/>
  <c r="U11" i="24"/>
  <c r="U10" i="24" s="1"/>
  <c r="V139" i="24" s="1"/>
  <c r="L53" i="24"/>
  <c r="L52" i="24" s="1"/>
  <c r="I48" i="24"/>
  <c r="I47" i="24" s="1"/>
  <c r="S53" i="24"/>
  <c r="S52" i="24" s="1"/>
  <c r="N51" i="24"/>
  <c r="N50" i="24" s="1"/>
  <c r="G53" i="24"/>
  <c r="G52" i="24" s="1"/>
  <c r="M53" i="24"/>
  <c r="M52" i="24" s="1"/>
  <c r="L70" i="24"/>
  <c r="L69" i="24" s="1"/>
  <c r="Z48" i="24"/>
  <c r="Z47" i="24" s="1"/>
  <c r="T11" i="24"/>
  <c r="T10" i="24" s="1"/>
  <c r="S11" i="24"/>
  <c r="S10" i="24" s="1"/>
  <c r="O32" i="24"/>
  <c r="O31" i="24" s="1"/>
  <c r="Q51" i="24"/>
  <c r="Q50" i="24" s="1"/>
  <c r="N75" i="24"/>
  <c r="N74" i="24" s="1"/>
  <c r="J48" i="24"/>
  <c r="J47" i="24" s="1"/>
  <c r="O73" i="24"/>
  <c r="O72" i="24" s="1"/>
  <c r="G32" i="24"/>
  <c r="G31" i="24" s="1"/>
  <c r="W70" i="24"/>
  <c r="W69" i="24" s="1"/>
  <c r="M32" i="24"/>
  <c r="M31" i="24" s="1"/>
  <c r="S32" i="24"/>
  <c r="S31" i="24" s="1"/>
  <c r="P11" i="24"/>
  <c r="P10" i="24" s="1"/>
  <c r="Q70" i="24"/>
  <c r="Q69" i="24" s="1"/>
  <c r="O30" i="24"/>
  <c r="O29" i="24" s="1"/>
  <c r="I51" i="24"/>
  <c r="I50" i="24" s="1"/>
  <c r="X73" i="24"/>
  <c r="X72" i="24" s="1"/>
  <c r="S73" i="24"/>
  <c r="S72" i="24" s="1"/>
  <c r="W51" i="24"/>
  <c r="W50" i="24" s="1"/>
  <c r="T51" i="24"/>
  <c r="T50" i="24" s="1"/>
  <c r="F11" i="24"/>
  <c r="F10" i="24" s="1"/>
  <c r="G139" i="24" s="1"/>
  <c r="H48" i="24"/>
  <c r="H47" i="24" s="1"/>
  <c r="N11" i="24"/>
  <c r="N10" i="24" s="1"/>
  <c r="F30" i="24"/>
  <c r="F29" i="24" s="1"/>
  <c r="N30" i="24"/>
  <c r="N29" i="24" s="1"/>
  <c r="U30" i="24"/>
  <c r="U29" i="24" s="1"/>
  <c r="J30" i="24"/>
  <c r="J29" i="24" s="1"/>
  <c r="U48" i="24"/>
  <c r="U47" i="24" s="1"/>
  <c r="Y73" i="24"/>
  <c r="Y72" i="24" s="1"/>
  <c r="T73" i="24"/>
  <c r="T72" i="24" s="1"/>
  <c r="X51" i="24"/>
  <c r="X50" i="24" s="1"/>
  <c r="F32" i="24"/>
  <c r="F31" i="24" s="1"/>
  <c r="Q53" i="24"/>
  <c r="Q52" i="24" s="1"/>
  <c r="T75" i="24"/>
  <c r="T74" i="24" s="1"/>
  <c r="X53" i="24"/>
  <c r="X52" i="24" s="1"/>
  <c r="P53" i="24"/>
  <c r="P52" i="24" s="1"/>
  <c r="M75" i="24"/>
  <c r="M74" i="24" s="1"/>
  <c r="Y53" i="24"/>
  <c r="Y52" i="24" s="1"/>
  <c r="L75" i="24"/>
  <c r="L74" i="24" s="1"/>
  <c r="U75" i="24"/>
  <c r="U74" i="24" s="1"/>
  <c r="I53" i="24"/>
  <c r="I52" i="24" s="1"/>
  <c r="H53" i="24"/>
  <c r="H52" i="24" s="1"/>
  <c r="Z75" i="24"/>
  <c r="Z74" i="24" s="1"/>
  <c r="R75" i="24"/>
  <c r="R74" i="24" s="1"/>
  <c r="V53" i="24"/>
  <c r="V52" i="24" s="1"/>
  <c r="N53" i="24"/>
  <c r="N52" i="24" s="1"/>
  <c r="T70" i="24"/>
  <c r="T69" i="24" s="1"/>
  <c r="K73" i="24"/>
  <c r="K72" i="24" s="1"/>
  <c r="O51" i="24"/>
  <c r="O50" i="24" s="1"/>
  <c r="V75" i="24"/>
  <c r="V74" i="24" s="1"/>
  <c r="R48" i="24"/>
  <c r="R47" i="24" s="1"/>
  <c r="S70" i="24"/>
  <c r="S69" i="24" s="1"/>
  <c r="S51" i="24"/>
  <c r="S50" i="24" s="1"/>
  <c r="Z51" i="24"/>
  <c r="Z50" i="24" s="1"/>
  <c r="L73" i="24"/>
  <c r="L72" i="24" s="1"/>
  <c r="R51" i="24"/>
  <c r="R50" i="24" s="1"/>
  <c r="P70" i="24"/>
  <c r="P69" i="24" s="1"/>
  <c r="H51" i="24"/>
  <c r="H50" i="24" s="1"/>
  <c r="X48" i="24"/>
  <c r="X47" i="24" s="1"/>
  <c r="O70" i="24"/>
  <c r="O69" i="24" s="1"/>
  <c r="S48" i="24"/>
  <c r="S47" i="24" s="1"/>
  <c r="Z73" i="24"/>
  <c r="Z72" i="24" s="1"/>
  <c r="W48" i="24"/>
  <c r="W47" i="24" s="1"/>
  <c r="N73" i="24"/>
  <c r="N72" i="24" s="1"/>
  <c r="J51" i="24"/>
  <c r="J50" i="24" s="1"/>
  <c r="K53" i="24"/>
  <c r="K52" i="24" s="1"/>
  <c r="P51" i="24"/>
  <c r="P50" i="24" s="1"/>
  <c r="G51" i="24"/>
  <c r="G50" i="24" s="1"/>
  <c r="P73" i="24"/>
  <c r="P72" i="24" s="1"/>
  <c r="K51" i="24"/>
  <c r="K50" i="24" s="1"/>
  <c r="V73" i="24"/>
  <c r="V72" i="24" s="1"/>
  <c r="M11" i="24"/>
  <c r="M10" i="24" s="1"/>
  <c r="N139" i="24" s="1"/>
  <c r="J11" i="24"/>
  <c r="J10" i="24" s="1"/>
  <c r="K139" i="24" s="1"/>
  <c r="K36" i="24"/>
  <c r="Q75" i="24"/>
  <c r="Q74" i="24" s="1"/>
  <c r="U53" i="24"/>
  <c r="U52" i="24" s="1"/>
  <c r="T48" i="24"/>
  <c r="T47" i="24" s="1"/>
  <c r="Q73" i="24"/>
  <c r="Q72" i="24" s="1"/>
  <c r="K48" i="24"/>
  <c r="K47" i="24" s="1"/>
  <c r="M51" i="24"/>
  <c r="M50" i="24" s="1"/>
  <c r="R73" i="24"/>
  <c r="R72" i="24" s="1"/>
  <c r="R53" i="24"/>
  <c r="R52" i="24" s="1"/>
  <c r="P48" i="24"/>
  <c r="P47" i="24" s="1"/>
  <c r="O48" i="24"/>
  <c r="O47" i="24" s="1"/>
  <c r="Z70" i="24"/>
  <c r="Z69" i="24" s="1"/>
  <c r="V48" i="24"/>
  <c r="V47" i="24" s="1"/>
  <c r="S75" i="24"/>
  <c r="S74" i="24" s="1"/>
  <c r="J53" i="24"/>
  <c r="J52" i="24" s="1"/>
  <c r="U32" i="24"/>
  <c r="U31" i="24" s="1"/>
  <c r="K75" i="24"/>
  <c r="K74" i="24" s="1"/>
  <c r="G48" i="24"/>
  <c r="G47" i="24" s="1"/>
  <c r="R70" i="24"/>
  <c r="R69" i="24" s="1"/>
  <c r="N48" i="24"/>
  <c r="N47" i="24" s="1"/>
  <c r="Q48" i="24"/>
  <c r="Q47" i="24" s="1"/>
  <c r="L51" i="24"/>
  <c r="L50" i="24" s="1"/>
  <c r="L48" i="24"/>
  <c r="L47" i="24" s="1"/>
  <c r="O11" i="24"/>
  <c r="O10" i="24" s="1"/>
  <c r="P139" i="24" s="1"/>
  <c r="M73" i="24"/>
  <c r="M72" i="24" s="1"/>
  <c r="Y51" i="24"/>
  <c r="Y50" i="24" s="1"/>
  <c r="N32" i="24"/>
  <c r="N31" i="24" s="1"/>
  <c r="X75" i="24"/>
  <c r="X74" i="24" s="1"/>
  <c r="U51" i="24"/>
  <c r="U50" i="24" s="1"/>
  <c r="O75" i="24"/>
  <c r="O74" i="24" s="1"/>
  <c r="V70" i="24"/>
  <c r="V69" i="24" s="1"/>
  <c r="V51" i="24"/>
  <c r="V50" i="24" s="1"/>
  <c r="W73" i="24"/>
  <c r="W72" i="24" s="1"/>
  <c r="W53" i="24"/>
  <c r="W52" i="24" s="1"/>
  <c r="U73" i="24"/>
  <c r="U72" i="24" s="1"/>
  <c r="M30" i="24"/>
  <c r="M29" i="24" s="1"/>
  <c r="P30" i="24"/>
  <c r="P29" i="24" s="1"/>
  <c r="H30" i="24"/>
  <c r="H29" i="24" s="1"/>
  <c r="Q30" i="24"/>
  <c r="Q29" i="24" s="1"/>
  <c r="I30" i="24"/>
  <c r="I29" i="24" s="1"/>
  <c r="E29" i="24"/>
  <c r="R30" i="24"/>
  <c r="R29" i="24" s="1"/>
  <c r="T30" i="24"/>
  <c r="T29" i="24" s="1"/>
  <c r="L30" i="24"/>
  <c r="L29" i="24" s="1"/>
  <c r="S30" i="24"/>
  <c r="S29" i="24" s="1"/>
  <c r="F19" i="8"/>
  <c r="G19" i="8" s="1"/>
  <c r="K19" i="8" s="1"/>
  <c r="F18" i="8"/>
  <c r="G18" i="8" s="1"/>
  <c r="K18" i="8" s="1"/>
  <c r="F17" i="8"/>
  <c r="G17" i="8" s="1"/>
  <c r="K17" i="8" s="1"/>
  <c r="F16" i="8"/>
  <c r="G16" i="8" s="1"/>
  <c r="K16" i="8" s="1"/>
  <c r="F15" i="8"/>
  <c r="G15" i="8" s="1"/>
  <c r="K15" i="8" s="1"/>
  <c r="J3" i="26" l="1"/>
  <c r="I27" i="26"/>
  <c r="O139" i="24"/>
  <c r="I85" i="25"/>
  <c r="I90" i="25" s="1"/>
  <c r="F154" i="25" s="1"/>
  <c r="F184" i="28" s="1"/>
  <c r="Y139" i="25"/>
  <c r="Y85" i="25"/>
  <c r="Y90" i="25" s="1"/>
  <c r="V154" i="25" s="1"/>
  <c r="Z85" i="25"/>
  <c r="Z90" i="25" s="1"/>
  <c r="W154" i="25" s="1"/>
  <c r="P85" i="25"/>
  <c r="G85" i="25"/>
  <c r="G90" i="25" s="1"/>
  <c r="D154" i="25" s="1"/>
  <c r="D184" i="28" s="1"/>
  <c r="V85" i="25"/>
  <c r="V90" i="25" s="1"/>
  <c r="S154" i="25" s="1"/>
  <c r="O85" i="25"/>
  <c r="O90" i="25" s="1"/>
  <c r="L154" i="25" s="1"/>
  <c r="L184" i="28" s="1"/>
  <c r="R85" i="25"/>
  <c r="R90" i="25" s="1"/>
  <c r="O154" i="25" s="1"/>
  <c r="N85" i="25"/>
  <c r="N90" i="25" s="1"/>
  <c r="K154" i="25" s="1"/>
  <c r="K184" i="28" s="1"/>
  <c r="Q85" i="25"/>
  <c r="Q90" i="25" s="1"/>
  <c r="N154" i="25" s="1"/>
  <c r="K85" i="25"/>
  <c r="K90" i="25" s="1"/>
  <c r="H154" i="25" s="1"/>
  <c r="H184" i="28" s="1"/>
  <c r="O77" i="25"/>
  <c r="O79" i="25" s="1"/>
  <c r="J85" i="25"/>
  <c r="J90" i="25" s="1"/>
  <c r="G154" i="25" s="1"/>
  <c r="G184" i="28" s="1"/>
  <c r="U85" i="25"/>
  <c r="U90" i="25" s="1"/>
  <c r="R154" i="25" s="1"/>
  <c r="X85" i="25"/>
  <c r="M85" i="25"/>
  <c r="M90" i="25" s="1"/>
  <c r="J154" i="25" s="1"/>
  <c r="J184" i="28" s="1"/>
  <c r="T85" i="25"/>
  <c r="T90" i="25" s="1"/>
  <c r="Q154" i="25" s="1"/>
  <c r="L85" i="25"/>
  <c r="L90" i="25" s="1"/>
  <c r="I154" i="25" s="1"/>
  <c r="I184" i="28" s="1"/>
  <c r="W85" i="25"/>
  <c r="W90" i="25" s="1"/>
  <c r="T154" i="25" s="1"/>
  <c r="G91" i="25"/>
  <c r="R91" i="25"/>
  <c r="I91" i="25"/>
  <c r="Q91" i="25"/>
  <c r="Q139" i="24"/>
  <c r="T139" i="24"/>
  <c r="U139" i="24"/>
  <c r="R139" i="24"/>
  <c r="S139" i="24"/>
  <c r="M139" i="24"/>
  <c r="Z139" i="24"/>
  <c r="W139" i="24"/>
  <c r="AA139" i="24"/>
  <c r="X139" i="24"/>
  <c r="K139" i="26"/>
  <c r="M139" i="26"/>
  <c r="O139" i="26"/>
  <c r="J139" i="25"/>
  <c r="P147" i="24"/>
  <c r="Y139" i="24"/>
  <c r="G159" i="25"/>
  <c r="F189" i="28"/>
  <c r="S157" i="28"/>
  <c r="O218" i="28"/>
  <c r="O56" i="28"/>
  <c r="O58" i="28" s="1"/>
  <c r="U78" i="28"/>
  <c r="U80" i="28" s="1"/>
  <c r="P56" i="28"/>
  <c r="P58" i="28" s="1"/>
  <c r="R36" i="28"/>
  <c r="Q78" i="28"/>
  <c r="Q80" i="28" s="1"/>
  <c r="S56" i="28"/>
  <c r="S58" i="28" s="1"/>
  <c r="Q56" i="28"/>
  <c r="Q58" i="28" s="1"/>
  <c r="V78" i="28"/>
  <c r="V80" i="28" s="1"/>
  <c r="V36" i="28"/>
  <c r="T78" i="28"/>
  <c r="T80" i="28" s="1"/>
  <c r="Y56" i="28"/>
  <c r="Y58" i="28" s="1"/>
  <c r="R78" i="28"/>
  <c r="R80" i="28" s="1"/>
  <c r="P36" i="28"/>
  <c r="X36" i="28"/>
  <c r="M78" i="28"/>
  <c r="M80" i="28" s="1"/>
  <c r="Q36" i="28"/>
  <c r="O78" i="28"/>
  <c r="O80" i="28" s="1"/>
  <c r="M56" i="28"/>
  <c r="M58" i="28" s="1"/>
  <c r="AB78" i="28"/>
  <c r="AB80" i="28" s="1"/>
  <c r="AB85" i="28" s="1"/>
  <c r="AB87" i="28" s="1"/>
  <c r="Y148" i="28" s="1"/>
  <c r="V211" i="28" s="1"/>
  <c r="P78" i="28"/>
  <c r="P80" i="28" s="1"/>
  <c r="X56" i="28"/>
  <c r="X58" i="28" s="1"/>
  <c r="T56" i="28"/>
  <c r="T58" i="28" s="1"/>
  <c r="W78" i="28"/>
  <c r="W80" i="28" s="1"/>
  <c r="Y139" i="28"/>
  <c r="W36" i="28"/>
  <c r="Z56" i="28"/>
  <c r="Z58" i="28" s="1"/>
  <c r="X78" i="28"/>
  <c r="X80" i="28" s="1"/>
  <c r="S78" i="28"/>
  <c r="S80" i="28" s="1"/>
  <c r="Y78" i="28"/>
  <c r="Y80" i="28" s="1"/>
  <c r="W56" i="28"/>
  <c r="W58" i="28" s="1"/>
  <c r="N78" i="28"/>
  <c r="N80" i="28" s="1"/>
  <c r="R56" i="28"/>
  <c r="R58" i="28" s="1"/>
  <c r="O139" i="28"/>
  <c r="V56" i="28"/>
  <c r="V58" i="28" s="1"/>
  <c r="V139" i="28"/>
  <c r="U36" i="28"/>
  <c r="AB139" i="28"/>
  <c r="AA78" i="28"/>
  <c r="AA80" i="28" s="1"/>
  <c r="AA85" i="28" s="1"/>
  <c r="AA87" i="28" s="1"/>
  <c r="X148" i="28" s="1"/>
  <c r="U211" i="28" s="1"/>
  <c r="N139" i="28"/>
  <c r="M36" i="28"/>
  <c r="AB89" i="28"/>
  <c r="Y149" i="28" s="1"/>
  <c r="T139" i="28"/>
  <c r="S36" i="28"/>
  <c r="U139" i="28"/>
  <c r="T36" i="28"/>
  <c r="T85" i="28" s="1"/>
  <c r="T87" i="28" s="1"/>
  <c r="Q148" i="28" s="1"/>
  <c r="N211" i="28" s="1"/>
  <c r="N99" i="28"/>
  <c r="N101" i="28" s="1"/>
  <c r="N92" i="28" s="1"/>
  <c r="K153" i="28" s="1"/>
  <c r="Z139" i="28"/>
  <c r="R139" i="28"/>
  <c r="W139" i="28"/>
  <c r="AA139" i="28"/>
  <c r="R119" i="28"/>
  <c r="O180" i="28" s="1"/>
  <c r="Y36" i="28"/>
  <c r="Y85" i="28" s="1"/>
  <c r="Y87" i="28" s="1"/>
  <c r="V148" i="28" s="1"/>
  <c r="S211" i="28" s="1"/>
  <c r="AB99" i="28"/>
  <c r="AB101" i="28" s="1"/>
  <c r="AB92" i="28" s="1"/>
  <c r="Y153" i="28" s="1"/>
  <c r="V213" i="28" s="1"/>
  <c r="N36" i="28"/>
  <c r="W99" i="28"/>
  <c r="W101" i="28" s="1"/>
  <c r="W92" i="28" s="1"/>
  <c r="T153" i="28" s="1"/>
  <c r="Q213" i="28" s="1"/>
  <c r="S139" i="28"/>
  <c r="Q139" i="28"/>
  <c r="X99" i="28"/>
  <c r="X101" i="28" s="1"/>
  <c r="X92" i="28" s="1"/>
  <c r="U153" i="28" s="1"/>
  <c r="P85" i="28"/>
  <c r="P87" i="28" s="1"/>
  <c r="M148" i="28" s="1"/>
  <c r="P139" i="28"/>
  <c r="P99" i="28"/>
  <c r="P101" i="28" s="1"/>
  <c r="P92" i="28" s="1"/>
  <c r="M153" i="28" s="1"/>
  <c r="V99" i="28"/>
  <c r="V101" i="28" s="1"/>
  <c r="V92" i="28" s="1"/>
  <c r="S153" i="28" s="1"/>
  <c r="P213" i="28" s="1"/>
  <c r="Q99" i="28"/>
  <c r="Q101" i="28" s="1"/>
  <c r="Q92" i="28" s="1"/>
  <c r="N153" i="28" s="1"/>
  <c r="X139" i="28"/>
  <c r="R99" i="28"/>
  <c r="R101" i="28" s="1"/>
  <c r="R92" i="28" s="1"/>
  <c r="O153" i="28" s="1"/>
  <c r="AA99" i="28"/>
  <c r="AA101" i="28" s="1"/>
  <c r="AA92" i="28" s="1"/>
  <c r="X153" i="28" s="1"/>
  <c r="U213" i="28" s="1"/>
  <c r="S99" i="28"/>
  <c r="S101" i="28" s="1"/>
  <c r="S92" i="28" s="1"/>
  <c r="P153" i="28" s="1"/>
  <c r="M213" i="28" s="1"/>
  <c r="M139" i="28"/>
  <c r="M99" i="28"/>
  <c r="M101" i="28" s="1"/>
  <c r="M92" i="28" s="1"/>
  <c r="J153" i="28" s="1"/>
  <c r="Z36" i="28"/>
  <c r="O36" i="28"/>
  <c r="O85" i="28" s="1"/>
  <c r="O87" i="28" s="1"/>
  <c r="L148" i="28" s="1"/>
  <c r="Y99" i="28"/>
  <c r="Y101" i="28" s="1"/>
  <c r="Y92" i="28" s="1"/>
  <c r="V153" i="28" s="1"/>
  <c r="T99" i="28"/>
  <c r="T101" i="28" s="1"/>
  <c r="T92" i="28" s="1"/>
  <c r="Q153" i="28" s="1"/>
  <c r="N213" i="28" s="1"/>
  <c r="O99" i="28"/>
  <c r="O101" i="28" s="1"/>
  <c r="O92" i="28" s="1"/>
  <c r="L153" i="28" s="1"/>
  <c r="U99" i="28"/>
  <c r="U101" i="28" s="1"/>
  <c r="U92" i="28" s="1"/>
  <c r="R153" i="28" s="1"/>
  <c r="O213" i="28" s="1"/>
  <c r="Z99" i="28"/>
  <c r="Z101" i="28" s="1"/>
  <c r="Z92" i="28" s="1"/>
  <c r="W153" i="28" s="1"/>
  <c r="T213" i="28" s="1"/>
  <c r="K56" i="28"/>
  <c r="K58" i="28" s="1"/>
  <c r="L36" i="28"/>
  <c r="L56" i="28"/>
  <c r="L58" i="28" s="1"/>
  <c r="L78" i="28"/>
  <c r="L80" i="28" s="1"/>
  <c r="L99" i="28"/>
  <c r="L101" i="28" s="1"/>
  <c r="L92" i="28" s="1"/>
  <c r="I153" i="28" s="1"/>
  <c r="K78" i="28"/>
  <c r="K80" i="28" s="1"/>
  <c r="K99" i="28"/>
  <c r="K101" i="28" s="1"/>
  <c r="K92" i="28" s="1"/>
  <c r="H153" i="28" s="1"/>
  <c r="L86" i="28"/>
  <c r="L91" i="28" s="1"/>
  <c r="I152" i="28" s="1"/>
  <c r="Z139" i="26"/>
  <c r="S139" i="26"/>
  <c r="AA139" i="26"/>
  <c r="V139" i="26"/>
  <c r="R139" i="26"/>
  <c r="P139" i="26"/>
  <c r="I139" i="26"/>
  <c r="H139" i="26"/>
  <c r="T139" i="26"/>
  <c r="L139" i="26"/>
  <c r="X139" i="26"/>
  <c r="Q139" i="26"/>
  <c r="J139" i="26"/>
  <c r="U139" i="26"/>
  <c r="N139" i="26"/>
  <c r="I35" i="26"/>
  <c r="T9" i="25"/>
  <c r="U139" i="25" s="1"/>
  <c r="Q9" i="25"/>
  <c r="V68" i="25"/>
  <c r="Y68" i="25"/>
  <c r="Z139" i="25" s="1"/>
  <c r="T77" i="25"/>
  <c r="T79" i="25" s="1"/>
  <c r="U9" i="25"/>
  <c r="V139" i="25" s="1"/>
  <c r="H9" i="25"/>
  <c r="I139" i="25" s="1"/>
  <c r="S9" i="25"/>
  <c r="J9" i="25"/>
  <c r="K139" i="25" s="1"/>
  <c r="G9" i="25"/>
  <c r="H139" i="25" s="1"/>
  <c r="L9" i="25"/>
  <c r="M139" i="25" s="1"/>
  <c r="T55" i="25"/>
  <c r="T57" i="25" s="1"/>
  <c r="K68" i="25"/>
  <c r="W68" i="25"/>
  <c r="X139" i="25" s="1"/>
  <c r="M9" i="25"/>
  <c r="P9" i="25"/>
  <c r="Q139" i="25" s="1"/>
  <c r="AD68" i="25"/>
  <c r="AE139" i="25" s="1"/>
  <c r="AA68" i="25"/>
  <c r="AB139" i="25" s="1"/>
  <c r="Z68" i="25"/>
  <c r="AA139" i="25" s="1"/>
  <c r="AC68" i="25"/>
  <c r="AD139" i="25" s="1"/>
  <c r="N9" i="25"/>
  <c r="O139" i="25" s="1"/>
  <c r="R9" i="25"/>
  <c r="F9" i="25"/>
  <c r="G139" i="25" s="1"/>
  <c r="O9" i="25"/>
  <c r="D149" i="25"/>
  <c r="D179" i="28" s="1"/>
  <c r="N149" i="25"/>
  <c r="M55" i="25"/>
  <c r="M57" i="25" s="1"/>
  <c r="X55" i="25"/>
  <c r="X57" i="25" s="1"/>
  <c r="AB77" i="25"/>
  <c r="AB79" i="25" s="1"/>
  <c r="AB84" i="25" s="1"/>
  <c r="AB86" i="25" s="1"/>
  <c r="L35" i="25"/>
  <c r="Z55" i="25"/>
  <c r="Z57" i="25" s="1"/>
  <c r="F149" i="25"/>
  <c r="F179" i="28" s="1"/>
  <c r="G35" i="25"/>
  <c r="F35" i="25"/>
  <c r="X77" i="25"/>
  <c r="X79" i="25" s="1"/>
  <c r="W55" i="25"/>
  <c r="W57" i="25" s="1"/>
  <c r="G55" i="25"/>
  <c r="G57" i="25" s="1"/>
  <c r="S55" i="25"/>
  <c r="S57" i="25" s="1"/>
  <c r="O149" i="25"/>
  <c r="W77" i="25"/>
  <c r="W79" i="25" s="1"/>
  <c r="Q77" i="25"/>
  <c r="Q79" i="25" s="1"/>
  <c r="P98" i="25"/>
  <c r="P100" i="25" s="1"/>
  <c r="L55" i="25"/>
  <c r="L57" i="25" s="1"/>
  <c r="I35" i="25"/>
  <c r="P55" i="25"/>
  <c r="P57" i="25" s="1"/>
  <c r="I55" i="25"/>
  <c r="I57" i="25" s="1"/>
  <c r="R77" i="25"/>
  <c r="R79" i="25" s="1"/>
  <c r="H56" i="28"/>
  <c r="H58" i="28" s="1"/>
  <c r="I147" i="28"/>
  <c r="J36" i="28"/>
  <c r="J56" i="28"/>
  <c r="J58" i="28" s="1"/>
  <c r="G56" i="28"/>
  <c r="G58" i="28" s="1"/>
  <c r="I56" i="28"/>
  <c r="I58" i="28" s="1"/>
  <c r="J99" i="28"/>
  <c r="J101" i="28" s="1"/>
  <c r="J92" i="28" s="1"/>
  <c r="G153" i="28" s="1"/>
  <c r="E147" i="28"/>
  <c r="H99" i="28"/>
  <c r="H101" i="28" s="1"/>
  <c r="H92" i="28" s="1"/>
  <c r="E153" i="28" s="1"/>
  <c r="I36" i="28"/>
  <c r="I99" i="28"/>
  <c r="I101" i="28" s="1"/>
  <c r="I92" i="28" s="1"/>
  <c r="F153" i="28" s="1"/>
  <c r="F147" i="28"/>
  <c r="D147" i="28"/>
  <c r="G99" i="28"/>
  <c r="G101" i="28" s="1"/>
  <c r="G92" i="28" s="1"/>
  <c r="D153" i="28" s="1"/>
  <c r="H36" i="28"/>
  <c r="H85" i="28" s="1"/>
  <c r="H87" i="28" s="1"/>
  <c r="K98" i="26"/>
  <c r="K100" i="26" s="1"/>
  <c r="K91" i="26" s="1"/>
  <c r="H155" i="26" s="1"/>
  <c r="H217" i="28" s="1"/>
  <c r="X36" i="24"/>
  <c r="Y98" i="25"/>
  <c r="Y100" i="25" s="1"/>
  <c r="V149" i="25"/>
  <c r="U149" i="25"/>
  <c r="X98" i="25"/>
  <c r="X100" i="25" s="1"/>
  <c r="W36" i="24"/>
  <c r="Y36" i="24"/>
  <c r="S99" i="24"/>
  <c r="S101" i="24" s="1"/>
  <c r="S92" i="24" s="1"/>
  <c r="P153" i="24" s="1"/>
  <c r="Z36" i="24"/>
  <c r="V147" i="24"/>
  <c r="Y99" i="24"/>
  <c r="Y101" i="24" s="1"/>
  <c r="Y92" i="24" s="1"/>
  <c r="V153" i="24" s="1"/>
  <c r="AC99" i="24"/>
  <c r="AC101" i="24" s="1"/>
  <c r="AC92" i="24" s="1"/>
  <c r="Z153" i="24" s="1"/>
  <c r="Z147" i="24"/>
  <c r="U147" i="24"/>
  <c r="X99" i="24"/>
  <c r="X101" i="24" s="1"/>
  <c r="X92" i="24" s="1"/>
  <c r="U153" i="24" s="1"/>
  <c r="AB99" i="24"/>
  <c r="AB101" i="24" s="1"/>
  <c r="AB92" i="24" s="1"/>
  <c r="Y153" i="24" s="1"/>
  <c r="Y147" i="24"/>
  <c r="F147" i="24"/>
  <c r="I99" i="24"/>
  <c r="I101" i="24" s="1"/>
  <c r="I92" i="24" s="1"/>
  <c r="F153" i="24" s="1"/>
  <c r="D147" i="24"/>
  <c r="G99" i="24"/>
  <c r="G101" i="24" s="1"/>
  <c r="G92" i="24" s="1"/>
  <c r="D153" i="24" s="1"/>
  <c r="R99" i="24"/>
  <c r="R101" i="24" s="1"/>
  <c r="R92" i="24" s="1"/>
  <c r="O153" i="24" s="1"/>
  <c r="O147" i="24"/>
  <c r="M99" i="24"/>
  <c r="M101" i="24" s="1"/>
  <c r="M92" i="24" s="1"/>
  <c r="J153" i="24" s="1"/>
  <c r="J147" i="24"/>
  <c r="O99" i="24"/>
  <c r="O101" i="24" s="1"/>
  <c r="O92" i="24" s="1"/>
  <c r="L153" i="24" s="1"/>
  <c r="L147" i="24"/>
  <c r="M147" i="24"/>
  <c r="P99" i="24"/>
  <c r="P101" i="24" s="1"/>
  <c r="P92" i="24" s="1"/>
  <c r="M153" i="24" s="1"/>
  <c r="E147" i="24"/>
  <c r="H99" i="24"/>
  <c r="H101" i="24" s="1"/>
  <c r="H92" i="24" s="1"/>
  <c r="E153" i="24" s="1"/>
  <c r="N147" i="24"/>
  <c r="Q99" i="24"/>
  <c r="Q101" i="24" s="1"/>
  <c r="Q92" i="24" s="1"/>
  <c r="N153" i="24" s="1"/>
  <c r="T99" i="24"/>
  <c r="T101" i="24" s="1"/>
  <c r="T92" i="24" s="1"/>
  <c r="Q153" i="24" s="1"/>
  <c r="Q147" i="24"/>
  <c r="AA147" i="24"/>
  <c r="AD99" i="24"/>
  <c r="AD101" i="24" s="1"/>
  <c r="AD92" i="24" s="1"/>
  <c r="AA153" i="24" s="1"/>
  <c r="AA99" i="24"/>
  <c r="AA101" i="24" s="1"/>
  <c r="AA92" i="24" s="1"/>
  <c r="X153" i="24" s="1"/>
  <c r="X147" i="24"/>
  <c r="L99" i="24"/>
  <c r="L101" i="24" s="1"/>
  <c r="L92" i="24" s="1"/>
  <c r="I153" i="24" s="1"/>
  <c r="I147" i="24"/>
  <c r="U99" i="24"/>
  <c r="U101" i="24" s="1"/>
  <c r="U92" i="24" s="1"/>
  <c r="R153" i="24" s="1"/>
  <c r="R147" i="24"/>
  <c r="Z99" i="24"/>
  <c r="Z101" i="24" s="1"/>
  <c r="Z92" i="24" s="1"/>
  <c r="W153" i="24" s="1"/>
  <c r="W147" i="24"/>
  <c r="K99" i="24"/>
  <c r="K101" i="24" s="1"/>
  <c r="K92" i="24" s="1"/>
  <c r="H153" i="24" s="1"/>
  <c r="H147" i="24"/>
  <c r="V36" i="24"/>
  <c r="J99" i="24"/>
  <c r="J101" i="24" s="1"/>
  <c r="J92" i="24" s="1"/>
  <c r="G153" i="24" s="1"/>
  <c r="G147" i="24"/>
  <c r="T147" i="24"/>
  <c r="W99" i="24"/>
  <c r="W101" i="24" s="1"/>
  <c r="W92" i="24" s="1"/>
  <c r="T153" i="24" s="1"/>
  <c r="K147" i="24"/>
  <c r="N99" i="24"/>
  <c r="N101" i="24" s="1"/>
  <c r="N92" i="24" s="1"/>
  <c r="K153" i="24" s="1"/>
  <c r="S147" i="24"/>
  <c r="V99" i="24"/>
  <c r="V101" i="24" s="1"/>
  <c r="V92" i="24" s="1"/>
  <c r="S153" i="24" s="1"/>
  <c r="T35" i="25"/>
  <c r="T84" i="25" s="1"/>
  <c r="T86" i="25" s="1"/>
  <c r="U77" i="25"/>
  <c r="U79" i="25" s="1"/>
  <c r="M149" i="25"/>
  <c r="N55" i="25"/>
  <c r="N57" i="25" s="1"/>
  <c r="P35" i="25"/>
  <c r="U35" i="25"/>
  <c r="R55" i="25"/>
  <c r="R57" i="25" s="1"/>
  <c r="H55" i="25"/>
  <c r="H57" i="25" s="1"/>
  <c r="S77" i="25"/>
  <c r="S79" i="25" s="1"/>
  <c r="J35" i="25"/>
  <c r="U55" i="25"/>
  <c r="U57" i="25" s="1"/>
  <c r="H35" i="25"/>
  <c r="K55" i="25"/>
  <c r="K57" i="25" s="1"/>
  <c r="Q55" i="25"/>
  <c r="Q57" i="25" s="1"/>
  <c r="Y55" i="25"/>
  <c r="Y57" i="25" s="1"/>
  <c r="V55" i="25"/>
  <c r="V57" i="25" s="1"/>
  <c r="N35" i="25"/>
  <c r="O55" i="25"/>
  <c r="O57" i="25" s="1"/>
  <c r="J55" i="25"/>
  <c r="J57" i="25" s="1"/>
  <c r="M77" i="25"/>
  <c r="M79" i="25" s="1"/>
  <c r="L77" i="25"/>
  <c r="L79" i="25" s="1"/>
  <c r="N77" i="25"/>
  <c r="N79" i="25" s="1"/>
  <c r="Z77" i="25"/>
  <c r="Z79" i="25" s="1"/>
  <c r="AD77" i="25"/>
  <c r="AD79" i="25" s="1"/>
  <c r="AD84" i="25" s="1"/>
  <c r="AD86" i="25" s="1"/>
  <c r="P77" i="25"/>
  <c r="P79" i="25" s="1"/>
  <c r="H149" i="26"/>
  <c r="H211" i="28" s="1"/>
  <c r="L149" i="26"/>
  <c r="L211" i="28" s="1"/>
  <c r="O100" i="26"/>
  <c r="O91" i="26" s="1"/>
  <c r="L155" i="26" s="1"/>
  <c r="L217" i="28" s="1"/>
  <c r="L55" i="26"/>
  <c r="L57" i="26" s="1"/>
  <c r="T149" i="26"/>
  <c r="W100" i="26"/>
  <c r="W91" i="26" s="1"/>
  <c r="T155" i="26" s="1"/>
  <c r="AB77" i="26"/>
  <c r="N77" i="26"/>
  <c r="P77" i="26"/>
  <c r="G35" i="26"/>
  <c r="O35" i="26"/>
  <c r="J55" i="26"/>
  <c r="J57" i="26" s="1"/>
  <c r="X55" i="26"/>
  <c r="X57" i="26" s="1"/>
  <c r="X84" i="26" s="1"/>
  <c r="L77" i="26"/>
  <c r="S77" i="26"/>
  <c r="O55" i="26"/>
  <c r="O57" i="26" s="1"/>
  <c r="L35" i="26"/>
  <c r="T77" i="26"/>
  <c r="K77" i="26"/>
  <c r="T55" i="26"/>
  <c r="T57" i="26" s="1"/>
  <c r="Y55" i="26"/>
  <c r="Y57" i="26" s="1"/>
  <c r="Y84" i="26" s="1"/>
  <c r="U77" i="26"/>
  <c r="V77" i="26"/>
  <c r="AC77" i="26"/>
  <c r="W77" i="26"/>
  <c r="X77" i="26"/>
  <c r="Y77" i="26"/>
  <c r="M77" i="26"/>
  <c r="Z77" i="26"/>
  <c r="AD77" i="26"/>
  <c r="AA77" i="26"/>
  <c r="M35" i="26"/>
  <c r="Q77" i="26"/>
  <c r="I55" i="26"/>
  <c r="I57" i="26" s="1"/>
  <c r="K55" i="26"/>
  <c r="K57" i="26" s="1"/>
  <c r="K84" i="26" s="1"/>
  <c r="R77" i="26"/>
  <c r="O77" i="26"/>
  <c r="R55" i="26"/>
  <c r="R57" i="26" s="1"/>
  <c r="M55" i="26"/>
  <c r="M57" i="26" s="1"/>
  <c r="Q55" i="26"/>
  <c r="Q57" i="26" s="1"/>
  <c r="N35" i="26"/>
  <c r="F35" i="26"/>
  <c r="F84" i="26" s="1"/>
  <c r="H35" i="26"/>
  <c r="J35" i="26"/>
  <c r="Z55" i="26"/>
  <c r="Z57" i="26" s="1"/>
  <c r="Z84" i="26" s="1"/>
  <c r="V55" i="26"/>
  <c r="V57" i="26" s="1"/>
  <c r="P55" i="26"/>
  <c r="P57" i="26" s="1"/>
  <c r="N55" i="26"/>
  <c r="N57" i="26" s="1"/>
  <c r="H55" i="26"/>
  <c r="H57" i="26" s="1"/>
  <c r="S55" i="26"/>
  <c r="S57" i="26" s="1"/>
  <c r="U55" i="26"/>
  <c r="U57" i="26" s="1"/>
  <c r="U84" i="26" s="1"/>
  <c r="W55" i="26"/>
  <c r="W57" i="26" s="1"/>
  <c r="W84" i="26" s="1"/>
  <c r="G55" i="26"/>
  <c r="G57" i="26" s="1"/>
  <c r="H100" i="26"/>
  <c r="H91" i="26" s="1"/>
  <c r="E155" i="26" s="1"/>
  <c r="E217" i="28" s="1"/>
  <c r="E149" i="26"/>
  <c r="E211" i="28" s="1"/>
  <c r="Q149" i="26"/>
  <c r="T100" i="26"/>
  <c r="T91" i="26" s="1"/>
  <c r="Q155" i="26" s="1"/>
  <c r="P149" i="26"/>
  <c r="S100" i="26"/>
  <c r="S91" i="26" s="1"/>
  <c r="P155" i="26" s="1"/>
  <c r="G149" i="26"/>
  <c r="G211" i="28" s="1"/>
  <c r="J100" i="26"/>
  <c r="J91" i="26" s="1"/>
  <c r="G155" i="26" s="1"/>
  <c r="G217" i="28" s="1"/>
  <c r="S149" i="26"/>
  <c r="V100" i="26"/>
  <c r="V91" i="26" s="1"/>
  <c r="S155" i="26" s="1"/>
  <c r="W149" i="26"/>
  <c r="Z100" i="26"/>
  <c r="Z91" i="26" s="1"/>
  <c r="W155" i="26" s="1"/>
  <c r="K149" i="26"/>
  <c r="K211" i="28" s="1"/>
  <c r="N100" i="26"/>
  <c r="N91" i="26" s="1"/>
  <c r="K155" i="26" s="1"/>
  <c r="K217" i="28" s="1"/>
  <c r="I100" i="26"/>
  <c r="I91" i="26" s="1"/>
  <c r="F155" i="26" s="1"/>
  <c r="F217" i="28" s="1"/>
  <c r="F149" i="26"/>
  <c r="F211" i="28" s="1"/>
  <c r="O149" i="26"/>
  <c r="R100" i="26"/>
  <c r="R91" i="26" s="1"/>
  <c r="O155" i="26" s="1"/>
  <c r="I149" i="26"/>
  <c r="I211" i="28" s="1"/>
  <c r="L100" i="26"/>
  <c r="L91" i="26" s="1"/>
  <c r="I155" i="26" s="1"/>
  <c r="I217" i="28" s="1"/>
  <c r="X100" i="26"/>
  <c r="X91" i="26" s="1"/>
  <c r="U155" i="26" s="1"/>
  <c r="U149" i="26"/>
  <c r="J149" i="26"/>
  <c r="J211" i="28" s="1"/>
  <c r="M100" i="26"/>
  <c r="M91" i="26" s="1"/>
  <c r="J155" i="26" s="1"/>
  <c r="J217" i="28" s="1"/>
  <c r="G100" i="26"/>
  <c r="G91" i="26" s="1"/>
  <c r="D155" i="26" s="1"/>
  <c r="D217" i="28" s="1"/>
  <c r="D149" i="26"/>
  <c r="D211" i="28" s="1"/>
  <c r="P100" i="26"/>
  <c r="P91" i="26" s="1"/>
  <c r="M155" i="26" s="1"/>
  <c r="M149" i="26"/>
  <c r="Q100" i="26"/>
  <c r="Q91" i="26" s="1"/>
  <c r="N155" i="26" s="1"/>
  <c r="N149" i="26"/>
  <c r="R149" i="26"/>
  <c r="U100" i="26"/>
  <c r="U91" i="26" s="1"/>
  <c r="R155" i="26" s="1"/>
  <c r="Y100" i="26"/>
  <c r="Y91" i="26" s="1"/>
  <c r="V155" i="26" s="1"/>
  <c r="V149" i="26"/>
  <c r="F100" i="25"/>
  <c r="C149" i="25"/>
  <c r="C179" i="28" s="1"/>
  <c r="W100" i="25"/>
  <c r="T149" i="25"/>
  <c r="L100" i="25"/>
  <c r="I149" i="25"/>
  <c r="I179" i="28" s="1"/>
  <c r="T100" i="25"/>
  <c r="Q149" i="25"/>
  <c r="N100" i="25"/>
  <c r="K149" i="25"/>
  <c r="K179" i="28" s="1"/>
  <c r="AD100" i="25"/>
  <c r="AA149" i="25"/>
  <c r="J100" i="25"/>
  <c r="G149" i="25"/>
  <c r="G179" i="28" s="1"/>
  <c r="P149" i="25"/>
  <c r="S100" i="25"/>
  <c r="H149" i="25"/>
  <c r="H179" i="28" s="1"/>
  <c r="K100" i="25"/>
  <c r="Z100" i="25"/>
  <c r="W149" i="25"/>
  <c r="X149" i="25"/>
  <c r="AA100" i="25"/>
  <c r="V100" i="25"/>
  <c r="S149" i="25"/>
  <c r="H100" i="25"/>
  <c r="E149" i="25"/>
  <c r="E179" i="28" s="1"/>
  <c r="O100" i="25"/>
  <c r="L149" i="25"/>
  <c r="L179" i="28" s="1"/>
  <c r="J149" i="25"/>
  <c r="J179" i="28" s="1"/>
  <c r="M100" i="25"/>
  <c r="Z149" i="25"/>
  <c r="AC100" i="25"/>
  <c r="R149" i="25"/>
  <c r="U100" i="25"/>
  <c r="AB100" i="25"/>
  <c r="Y149" i="25"/>
  <c r="AB91" i="24"/>
  <c r="Y152" i="24" s="1"/>
  <c r="H91" i="24"/>
  <c r="E152" i="24" s="1"/>
  <c r="Q91" i="24"/>
  <c r="N152" i="24" s="1"/>
  <c r="AA91" i="24"/>
  <c r="X152" i="24" s="1"/>
  <c r="L91" i="24"/>
  <c r="I152" i="24" s="1"/>
  <c r="R91" i="24"/>
  <c r="O152" i="24" s="1"/>
  <c r="Z91" i="24"/>
  <c r="W152" i="24" s="1"/>
  <c r="K91" i="24"/>
  <c r="H152" i="24" s="1"/>
  <c r="J91" i="24"/>
  <c r="G152" i="24" s="1"/>
  <c r="N91" i="24"/>
  <c r="K152" i="24" s="1"/>
  <c r="V91" i="24"/>
  <c r="S152" i="24" s="1"/>
  <c r="X91" i="24"/>
  <c r="U152" i="24" s="1"/>
  <c r="P91" i="24"/>
  <c r="M152" i="24" s="1"/>
  <c r="I91" i="24"/>
  <c r="F152" i="24" s="1"/>
  <c r="G91" i="24"/>
  <c r="D152" i="24" s="1"/>
  <c r="AD78" i="24"/>
  <c r="AD80" i="24" s="1"/>
  <c r="AD85" i="24" s="1"/>
  <c r="AD87" i="24" s="1"/>
  <c r="AA148" i="24" s="1"/>
  <c r="Y91" i="24"/>
  <c r="V152" i="24" s="1"/>
  <c r="AC91" i="24"/>
  <c r="Z152" i="24" s="1"/>
  <c r="AC78" i="24"/>
  <c r="AC80" i="24" s="1"/>
  <c r="G56" i="24"/>
  <c r="G58" i="24" s="1"/>
  <c r="I36" i="24"/>
  <c r="O36" i="24"/>
  <c r="Z78" i="24"/>
  <c r="Z80" i="24" s="1"/>
  <c r="AB78" i="24"/>
  <c r="AB80" i="24" s="1"/>
  <c r="U78" i="24"/>
  <c r="U80" i="24" s="1"/>
  <c r="Q78" i="24"/>
  <c r="Q80" i="24" s="1"/>
  <c r="R56" i="24"/>
  <c r="R58" i="24" s="1"/>
  <c r="AA78" i="24"/>
  <c r="AA80" i="24" s="1"/>
  <c r="L56" i="24"/>
  <c r="L58" i="24" s="1"/>
  <c r="M78" i="24"/>
  <c r="M80" i="24" s="1"/>
  <c r="Q36" i="24"/>
  <c r="T56" i="24"/>
  <c r="T58" i="24" s="1"/>
  <c r="J56" i="24"/>
  <c r="J58" i="24" s="1"/>
  <c r="J36" i="24"/>
  <c r="M56" i="24"/>
  <c r="M58" i="24" s="1"/>
  <c r="K56" i="24"/>
  <c r="K58" i="24" s="1"/>
  <c r="U56" i="24"/>
  <c r="U58" i="24" s="1"/>
  <c r="Y78" i="24"/>
  <c r="Y80" i="24" s="1"/>
  <c r="W78" i="24"/>
  <c r="W80" i="24" s="1"/>
  <c r="P36" i="24"/>
  <c r="S36" i="24"/>
  <c r="Z56" i="24"/>
  <c r="Z58" i="24" s="1"/>
  <c r="N78" i="24"/>
  <c r="N80" i="24" s="1"/>
  <c r="L36" i="24"/>
  <c r="M36" i="24"/>
  <c r="X56" i="24"/>
  <c r="X58" i="24" s="1"/>
  <c r="X78" i="24"/>
  <c r="X80" i="24" s="1"/>
  <c r="H36" i="24"/>
  <c r="R78" i="24"/>
  <c r="R80" i="24" s="1"/>
  <c r="O56" i="24"/>
  <c r="O58" i="24" s="1"/>
  <c r="R36" i="24"/>
  <c r="L78" i="24"/>
  <c r="L80" i="24" s="1"/>
  <c r="K78" i="24"/>
  <c r="K80" i="24" s="1"/>
  <c r="S56" i="24"/>
  <c r="S58" i="24" s="1"/>
  <c r="T78" i="24"/>
  <c r="T80" i="24" s="1"/>
  <c r="T36" i="24"/>
  <c r="S78" i="24"/>
  <c r="S80" i="24" s="1"/>
  <c r="U36" i="24"/>
  <c r="V56" i="24"/>
  <c r="V58" i="24" s="1"/>
  <c r="H56" i="24"/>
  <c r="H58" i="24" s="1"/>
  <c r="I56" i="24"/>
  <c r="I58" i="24" s="1"/>
  <c r="P78" i="24"/>
  <c r="P80" i="24" s="1"/>
  <c r="O78" i="24"/>
  <c r="O80" i="24" s="1"/>
  <c r="Q56" i="24"/>
  <c r="Q58" i="24" s="1"/>
  <c r="V78" i="24"/>
  <c r="V80" i="24" s="1"/>
  <c r="P56" i="24"/>
  <c r="P58" i="24" s="1"/>
  <c r="N36" i="24"/>
  <c r="Y56" i="24"/>
  <c r="Y58" i="24" s="1"/>
  <c r="N56" i="24"/>
  <c r="N58" i="24" s="1"/>
  <c r="W56" i="24"/>
  <c r="W58" i="24" s="1"/>
  <c r="R16" i="8"/>
  <c r="R18" i="8"/>
  <c r="P18" i="8"/>
  <c r="Q16" i="8"/>
  <c r="P16" i="8"/>
  <c r="S19" i="8"/>
  <c r="Q17" i="8"/>
  <c r="Q19" i="8"/>
  <c r="S15" i="8"/>
  <c r="R15" i="8"/>
  <c r="Q15" i="8"/>
  <c r="P15" i="8"/>
  <c r="R17" i="8"/>
  <c r="S18" i="8"/>
  <c r="S16" i="8"/>
  <c r="S17" i="8"/>
  <c r="P19" i="8"/>
  <c r="P17" i="8"/>
  <c r="Q18" i="8"/>
  <c r="R19" i="8"/>
  <c r="T14" i="8"/>
  <c r="F14" i="8"/>
  <c r="G14" i="8" s="1"/>
  <c r="K14" i="8" s="1"/>
  <c r="F13" i="8"/>
  <c r="G13" i="8" s="1"/>
  <c r="K13" i="8" s="1"/>
  <c r="F12" i="8"/>
  <c r="G12" i="8" s="1"/>
  <c r="K12" i="8" s="1"/>
  <c r="F9" i="8"/>
  <c r="G9" i="8" s="1"/>
  <c r="F10" i="8"/>
  <c r="F11" i="8"/>
  <c r="G11" i="8" s="1"/>
  <c r="K11" i="8" s="1"/>
  <c r="C7" i="8"/>
  <c r="T13" i="8"/>
  <c r="T10" i="8"/>
  <c r="S6" i="8"/>
  <c r="Q6" i="8"/>
  <c r="D1" i="8"/>
  <c r="D7" i="8" s="1"/>
  <c r="N84" i="25" l="1"/>
  <c r="N86" i="25" s="1"/>
  <c r="X84" i="25"/>
  <c r="K3" i="26"/>
  <c r="J27" i="26"/>
  <c r="P84" i="25"/>
  <c r="AB88" i="25"/>
  <c r="AB89" i="25"/>
  <c r="W84" i="25"/>
  <c r="W86" i="25" s="1"/>
  <c r="Y77" i="25"/>
  <c r="Y79" i="25" s="1"/>
  <c r="Y84" i="25" s="1"/>
  <c r="Y86" i="25" s="1"/>
  <c r="Y88" i="25" s="1"/>
  <c r="Y89" i="25" s="1"/>
  <c r="X86" i="25"/>
  <c r="X90" i="25"/>
  <c r="U154" i="25" s="1"/>
  <c r="AD88" i="25"/>
  <c r="AD89" i="25" s="1"/>
  <c r="T88" i="25"/>
  <c r="T89" i="25" s="1"/>
  <c r="Z84" i="25"/>
  <c r="Z86" i="25" s="1"/>
  <c r="N155" i="25"/>
  <c r="AA77" i="25"/>
  <c r="AA79" i="25" s="1"/>
  <c r="AA84" i="25" s="1"/>
  <c r="AA86" i="25" s="1"/>
  <c r="U84" i="25"/>
  <c r="U86" i="25" s="1"/>
  <c r="AC77" i="25"/>
  <c r="AC79" i="25" s="1"/>
  <c r="AC84" i="25" s="1"/>
  <c r="AC86" i="25" s="1"/>
  <c r="L84" i="25"/>
  <c r="L86" i="25" s="1"/>
  <c r="P86" i="25"/>
  <c r="P90" i="25"/>
  <c r="M154" i="25" s="1"/>
  <c r="N88" i="25"/>
  <c r="N89" i="25" s="1"/>
  <c r="I84" i="26"/>
  <c r="E36" i="18"/>
  <c r="G84" i="25"/>
  <c r="G86" i="25" s="1"/>
  <c r="G36" i="18"/>
  <c r="I84" i="25"/>
  <c r="I86" i="25" s="1"/>
  <c r="F36" i="18"/>
  <c r="H84" i="25"/>
  <c r="H86" i="25" s="1"/>
  <c r="H36" i="18"/>
  <c r="J84" i="25"/>
  <c r="J86" i="25" s="1"/>
  <c r="D36" i="18"/>
  <c r="F84" i="25"/>
  <c r="F86" i="25" s="1"/>
  <c r="J91" i="25"/>
  <c r="O91" i="25"/>
  <c r="AD91" i="25"/>
  <c r="F91" i="25"/>
  <c r="C155" i="25" s="1"/>
  <c r="C185" i="28" s="1"/>
  <c r="O155" i="25"/>
  <c r="M91" i="25"/>
  <c r="AA91" i="25"/>
  <c r="L91" i="25"/>
  <c r="AB91" i="25"/>
  <c r="AB93" i="25" s="1"/>
  <c r="Z91" i="25"/>
  <c r="W91" i="25"/>
  <c r="X91" i="25"/>
  <c r="F155" i="25"/>
  <c r="F185" i="28" s="1"/>
  <c r="U91" i="25"/>
  <c r="K91" i="25"/>
  <c r="H91" i="25"/>
  <c r="N91" i="25"/>
  <c r="K155" i="25" s="1"/>
  <c r="K185" i="28" s="1"/>
  <c r="AC91" i="25"/>
  <c r="S91" i="25"/>
  <c r="Y91" i="25"/>
  <c r="P91" i="25"/>
  <c r="M155" i="25" s="1"/>
  <c r="V91" i="25"/>
  <c r="T91" i="25"/>
  <c r="D155" i="25"/>
  <c r="D185" i="28" s="1"/>
  <c r="G10" i="8"/>
  <c r="K10" i="8" s="1"/>
  <c r="O35" i="25"/>
  <c r="O84" i="25" s="1"/>
  <c r="O86" i="25" s="1"/>
  <c r="P139" i="25"/>
  <c r="R35" i="25"/>
  <c r="R84" i="25" s="1"/>
  <c r="R86" i="25" s="1"/>
  <c r="R88" i="25" s="1"/>
  <c r="R89" i="25" s="1"/>
  <c r="R93" i="25" s="1"/>
  <c r="S139" i="25"/>
  <c r="M35" i="25"/>
  <c r="M84" i="25" s="1"/>
  <c r="M86" i="25" s="1"/>
  <c r="N139" i="25"/>
  <c r="K77" i="25"/>
  <c r="K79" i="25" s="1"/>
  <c r="K84" i="25" s="1"/>
  <c r="K86" i="25" s="1"/>
  <c r="L139" i="25"/>
  <c r="S35" i="25"/>
  <c r="S84" i="25" s="1"/>
  <c r="S86" i="25" s="1"/>
  <c r="T139" i="25"/>
  <c r="V77" i="25"/>
  <c r="V79" i="25" s="1"/>
  <c r="V84" i="25" s="1"/>
  <c r="V86" i="25" s="1"/>
  <c r="W139" i="25"/>
  <c r="Q35" i="25"/>
  <c r="Q84" i="25" s="1"/>
  <c r="Q86" i="25" s="1"/>
  <c r="R139" i="25"/>
  <c r="K85" i="28"/>
  <c r="K87" i="28" s="1"/>
  <c r="V85" i="28"/>
  <c r="V87" i="28" s="1"/>
  <c r="S148" i="28" s="1"/>
  <c r="P211" i="28" s="1"/>
  <c r="H159" i="25"/>
  <c r="G189" i="28"/>
  <c r="P218" i="28"/>
  <c r="T157" i="28"/>
  <c r="S213" i="28"/>
  <c r="R213" i="28"/>
  <c r="R85" i="28"/>
  <c r="R87" i="28" s="1"/>
  <c r="O148" i="28" s="1"/>
  <c r="Q85" i="28"/>
  <c r="Q87" i="28" s="1"/>
  <c r="U85" i="28"/>
  <c r="U87" i="28" s="1"/>
  <c r="R148" i="28" s="1"/>
  <c r="O211" i="28" s="1"/>
  <c r="X85" i="28"/>
  <c r="X87" i="28" s="1"/>
  <c r="U148" i="28" s="1"/>
  <c r="R211" i="28" s="1"/>
  <c r="Z85" i="28"/>
  <c r="Z87" i="28" s="1"/>
  <c r="W148" i="28" s="1"/>
  <c r="T211" i="28" s="1"/>
  <c r="W85" i="28"/>
  <c r="W87" i="28" s="1"/>
  <c r="T148" i="28" s="1"/>
  <c r="Q211" i="28" s="1"/>
  <c r="N85" i="28"/>
  <c r="N87" i="28" s="1"/>
  <c r="K148" i="28" s="1"/>
  <c r="M85" i="28"/>
  <c r="M87" i="28" s="1"/>
  <c r="J148" i="28" s="1"/>
  <c r="S85" i="28"/>
  <c r="S87" i="28" s="1"/>
  <c r="P148" i="28" s="1"/>
  <c r="M211" i="28" s="1"/>
  <c r="Z89" i="28"/>
  <c r="R89" i="28"/>
  <c r="AA89" i="28"/>
  <c r="S119" i="28"/>
  <c r="P180" i="28" s="1"/>
  <c r="V89" i="28"/>
  <c r="S149" i="28" s="1"/>
  <c r="T89" i="28"/>
  <c r="O89" i="28"/>
  <c r="P89" i="28"/>
  <c r="M149" i="28" s="1"/>
  <c r="Y89" i="28"/>
  <c r="AB90" i="28"/>
  <c r="Y150" i="28" s="1"/>
  <c r="Y155" i="28" s="1"/>
  <c r="V216" i="28" s="1"/>
  <c r="L85" i="28"/>
  <c r="L87" i="28" s="1"/>
  <c r="L89" i="28" s="1"/>
  <c r="K89" i="28"/>
  <c r="K90" i="28" s="1"/>
  <c r="J85" i="28"/>
  <c r="J87" i="28" s="1"/>
  <c r="G148" i="28" s="1"/>
  <c r="U86" i="26"/>
  <c r="F86" i="26"/>
  <c r="F88" i="26" s="1"/>
  <c r="C151" i="26" s="1"/>
  <c r="C213" i="28" s="1"/>
  <c r="Y86" i="26"/>
  <c r="V150" i="26" s="1"/>
  <c r="X86" i="26"/>
  <c r="U150" i="26" s="1"/>
  <c r="W86" i="26"/>
  <c r="T150" i="26" s="1"/>
  <c r="K86" i="26"/>
  <c r="H150" i="26" s="1"/>
  <c r="H212" i="28" s="1"/>
  <c r="I86" i="26"/>
  <c r="I88" i="26" s="1"/>
  <c r="F151" i="26" s="1"/>
  <c r="F213" i="28" s="1"/>
  <c r="Z86" i="26"/>
  <c r="W150" i="26" s="1"/>
  <c r="L84" i="26"/>
  <c r="Y150" i="25"/>
  <c r="X150" i="25"/>
  <c r="AA150" i="25"/>
  <c r="AA151" i="25"/>
  <c r="I85" i="28"/>
  <c r="I87" i="28" s="1"/>
  <c r="F148" i="28" s="1"/>
  <c r="H148" i="28"/>
  <c r="H149" i="28"/>
  <c r="H89" i="28"/>
  <c r="E149" i="28" s="1"/>
  <c r="E148" i="28"/>
  <c r="W85" i="24"/>
  <c r="W87" i="24" s="1"/>
  <c r="T148" i="24" s="1"/>
  <c r="Q84" i="26"/>
  <c r="R84" i="26"/>
  <c r="T84" i="26"/>
  <c r="M84" i="26"/>
  <c r="J84" i="26"/>
  <c r="P84" i="26"/>
  <c r="O84" i="26"/>
  <c r="G84" i="26"/>
  <c r="S84" i="26"/>
  <c r="Y88" i="26"/>
  <c r="V151" i="26" s="1"/>
  <c r="V84" i="26"/>
  <c r="W88" i="26"/>
  <c r="T151" i="26" s="1"/>
  <c r="N84" i="26"/>
  <c r="H84" i="26"/>
  <c r="Z88" i="26"/>
  <c r="W151" i="26" s="1"/>
  <c r="R150" i="26"/>
  <c r="U88" i="26"/>
  <c r="R151" i="26" s="1"/>
  <c r="AC85" i="24"/>
  <c r="AC87" i="24" s="1"/>
  <c r="AB85" i="24"/>
  <c r="AB87" i="24" s="1"/>
  <c r="V85" i="24"/>
  <c r="V87" i="24" s="1"/>
  <c r="AD89" i="24"/>
  <c r="M85" i="24"/>
  <c r="M87" i="24" s="1"/>
  <c r="J148" i="24" s="1"/>
  <c r="AA85" i="24"/>
  <c r="AA87" i="24" s="1"/>
  <c r="X148" i="24" s="1"/>
  <c r="O85" i="24"/>
  <c r="O87" i="24" s="1"/>
  <c r="L148" i="24" s="1"/>
  <c r="I85" i="24"/>
  <c r="I87" i="24" s="1"/>
  <c r="F148" i="24" s="1"/>
  <c r="Z85" i="24"/>
  <c r="Z87" i="24" s="1"/>
  <c r="W148" i="24" s="1"/>
  <c r="T85" i="24"/>
  <c r="T87" i="24" s="1"/>
  <c r="Q148" i="24" s="1"/>
  <c r="H85" i="24"/>
  <c r="H87" i="24" s="1"/>
  <c r="E148" i="24" s="1"/>
  <c r="P85" i="24"/>
  <c r="P87" i="24" s="1"/>
  <c r="M148" i="24" s="1"/>
  <c r="K85" i="24"/>
  <c r="K87" i="24" s="1"/>
  <c r="H148" i="24" s="1"/>
  <c r="X85" i="24"/>
  <c r="X87" i="24" s="1"/>
  <c r="U148" i="24" s="1"/>
  <c r="Q85" i="24"/>
  <c r="Q87" i="24" s="1"/>
  <c r="N148" i="24" s="1"/>
  <c r="S85" i="24"/>
  <c r="S87" i="24" s="1"/>
  <c r="P148" i="24" s="1"/>
  <c r="N85" i="24"/>
  <c r="N87" i="24" s="1"/>
  <c r="K148" i="24" s="1"/>
  <c r="Y85" i="24"/>
  <c r="Y87" i="24" s="1"/>
  <c r="V148" i="24" s="1"/>
  <c r="L85" i="24"/>
  <c r="L87" i="24" s="1"/>
  <c r="I148" i="24" s="1"/>
  <c r="R85" i="24"/>
  <c r="R87" i="24" s="1"/>
  <c r="O148" i="24" s="1"/>
  <c r="U85" i="24"/>
  <c r="U87" i="24" s="1"/>
  <c r="R148" i="24" s="1"/>
  <c r="J85" i="24"/>
  <c r="J87" i="24" s="1"/>
  <c r="G148" i="24" s="1"/>
  <c r="S11" i="8"/>
  <c r="S13" i="8"/>
  <c r="S10" i="8"/>
  <c r="S12" i="8"/>
  <c r="P14" i="8"/>
  <c r="S14" i="8"/>
  <c r="Q14" i="8"/>
  <c r="R14" i="8"/>
  <c r="P10" i="8"/>
  <c r="Q12" i="8"/>
  <c r="E1" i="8"/>
  <c r="Q11" i="8"/>
  <c r="P11" i="8"/>
  <c r="Q13" i="8"/>
  <c r="Q10" i="8"/>
  <c r="P12" i="8"/>
  <c r="R10" i="8"/>
  <c r="R12" i="8"/>
  <c r="R13" i="8"/>
  <c r="P13" i="8"/>
  <c r="L3" i="26" l="1"/>
  <c r="K27" i="26"/>
  <c r="K88" i="25"/>
  <c r="K89" i="25"/>
  <c r="Z88" i="25"/>
  <c r="Z89" i="25"/>
  <c r="N93" i="25"/>
  <c r="Z93" i="25"/>
  <c r="AD93" i="25"/>
  <c r="X88" i="25"/>
  <c r="X89" i="25"/>
  <c r="M88" i="25"/>
  <c r="J151" i="25" s="1"/>
  <c r="J181" i="28" s="1"/>
  <c r="L88" i="25"/>
  <c r="L89" i="25" s="1"/>
  <c r="L93" i="25" s="1"/>
  <c r="O9" i="8"/>
  <c r="U88" i="25"/>
  <c r="R151" i="25" s="1"/>
  <c r="U89" i="25"/>
  <c r="U93" i="25" s="1"/>
  <c r="J150" i="25"/>
  <c r="J180" i="28" s="1"/>
  <c r="T93" i="25"/>
  <c r="V88" i="25"/>
  <c r="V89" i="25" s="1"/>
  <c r="AC88" i="25"/>
  <c r="AC89" i="25"/>
  <c r="AC93" i="25" s="1"/>
  <c r="S88" i="25"/>
  <c r="S89" i="25" s="1"/>
  <c r="S93" i="25" s="1"/>
  <c r="Y93" i="25"/>
  <c r="AA88" i="25"/>
  <c r="AA89" i="25"/>
  <c r="Q88" i="25"/>
  <c r="Q89" i="25"/>
  <c r="Q93" i="25" s="1"/>
  <c r="P88" i="25"/>
  <c r="W88" i="25"/>
  <c r="W89" i="25" s="1"/>
  <c r="W93" i="25" s="1"/>
  <c r="K93" i="25"/>
  <c r="AA93" i="25"/>
  <c r="O88" i="25"/>
  <c r="O89" i="25"/>
  <c r="O93" i="25" s="1"/>
  <c r="X93" i="25"/>
  <c r="I89" i="26"/>
  <c r="F152" i="26" s="1"/>
  <c r="F214" i="28" s="1"/>
  <c r="I88" i="25"/>
  <c r="I89" i="25" s="1"/>
  <c r="I93" i="25" s="1"/>
  <c r="G88" i="25"/>
  <c r="G89" i="25"/>
  <c r="G93" i="25" s="1"/>
  <c r="N9" i="8"/>
  <c r="H88" i="25"/>
  <c r="H89" i="25" s="1"/>
  <c r="H93" i="25" s="1"/>
  <c r="F88" i="25"/>
  <c r="C151" i="25" s="1"/>
  <c r="C181" i="28" s="1"/>
  <c r="J88" i="25"/>
  <c r="J89" i="25" s="1"/>
  <c r="J93" i="25" s="1"/>
  <c r="U155" i="25"/>
  <c r="I155" i="25"/>
  <c r="I185" i="28" s="1"/>
  <c r="V155" i="25"/>
  <c r="E155" i="25"/>
  <c r="E185" i="28" s="1"/>
  <c r="AA155" i="25"/>
  <c r="T155" i="25"/>
  <c r="X155" i="25"/>
  <c r="Q155" i="25"/>
  <c r="P155" i="25"/>
  <c r="H155" i="25"/>
  <c r="H185" i="28" s="1"/>
  <c r="L155" i="25"/>
  <c r="L185" i="28" s="1"/>
  <c r="W155" i="25"/>
  <c r="J155" i="25"/>
  <c r="J185" i="28" s="1"/>
  <c r="S155" i="25"/>
  <c r="Z155" i="25"/>
  <c r="R155" i="25"/>
  <c r="G155" i="25"/>
  <c r="G185" i="28" s="1"/>
  <c r="Y155" i="25"/>
  <c r="I159" i="25"/>
  <c r="H189" i="28"/>
  <c r="F89" i="26"/>
  <c r="C152" i="26" s="1"/>
  <c r="C150" i="26"/>
  <c r="C212" i="28" s="1"/>
  <c r="U157" i="28"/>
  <c r="Q218" i="28"/>
  <c r="R90" i="28"/>
  <c r="O150" i="28" s="1"/>
  <c r="O149" i="28"/>
  <c r="Q89" i="28"/>
  <c r="N149" i="28" s="1"/>
  <c r="N148" i="28"/>
  <c r="W89" i="28"/>
  <c r="T149" i="28" s="1"/>
  <c r="AA90" i="28"/>
  <c r="X150" i="28" s="1"/>
  <c r="X149" i="28"/>
  <c r="S89" i="28"/>
  <c r="P149" i="28" s="1"/>
  <c r="O90" i="28"/>
  <c r="L150" i="28" s="1"/>
  <c r="L149" i="28"/>
  <c r="T90" i="28"/>
  <c r="Q150" i="28" s="1"/>
  <c r="Q149" i="28"/>
  <c r="Y90" i="28"/>
  <c r="V150" i="28" s="1"/>
  <c r="V149" i="28"/>
  <c r="U89" i="28"/>
  <c r="N89" i="28"/>
  <c r="X89" i="28"/>
  <c r="U149" i="28" s="1"/>
  <c r="Z90" i="28"/>
  <c r="W150" i="28" s="1"/>
  <c r="W149" i="28"/>
  <c r="M89" i="28"/>
  <c r="AB94" i="28"/>
  <c r="AB96" i="28" s="1"/>
  <c r="V90" i="28"/>
  <c r="S150" i="28" s="1"/>
  <c r="T119" i="28"/>
  <c r="Q180" i="28" s="1"/>
  <c r="P90" i="28"/>
  <c r="M150" i="28" s="1"/>
  <c r="L90" i="28"/>
  <c r="I150" i="28" s="1"/>
  <c r="I149" i="28"/>
  <c r="J89" i="28"/>
  <c r="G149" i="28" s="1"/>
  <c r="AD148" i="28"/>
  <c r="I89" i="28"/>
  <c r="F149" i="28" s="1"/>
  <c r="K88" i="26"/>
  <c r="H151" i="26" s="1"/>
  <c r="H213" i="28" s="1"/>
  <c r="F150" i="26"/>
  <c r="F212" i="28" s="1"/>
  <c r="O86" i="26"/>
  <c r="O88" i="26" s="1"/>
  <c r="L151" i="26" s="1"/>
  <c r="L213" i="28" s="1"/>
  <c r="L86" i="26"/>
  <c r="I150" i="26" s="1"/>
  <c r="I212" i="28" s="1"/>
  <c r="P86" i="26"/>
  <c r="M150" i="26" s="1"/>
  <c r="V86" i="26"/>
  <c r="V88" i="26" s="1"/>
  <c r="S151" i="26" s="1"/>
  <c r="S86" i="26"/>
  <c r="P150" i="26" s="1"/>
  <c r="J86" i="26"/>
  <c r="G150" i="26" s="1"/>
  <c r="G212" i="28" s="1"/>
  <c r="M86" i="26"/>
  <c r="N86" i="26"/>
  <c r="X88" i="26"/>
  <c r="U151" i="26" s="1"/>
  <c r="T86" i="26"/>
  <c r="T88" i="26" s="1"/>
  <c r="Q151" i="26" s="1"/>
  <c r="H86" i="26"/>
  <c r="E150" i="26" s="1"/>
  <c r="E212" i="28" s="1"/>
  <c r="R86" i="26"/>
  <c r="O150" i="26" s="1"/>
  <c r="G86" i="26"/>
  <c r="G88" i="26" s="1"/>
  <c r="D151" i="26" s="1"/>
  <c r="D213" i="28" s="1"/>
  <c r="Q86" i="26"/>
  <c r="Q88" i="26" s="1"/>
  <c r="N151" i="26" s="1"/>
  <c r="G150" i="25"/>
  <c r="G180" i="28" s="1"/>
  <c r="S151" i="25"/>
  <c r="M150" i="25"/>
  <c r="X151" i="25"/>
  <c r="E150" i="25"/>
  <c r="E180" i="28" s="1"/>
  <c r="F150" i="25"/>
  <c r="F180" i="28" s="1"/>
  <c r="K151" i="25"/>
  <c r="K181" i="28" s="1"/>
  <c r="H150" i="25"/>
  <c r="H180" i="28" s="1"/>
  <c r="R150" i="25"/>
  <c r="Y151" i="25"/>
  <c r="Z150" i="25"/>
  <c r="I148" i="28"/>
  <c r="H90" i="28"/>
  <c r="E150" i="28" s="1"/>
  <c r="H150" i="28"/>
  <c r="W89" i="24"/>
  <c r="T149" i="24" s="1"/>
  <c r="AD90" i="24"/>
  <c r="AA149" i="24"/>
  <c r="V89" i="24"/>
  <c r="S148" i="24"/>
  <c r="AB89" i="24"/>
  <c r="Y148" i="24"/>
  <c r="AC89" i="24"/>
  <c r="Z148" i="24"/>
  <c r="H151" i="25"/>
  <c r="H181" i="28" s="1"/>
  <c r="I93" i="26"/>
  <c r="I95" i="26" s="1"/>
  <c r="W89" i="26"/>
  <c r="U89" i="26"/>
  <c r="R152" i="26" s="1"/>
  <c r="Y89" i="26"/>
  <c r="Z89" i="26"/>
  <c r="W152" i="26" s="1"/>
  <c r="N88" i="26"/>
  <c r="K150" i="26"/>
  <c r="K212" i="28" s="1"/>
  <c r="O89" i="26"/>
  <c r="L152" i="26" s="1"/>
  <c r="L214" i="28" s="1"/>
  <c r="X152" i="25"/>
  <c r="O89" i="24"/>
  <c r="J89" i="24"/>
  <c r="U89" i="24"/>
  <c r="L89" i="24"/>
  <c r="P89" i="24"/>
  <c r="T89" i="24"/>
  <c r="Q89" i="24"/>
  <c r="AA89" i="24"/>
  <c r="M89" i="24"/>
  <c r="H89" i="24"/>
  <c r="N89" i="24"/>
  <c r="Z89" i="24"/>
  <c r="X89" i="24"/>
  <c r="K89" i="24"/>
  <c r="R89" i="24"/>
  <c r="Y89" i="24"/>
  <c r="S89" i="24"/>
  <c r="I89" i="24"/>
  <c r="E7" i="8"/>
  <c r="F1" i="8"/>
  <c r="G1" i="8" s="1"/>
  <c r="H1" i="8" s="1"/>
  <c r="M151" i="25" l="1"/>
  <c r="P89" i="25"/>
  <c r="P93" i="25" s="1"/>
  <c r="M3" i="26"/>
  <c r="L27" i="26"/>
  <c r="L88" i="26"/>
  <c r="I151" i="26" s="1"/>
  <c r="I213" i="28" s="1"/>
  <c r="P88" i="26"/>
  <c r="M151" i="26" s="1"/>
  <c r="S152" i="25"/>
  <c r="V93" i="25"/>
  <c r="M89" i="25"/>
  <c r="M93" i="25" s="1"/>
  <c r="K89" i="26"/>
  <c r="H152" i="26" s="1"/>
  <c r="H214" i="28" s="1"/>
  <c r="F93" i="26"/>
  <c r="F95" i="26" s="1"/>
  <c r="F89" i="25"/>
  <c r="F93" i="25" s="1"/>
  <c r="E151" i="25"/>
  <c r="E181" i="28" s="1"/>
  <c r="F151" i="25"/>
  <c r="F181" i="28" s="1"/>
  <c r="J159" i="25"/>
  <c r="I189" i="28"/>
  <c r="H88" i="26"/>
  <c r="E151" i="26" s="1"/>
  <c r="E213" i="28" s="1"/>
  <c r="G89" i="26"/>
  <c r="D152" i="26" s="1"/>
  <c r="D214" i="28" s="1"/>
  <c r="D150" i="26"/>
  <c r="D212" i="28" s="1"/>
  <c r="C214" i="28"/>
  <c r="V157" i="28"/>
  <c r="R218" i="28"/>
  <c r="N90" i="28"/>
  <c r="K150" i="28" s="1"/>
  <c r="K149" i="28"/>
  <c r="M90" i="28"/>
  <c r="J150" i="28" s="1"/>
  <c r="J149" i="28"/>
  <c r="U90" i="28"/>
  <c r="R150" i="28" s="1"/>
  <c r="R149" i="28"/>
  <c r="Q90" i="28"/>
  <c r="N150" i="28" s="1"/>
  <c r="S90" i="28"/>
  <c r="P150" i="28" s="1"/>
  <c r="X90" i="28"/>
  <c r="U150" i="28" s="1"/>
  <c r="W90" i="28"/>
  <c r="T150" i="28" s="1"/>
  <c r="J90" i="28"/>
  <c r="G150" i="28" s="1"/>
  <c r="U119" i="28"/>
  <c r="R180" i="28" s="1"/>
  <c r="I90" i="28"/>
  <c r="F150" i="28" s="1"/>
  <c r="C180" i="28"/>
  <c r="L9" i="8"/>
  <c r="I1" i="8"/>
  <c r="J1" i="8" s="1"/>
  <c r="K1" i="8" s="1"/>
  <c r="L1" i="8" s="1"/>
  <c r="M1" i="8" s="1"/>
  <c r="N1" i="8" s="1"/>
  <c r="O1" i="8" s="1"/>
  <c r="P1" i="8" s="1"/>
  <c r="Q1" i="8" s="1"/>
  <c r="R1" i="8" s="1"/>
  <c r="S1" i="8" s="1"/>
  <c r="H7" i="8"/>
  <c r="Q89" i="26"/>
  <c r="N152" i="26" s="1"/>
  <c r="L150" i="26"/>
  <c r="L212" i="28" s="1"/>
  <c r="AD212" i="28" s="1"/>
  <c r="R88" i="26"/>
  <c r="O151" i="26" s="1"/>
  <c r="S150" i="26"/>
  <c r="V89" i="26"/>
  <c r="V93" i="26" s="1"/>
  <c r="V95" i="26" s="1"/>
  <c r="J88" i="26"/>
  <c r="Q150" i="26"/>
  <c r="S88" i="26"/>
  <c r="P151" i="26" s="1"/>
  <c r="M88" i="26"/>
  <c r="J150" i="26"/>
  <c r="J212" i="28" s="1"/>
  <c r="T89" i="26"/>
  <c r="Q152" i="26" s="1"/>
  <c r="X89" i="26"/>
  <c r="U152" i="26" s="1"/>
  <c r="N150" i="26"/>
  <c r="L89" i="26"/>
  <c r="L93" i="26" s="1"/>
  <c r="L95" i="26" s="1"/>
  <c r="K150" i="25"/>
  <c r="K180" i="28" s="1"/>
  <c r="V150" i="25"/>
  <c r="I150" i="25"/>
  <c r="I180" i="28" s="1"/>
  <c r="I151" i="25"/>
  <c r="I181" i="28" s="1"/>
  <c r="P150" i="25"/>
  <c r="O150" i="25"/>
  <c r="O151" i="25"/>
  <c r="F152" i="25"/>
  <c r="F182" i="28" s="1"/>
  <c r="W150" i="25"/>
  <c r="L150" i="25"/>
  <c r="L180" i="28" s="1"/>
  <c r="AD180" i="28" s="1"/>
  <c r="Q150" i="25"/>
  <c r="Z151" i="25"/>
  <c r="N150" i="25"/>
  <c r="U150" i="25"/>
  <c r="S150" i="25"/>
  <c r="T150" i="25"/>
  <c r="D150" i="25"/>
  <c r="Y152" i="25"/>
  <c r="R152" i="25"/>
  <c r="G151" i="25"/>
  <c r="G181" i="28" s="1"/>
  <c r="M152" i="25"/>
  <c r="H152" i="25"/>
  <c r="H182" i="28" s="1"/>
  <c r="AA152" i="25"/>
  <c r="W90" i="24"/>
  <c r="O90" i="24"/>
  <c r="L149" i="24"/>
  <c r="X90" i="24"/>
  <c r="U149" i="24"/>
  <c r="Y90" i="24"/>
  <c r="V149" i="24"/>
  <c r="V90" i="24"/>
  <c r="S149" i="24"/>
  <c r="K90" i="24"/>
  <c r="H149" i="24"/>
  <c r="AC90" i="24"/>
  <c r="Z149" i="24"/>
  <c r="M90" i="24"/>
  <c r="J149" i="24"/>
  <c r="AA90" i="24"/>
  <c r="X149" i="24"/>
  <c r="T90" i="24"/>
  <c r="Q149" i="24"/>
  <c r="S90" i="24"/>
  <c r="P149" i="24"/>
  <c r="R90" i="24"/>
  <c r="O149" i="24"/>
  <c r="Q90" i="24"/>
  <c r="N149" i="24"/>
  <c r="AA150" i="24"/>
  <c r="Z90" i="24"/>
  <c r="W149" i="24"/>
  <c r="P90" i="24"/>
  <c r="M149" i="24"/>
  <c r="N90" i="24"/>
  <c r="K149" i="24"/>
  <c r="L90" i="24"/>
  <c r="I149" i="24"/>
  <c r="H90" i="24"/>
  <c r="E149" i="24"/>
  <c r="U90" i="24"/>
  <c r="R149" i="24"/>
  <c r="AB90" i="24"/>
  <c r="Y149" i="24"/>
  <c r="J90" i="24"/>
  <c r="G149" i="24"/>
  <c r="I90" i="24"/>
  <c r="F149" i="24"/>
  <c r="P89" i="26"/>
  <c r="P93" i="26" s="1"/>
  <c r="P95" i="26" s="1"/>
  <c r="R89" i="26"/>
  <c r="R93" i="26" s="1"/>
  <c r="R95" i="26" s="1"/>
  <c r="Z93" i="26"/>
  <c r="Z95" i="26" s="1"/>
  <c r="U93" i="26"/>
  <c r="U95" i="26" s="1"/>
  <c r="T152" i="26"/>
  <c r="W93" i="26"/>
  <c r="W95" i="26" s="1"/>
  <c r="O93" i="26"/>
  <c r="O95" i="26" s="1"/>
  <c r="X93" i="26"/>
  <c r="X95" i="26" s="1"/>
  <c r="V152" i="26"/>
  <c r="Y93" i="26"/>
  <c r="Y95" i="26" s="1"/>
  <c r="S152" i="26"/>
  <c r="K151" i="26"/>
  <c r="K213" i="28" s="1"/>
  <c r="N89" i="26"/>
  <c r="J152" i="25"/>
  <c r="J182" i="28" s="1"/>
  <c r="F7" i="8"/>
  <c r="N3" i="26" l="1"/>
  <c r="M27" i="26"/>
  <c r="K93" i="26"/>
  <c r="K95" i="26" s="1"/>
  <c r="G93" i="26"/>
  <c r="G95" i="26" s="1"/>
  <c r="I152" i="26"/>
  <c r="I214" i="28" s="1"/>
  <c r="H89" i="26"/>
  <c r="E152" i="26" s="1"/>
  <c r="E214" i="28" s="1"/>
  <c r="E152" i="25"/>
  <c r="E182" i="28" s="1"/>
  <c r="I152" i="25"/>
  <c r="I182" i="28" s="1"/>
  <c r="K159" i="25"/>
  <c r="J189" i="28"/>
  <c r="W157" i="28"/>
  <c r="S218" i="28"/>
  <c r="V119" i="28"/>
  <c r="S180" i="28" s="1"/>
  <c r="C152" i="25"/>
  <c r="C182" i="28" s="1"/>
  <c r="M9" i="8"/>
  <c r="D180" i="28"/>
  <c r="Q93" i="26"/>
  <c r="Q95" i="26" s="1"/>
  <c r="G151" i="26"/>
  <c r="G213" i="28" s="1"/>
  <c r="J89" i="26"/>
  <c r="J151" i="26"/>
  <c r="J213" i="28" s="1"/>
  <c r="M89" i="26"/>
  <c r="S89" i="26"/>
  <c r="P152" i="26" s="1"/>
  <c r="T93" i="26"/>
  <c r="T95" i="26" s="1"/>
  <c r="M152" i="26"/>
  <c r="T151" i="25"/>
  <c r="N151" i="25"/>
  <c r="K152" i="25"/>
  <c r="K182" i="28" s="1"/>
  <c r="D151" i="25"/>
  <c r="D181" i="28" s="1"/>
  <c r="Z152" i="25"/>
  <c r="W151" i="25"/>
  <c r="P151" i="25"/>
  <c r="L151" i="25"/>
  <c r="L181" i="28" s="1"/>
  <c r="U151" i="25"/>
  <c r="Q151" i="25"/>
  <c r="V151" i="25"/>
  <c r="G152" i="25"/>
  <c r="G182" i="28" s="1"/>
  <c r="T150" i="24"/>
  <c r="M150" i="24"/>
  <c r="U150" i="24"/>
  <c r="J150" i="24"/>
  <c r="I150" i="24"/>
  <c r="Z150" i="24"/>
  <c r="Q150" i="24"/>
  <c r="H150" i="24"/>
  <c r="L150" i="24"/>
  <c r="E150" i="24"/>
  <c r="O150" i="24"/>
  <c r="W150" i="24"/>
  <c r="P150" i="24"/>
  <c r="Y150" i="24"/>
  <c r="V150" i="24"/>
  <c r="K150" i="24"/>
  <c r="R150" i="24"/>
  <c r="N150" i="24"/>
  <c r="X150" i="24"/>
  <c r="S150" i="24"/>
  <c r="G150" i="24"/>
  <c r="F150" i="24"/>
  <c r="O152" i="26"/>
  <c r="K152" i="26"/>
  <c r="K214" i="28" s="1"/>
  <c r="N93" i="26"/>
  <c r="N95" i="26" s="1"/>
  <c r="G7" i="8"/>
  <c r="O3" i="26" l="1"/>
  <c r="O27" i="26" s="1"/>
  <c r="N27" i="26"/>
  <c r="H93" i="26"/>
  <c r="H95" i="26" s="1"/>
  <c r="L159" i="25"/>
  <c r="K189" i="28"/>
  <c r="X157" i="28"/>
  <c r="T218" i="28"/>
  <c r="W119" i="28"/>
  <c r="T180" i="28" s="1"/>
  <c r="G152" i="26"/>
  <c r="J93" i="26"/>
  <c r="J95" i="26" s="1"/>
  <c r="J152" i="26"/>
  <c r="J214" i="28" s="1"/>
  <c r="M93" i="26"/>
  <c r="M95" i="26" s="1"/>
  <c r="S93" i="26"/>
  <c r="S95" i="26" s="1"/>
  <c r="U152" i="25"/>
  <c r="D152" i="25"/>
  <c r="T152" i="25"/>
  <c r="L152" i="25"/>
  <c r="L182" i="28" s="1"/>
  <c r="P152" i="25"/>
  <c r="W152" i="25"/>
  <c r="N152" i="25"/>
  <c r="V152" i="25"/>
  <c r="Q152" i="25"/>
  <c r="O152" i="25"/>
  <c r="G214" i="28" l="1"/>
  <c r="M159" i="25"/>
  <c r="N159" i="25" s="1"/>
  <c r="O159" i="25" s="1"/>
  <c r="P159" i="25" s="1"/>
  <c r="Q159" i="25" s="1"/>
  <c r="R159" i="25" s="1"/>
  <c r="S159" i="25" s="1"/>
  <c r="T159" i="25" s="1"/>
  <c r="U159" i="25" s="1"/>
  <c r="V159" i="25" s="1"/>
  <c r="W159" i="25" s="1"/>
  <c r="X159" i="25" s="1"/>
  <c r="Y159" i="25" s="1"/>
  <c r="Z159" i="25" s="1"/>
  <c r="AA159" i="25" s="1"/>
  <c r="L189" i="28"/>
  <c r="M189" i="28" s="1"/>
  <c r="N189" i="28" s="1"/>
  <c r="O189" i="28" s="1"/>
  <c r="P189" i="28" s="1"/>
  <c r="Q189" i="28" s="1"/>
  <c r="R189" i="28" s="1"/>
  <c r="S189" i="28" s="1"/>
  <c r="T189" i="28" s="1"/>
  <c r="U189" i="28" s="1"/>
  <c r="V189" i="28" s="1"/>
  <c r="W189" i="28" s="1"/>
  <c r="X189" i="28" s="1"/>
  <c r="Y189" i="28" s="1"/>
  <c r="Z189" i="28" s="1"/>
  <c r="AA189" i="28" s="1"/>
  <c r="Y157" i="28"/>
  <c r="U218" i="28"/>
  <c r="X119" i="28"/>
  <c r="U180" i="28" s="1"/>
  <c r="D182" i="28"/>
  <c r="J7" i="8"/>
  <c r="V218" i="28" l="1"/>
  <c r="V219" i="28" s="1"/>
  <c r="Z157" i="28"/>
  <c r="Y119" i="28"/>
  <c r="V180" i="28" s="1"/>
  <c r="T1" i="8"/>
  <c r="T7" i="8" s="1"/>
  <c r="AA157" i="28" l="1"/>
  <c r="W218" i="28"/>
  <c r="W219" i="28" s="1"/>
  <c r="Z119" i="28"/>
  <c r="W180" i="28" s="1"/>
  <c r="X218" i="28" l="1"/>
  <c r="X219" i="28" s="1"/>
  <c r="AA119" i="28"/>
  <c r="X180" i="28" s="1"/>
  <c r="M7" i="8"/>
  <c r="AB119" i="28" l="1"/>
  <c r="Y180" i="28" s="1"/>
  <c r="N7" i="8"/>
  <c r="AC119" i="28" l="1"/>
  <c r="O7" i="8"/>
  <c r="G44" i="15" l="1"/>
  <c r="H44" i="15" s="1"/>
  <c r="I44" i="15" s="1"/>
  <c r="J44" i="15" s="1"/>
  <c r="K44" i="15" s="1"/>
  <c r="L44" i="15" s="1"/>
  <c r="M44" i="15" s="1"/>
  <c r="N44" i="15" s="1"/>
  <c r="O44" i="15" s="1"/>
  <c r="P44" i="15" s="1"/>
  <c r="Q44" i="15" s="1"/>
  <c r="R44" i="15" s="1"/>
  <c r="S44" i="15" s="1"/>
  <c r="T44" i="15" s="1"/>
  <c r="U44" i="15" s="1"/>
  <c r="V44" i="15" s="1"/>
  <c r="W44" i="15" s="1"/>
  <c r="X44" i="15" s="1"/>
  <c r="Y44" i="15" s="1"/>
  <c r="Z44" i="15" s="1"/>
  <c r="L4" i="23"/>
  <c r="J22" i="15" s="1"/>
  <c r="J23" i="15" s="1"/>
  <c r="J25" i="15" s="1"/>
  <c r="K4" i="23"/>
  <c r="I22" i="15" s="1"/>
  <c r="I23" i="15" s="1"/>
  <c r="I25" i="15" s="1"/>
  <c r="J4" i="23"/>
  <c r="H23" i="15" s="1"/>
  <c r="H25" i="15" s="1"/>
  <c r="I4" i="23"/>
  <c r="H4" i="23"/>
  <c r="F17" i="15"/>
  <c r="U24" i="2"/>
  <c r="U25" i="2" s="1"/>
  <c r="U26" i="2" s="1"/>
  <c r="I9" i="8" s="1"/>
  <c r="J17" i="15"/>
  <c r="I17" i="15"/>
  <c r="H17" i="15"/>
  <c r="G17" i="15"/>
  <c r="J18" i="15"/>
  <c r="I18" i="15"/>
  <c r="H18" i="15"/>
  <c r="G18" i="15"/>
  <c r="F18" i="15"/>
  <c r="D9" i="22"/>
  <c r="C9" i="22"/>
  <c r="D7" i="22"/>
  <c r="D31" i="15"/>
  <c r="C31" i="15"/>
  <c r="D29" i="15"/>
  <c r="C29" i="15"/>
  <c r="D10" i="15"/>
  <c r="C10" i="15"/>
  <c r="E7" i="15"/>
  <c r="D7" i="15"/>
  <c r="C7" i="15"/>
  <c r="G48" i="15" s="1"/>
  <c r="F22" i="15" l="1"/>
  <c r="F23" i="15" s="1"/>
  <c r="F25" i="15" s="1"/>
  <c r="F23" i="28"/>
  <c r="F24" i="28" s="1"/>
  <c r="F26" i="28" s="1"/>
  <c r="F13" i="28" s="1"/>
  <c r="F36" i="28" s="1"/>
  <c r="F85" i="28" s="1"/>
  <c r="F87" i="28" s="1"/>
  <c r="F23" i="24"/>
  <c r="F24" i="24" s="1"/>
  <c r="F26" i="24" s="1"/>
  <c r="F13" i="24" s="1"/>
  <c r="F36" i="24" s="1"/>
  <c r="F85" i="24" s="1"/>
  <c r="F87" i="24" s="1"/>
  <c r="G22" i="15"/>
  <c r="G23" i="28"/>
  <c r="G24" i="28" s="1"/>
  <c r="G26" i="28" s="1"/>
  <c r="G13" i="28" s="1"/>
  <c r="G36" i="28" s="1"/>
  <c r="G85" i="28" s="1"/>
  <c r="G87" i="28" s="1"/>
  <c r="G23" i="24"/>
  <c r="G24" i="24" s="1"/>
  <c r="G26" i="24" s="1"/>
  <c r="G13" i="24" s="1"/>
  <c r="G36" i="24" s="1"/>
  <c r="G85" i="24" s="1"/>
  <c r="G87" i="24" s="1"/>
  <c r="I7" i="8"/>
  <c r="U7" i="15"/>
  <c r="U6" i="15" s="1"/>
  <c r="T7" i="15"/>
  <c r="T6" i="15" s="1"/>
  <c r="S7" i="15"/>
  <c r="S6" i="15" s="1"/>
  <c r="R7" i="15"/>
  <c r="R6" i="15" s="1"/>
  <c r="Q7" i="15"/>
  <c r="Q6" i="15" s="1"/>
  <c r="P7" i="15"/>
  <c r="P6" i="15" s="1"/>
  <c r="O7" i="15"/>
  <c r="O6" i="15" s="1"/>
  <c r="N7" i="15"/>
  <c r="N6" i="15" s="1"/>
  <c r="M7" i="15"/>
  <c r="M6" i="15" s="1"/>
  <c r="Z48" i="15"/>
  <c r="Z47" i="15" s="1"/>
  <c r="Y48" i="15"/>
  <c r="Y47" i="15" s="1"/>
  <c r="X48" i="15"/>
  <c r="X47" i="15" s="1"/>
  <c r="W48" i="15"/>
  <c r="W47" i="15" s="1"/>
  <c r="V48" i="15"/>
  <c r="V47" i="15" s="1"/>
  <c r="U48" i="15"/>
  <c r="U47" i="15" s="1"/>
  <c r="T48" i="15"/>
  <c r="T47" i="15" s="1"/>
  <c r="S48" i="15"/>
  <c r="S47" i="15" s="1"/>
  <c r="R48" i="15"/>
  <c r="R47" i="15" s="1"/>
  <c r="Q48" i="15"/>
  <c r="Q47" i="15" s="1"/>
  <c r="P48" i="15"/>
  <c r="P47" i="15" s="1"/>
  <c r="K48" i="15"/>
  <c r="K47" i="15" s="1"/>
  <c r="O48" i="15"/>
  <c r="O47" i="15" s="1"/>
  <c r="N48" i="15"/>
  <c r="N47" i="15" s="1"/>
  <c r="M48" i="15"/>
  <c r="M47" i="15" s="1"/>
  <c r="L48" i="15"/>
  <c r="L47" i="15" s="1"/>
  <c r="J48" i="15"/>
  <c r="J47" i="15" s="1"/>
  <c r="I48" i="15"/>
  <c r="I47" i="15" s="1"/>
  <c r="H48" i="15"/>
  <c r="H47" i="15" s="1"/>
  <c r="G47" i="15"/>
  <c r="G23" i="15"/>
  <c r="G25" i="15" s="1"/>
  <c r="H19" i="15"/>
  <c r="H12" i="15" s="1"/>
  <c r="J19" i="15"/>
  <c r="J12" i="15" s="1"/>
  <c r="I19" i="15"/>
  <c r="I12" i="15" s="1"/>
  <c r="G19" i="15"/>
  <c r="E29" i="15"/>
  <c r="J29" i="15"/>
  <c r="E31" i="15"/>
  <c r="J31" i="15"/>
  <c r="F31" i="15"/>
  <c r="F19" i="15"/>
  <c r="F12" i="15" s="1"/>
  <c r="E10" i="15"/>
  <c r="G7" i="15"/>
  <c r="G6" i="15" s="1"/>
  <c r="H7" i="15"/>
  <c r="H6" i="15" s="1"/>
  <c r="J7" i="15"/>
  <c r="J6" i="15" s="1"/>
  <c r="L7" i="15"/>
  <c r="L6" i="15" s="1"/>
  <c r="I7" i="15"/>
  <c r="I6" i="15" s="1"/>
  <c r="K6" i="15"/>
  <c r="F7" i="15"/>
  <c r="F6" i="15" s="1"/>
  <c r="D148" i="24" l="1"/>
  <c r="G89" i="24"/>
  <c r="D149" i="24" s="1"/>
  <c r="D148" i="28"/>
  <c r="G89" i="28"/>
  <c r="D149" i="28" s="1"/>
  <c r="G90" i="28"/>
  <c r="C148" i="24"/>
  <c r="F89" i="24"/>
  <c r="C149" i="24" s="1"/>
  <c r="C148" i="28"/>
  <c r="F89" i="28"/>
  <c r="C149" i="28" s="1"/>
  <c r="F90" i="28"/>
  <c r="F10" i="15"/>
  <c r="U10" i="15"/>
  <c r="U9" i="15" s="1"/>
  <c r="T10" i="15"/>
  <c r="S10" i="15"/>
  <c r="S9" i="15" s="1"/>
  <c r="R10" i="15"/>
  <c r="R9" i="15" s="1"/>
  <c r="Q10" i="15"/>
  <c r="P10" i="15"/>
  <c r="P9" i="15" s="1"/>
  <c r="O10" i="15"/>
  <c r="N10" i="15"/>
  <c r="N9" i="15" s="1"/>
  <c r="M10" i="15"/>
  <c r="M9" i="15" s="1"/>
  <c r="G51" i="15"/>
  <c r="Z51" i="15"/>
  <c r="Z50" i="15" s="1"/>
  <c r="Y51" i="15"/>
  <c r="X51" i="15"/>
  <c r="W51" i="15"/>
  <c r="V51" i="15"/>
  <c r="U51" i="15"/>
  <c r="T51" i="15"/>
  <c r="T50" i="15" s="1"/>
  <c r="S51" i="15"/>
  <c r="S50" i="15" s="1"/>
  <c r="R51" i="15"/>
  <c r="R50" i="15" s="1"/>
  <c r="Q51" i="15"/>
  <c r="P51" i="15"/>
  <c r="K51" i="15"/>
  <c r="O51" i="15"/>
  <c r="N51" i="15"/>
  <c r="N50" i="15" s="1"/>
  <c r="M51" i="15"/>
  <c r="L51" i="15"/>
  <c r="L50" i="15" s="1"/>
  <c r="J51" i="15"/>
  <c r="I51" i="15"/>
  <c r="H51" i="15"/>
  <c r="E30" i="15"/>
  <c r="U31" i="15"/>
  <c r="U30" i="15" s="1"/>
  <c r="T31" i="15"/>
  <c r="T30" i="15" s="1"/>
  <c r="S31" i="15"/>
  <c r="R31" i="15"/>
  <c r="R30" i="15" s="1"/>
  <c r="Q31" i="15"/>
  <c r="Q30" i="15" s="1"/>
  <c r="P31" i="15"/>
  <c r="P30" i="15" s="1"/>
  <c r="O31" i="15"/>
  <c r="O30" i="15" s="1"/>
  <c r="N31" i="15"/>
  <c r="N30" i="15" s="1"/>
  <c r="M31" i="15"/>
  <c r="M30" i="15" s="1"/>
  <c r="Z56" i="15"/>
  <c r="Z55" i="15" s="1"/>
  <c r="Y56" i="15"/>
  <c r="Y55" i="15" s="1"/>
  <c r="X56" i="15"/>
  <c r="X55" i="15" s="1"/>
  <c r="W56" i="15"/>
  <c r="V56" i="15"/>
  <c r="V55" i="15" s="1"/>
  <c r="U56" i="15"/>
  <c r="U55" i="15" s="1"/>
  <c r="T56" i="15"/>
  <c r="T55" i="15" s="1"/>
  <c r="S56" i="15"/>
  <c r="S55" i="15" s="1"/>
  <c r="R56" i="15"/>
  <c r="R55" i="15" s="1"/>
  <c r="Q56" i="15"/>
  <c r="Q55" i="15" s="1"/>
  <c r="P56" i="15"/>
  <c r="P55" i="15" s="1"/>
  <c r="K56" i="15"/>
  <c r="K55" i="15" s="1"/>
  <c r="O56" i="15"/>
  <c r="O55" i="15" s="1"/>
  <c r="N56" i="15"/>
  <c r="N55" i="15" s="1"/>
  <c r="M56" i="15"/>
  <c r="M55" i="15" s="1"/>
  <c r="L56" i="15"/>
  <c r="L55" i="15" s="1"/>
  <c r="J56" i="15"/>
  <c r="J55" i="15" s="1"/>
  <c r="I56" i="15"/>
  <c r="I55" i="15" s="1"/>
  <c r="H56" i="15"/>
  <c r="H55" i="15" s="1"/>
  <c r="G56" i="15"/>
  <c r="G55" i="15" s="1"/>
  <c r="U29" i="15"/>
  <c r="T29" i="15"/>
  <c r="T28" i="15" s="1"/>
  <c r="S29" i="15"/>
  <c r="S28" i="15" s="1"/>
  <c r="R29" i="15"/>
  <c r="R28" i="15" s="1"/>
  <c r="Q29" i="15"/>
  <c r="Q28" i="15" s="1"/>
  <c r="P29" i="15"/>
  <c r="P28" i="15" s="1"/>
  <c r="O29" i="15"/>
  <c r="O28" i="15" s="1"/>
  <c r="N29" i="15"/>
  <c r="N28" i="15" s="1"/>
  <c r="M29" i="15"/>
  <c r="M28" i="15" s="1"/>
  <c r="Z54" i="15"/>
  <c r="Z53" i="15" s="1"/>
  <c r="Y54" i="15"/>
  <c r="Y53" i="15" s="1"/>
  <c r="X54" i="15"/>
  <c r="X53" i="15" s="1"/>
  <c r="W54" i="15"/>
  <c r="W53" i="15" s="1"/>
  <c r="V54" i="15"/>
  <c r="V53" i="15" s="1"/>
  <c r="U54" i="15"/>
  <c r="U53" i="15" s="1"/>
  <c r="T54" i="15"/>
  <c r="T53" i="15" s="1"/>
  <c r="S54" i="15"/>
  <c r="S53" i="15" s="1"/>
  <c r="R54" i="15"/>
  <c r="R53" i="15" s="1"/>
  <c r="Q54" i="15"/>
  <c r="Q53" i="15" s="1"/>
  <c r="P54" i="15"/>
  <c r="P53" i="15" s="1"/>
  <c r="K54" i="15"/>
  <c r="K53" i="15" s="1"/>
  <c r="O54" i="15"/>
  <c r="O53" i="15" s="1"/>
  <c r="N54" i="15"/>
  <c r="N53" i="15" s="1"/>
  <c r="M54" i="15"/>
  <c r="M53" i="15" s="1"/>
  <c r="L54" i="15"/>
  <c r="L53" i="15" s="1"/>
  <c r="J54" i="15"/>
  <c r="J53" i="15" s="1"/>
  <c r="I54" i="15"/>
  <c r="I53" i="15" s="1"/>
  <c r="H54" i="15"/>
  <c r="H53" i="15" s="1"/>
  <c r="G54" i="15"/>
  <c r="G53" i="15" s="1"/>
  <c r="G50" i="15"/>
  <c r="H50" i="15"/>
  <c r="H59" i="15"/>
  <c r="H61" i="15" s="1"/>
  <c r="I50" i="15"/>
  <c r="I59" i="15"/>
  <c r="I61" i="15" s="1"/>
  <c r="J50" i="15"/>
  <c r="J59" i="15"/>
  <c r="J61" i="15" s="1"/>
  <c r="L59" i="15"/>
  <c r="L61" i="15" s="1"/>
  <c r="M50" i="15"/>
  <c r="M59" i="15"/>
  <c r="M61" i="15" s="1"/>
  <c r="N59" i="15"/>
  <c r="N61" i="15" s="1"/>
  <c r="O50" i="15"/>
  <c r="O59" i="15"/>
  <c r="O61" i="15" s="1"/>
  <c r="K50" i="15"/>
  <c r="K59" i="15"/>
  <c r="K61" i="15" s="1"/>
  <c r="P50" i="15"/>
  <c r="P59" i="15"/>
  <c r="P61" i="15" s="1"/>
  <c r="Q50" i="15"/>
  <c r="Q59" i="15" s="1"/>
  <c r="Q61" i="15" s="1"/>
  <c r="R59" i="15"/>
  <c r="R61" i="15" s="1"/>
  <c r="S59" i="15"/>
  <c r="S61" i="15" s="1"/>
  <c r="T59" i="15"/>
  <c r="T61" i="15" s="1"/>
  <c r="U50" i="15"/>
  <c r="U59" i="15"/>
  <c r="U61" i="15" s="1"/>
  <c r="V50" i="15"/>
  <c r="V59" i="15"/>
  <c r="V61" i="15" s="1"/>
  <c r="W55" i="15"/>
  <c r="W50" i="15"/>
  <c r="W59" i="15" s="1"/>
  <c r="W61" i="15" s="1"/>
  <c r="X50" i="15"/>
  <c r="X59" i="15"/>
  <c r="X61" i="15" s="1"/>
  <c r="Y50" i="15"/>
  <c r="Y59" i="15" s="1"/>
  <c r="Y61" i="15" s="1"/>
  <c r="Z59" i="15"/>
  <c r="Z61" i="15" s="1"/>
  <c r="O9" i="15"/>
  <c r="O35" i="15" s="1"/>
  <c r="Q9" i="15"/>
  <c r="S30" i="15"/>
  <c r="T9" i="15"/>
  <c r="T35" i="15" s="1"/>
  <c r="U28" i="15"/>
  <c r="G12" i="15"/>
  <c r="E28" i="15"/>
  <c r="G29" i="15"/>
  <c r="L31" i="15"/>
  <c r="H29" i="15"/>
  <c r="L29" i="15"/>
  <c r="H31" i="15"/>
  <c r="G31" i="15"/>
  <c r="I31" i="15"/>
  <c r="L28" i="15"/>
  <c r="J28" i="15"/>
  <c r="H28" i="15"/>
  <c r="F29" i="15"/>
  <c r="F28" i="15" s="1"/>
  <c r="I29" i="15"/>
  <c r="I28" i="15" s="1"/>
  <c r="G28" i="15"/>
  <c r="K28" i="15"/>
  <c r="F30" i="15"/>
  <c r="F9" i="15"/>
  <c r="J10" i="15"/>
  <c r="J9" i="15" s="1"/>
  <c r="E9" i="15"/>
  <c r="K9" i="15"/>
  <c r="G10" i="15"/>
  <c r="G9" i="15" s="1"/>
  <c r="I10" i="15"/>
  <c r="I9" i="15" s="1"/>
  <c r="H10" i="15"/>
  <c r="H9" i="15" s="1"/>
  <c r="L10" i="15"/>
  <c r="L9" i="15" s="1"/>
  <c r="C19" i="13"/>
  <c r="G19" i="13" s="1"/>
  <c r="G21" i="13" s="1"/>
  <c r="G23" i="13" s="1"/>
  <c r="C7" i="13"/>
  <c r="C65" i="9"/>
  <c r="C64" i="9"/>
  <c r="C63" i="9"/>
  <c r="C62" i="9"/>
  <c r="C61" i="9"/>
  <c r="C60" i="9"/>
  <c r="C59" i="9"/>
  <c r="C58" i="9"/>
  <c r="C57" i="9"/>
  <c r="C44" i="9"/>
  <c r="C43" i="9"/>
  <c r="C42" i="9"/>
  <c r="C41" i="9"/>
  <c r="C40" i="9"/>
  <c r="C39" i="9"/>
  <c r="C38" i="9"/>
  <c r="C37" i="9"/>
  <c r="C36" i="9"/>
  <c r="C18" i="9"/>
  <c r="C17" i="9"/>
  <c r="C16" i="9"/>
  <c r="C24" i="9"/>
  <c r="C23" i="9"/>
  <c r="C22" i="9"/>
  <c r="C21" i="9"/>
  <c r="C20" i="9"/>
  <c r="C19" i="9"/>
  <c r="G90" i="24" l="1"/>
  <c r="C22" i="13"/>
  <c r="F90" i="24"/>
  <c r="G59" i="15"/>
  <c r="C150" i="28"/>
  <c r="C150" i="24"/>
  <c r="D150" i="28"/>
  <c r="D150" i="24"/>
  <c r="G61" i="15"/>
  <c r="Q35" i="15"/>
  <c r="R35" i="15"/>
  <c r="M35" i="15"/>
  <c r="N35" i="15"/>
  <c r="P35" i="15"/>
  <c r="S35" i="15"/>
  <c r="U35" i="15"/>
  <c r="F35" i="15"/>
  <c r="C21" i="13"/>
  <c r="G30" i="15"/>
  <c r="G35" i="15" s="1"/>
  <c r="G3" i="15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F50" i="3"/>
  <c r="E50" i="3"/>
  <c r="D50" i="3"/>
  <c r="C50" i="3"/>
  <c r="F42" i="3"/>
  <c r="E42" i="3"/>
  <c r="D42" i="3"/>
  <c r="C42" i="3"/>
  <c r="F36" i="3"/>
  <c r="E36" i="3"/>
  <c r="D36" i="3"/>
  <c r="C36" i="3"/>
  <c r="F27" i="3"/>
  <c r="F52" i="3" s="1"/>
  <c r="E27" i="3"/>
  <c r="E52" i="3" s="1"/>
  <c r="D27" i="3"/>
  <c r="D52" i="3" s="1"/>
  <c r="C27" i="3"/>
  <c r="C52" i="3" s="1"/>
  <c r="C55" i="3" s="1"/>
  <c r="D26" i="2"/>
  <c r="D30" i="2" s="1"/>
  <c r="D36" i="2" s="1"/>
  <c r="C26" i="2"/>
  <c r="C30" i="2" s="1"/>
  <c r="C36" i="2" s="1"/>
  <c r="C12" i="2"/>
  <c r="C19" i="2" s="1"/>
  <c r="D12" i="2"/>
  <c r="C20" i="1"/>
  <c r="F36" i="1"/>
  <c r="F40" i="1" s="1"/>
  <c r="F43" i="1" s="1"/>
  <c r="E36" i="1"/>
  <c r="E40" i="1" s="1"/>
  <c r="E43" i="1" s="1"/>
  <c r="D36" i="1"/>
  <c r="D40" i="1" s="1"/>
  <c r="D43" i="1" s="1"/>
  <c r="C36" i="1"/>
  <c r="C40" i="1" s="1"/>
  <c r="C43" i="1" s="1"/>
  <c r="F31" i="1"/>
  <c r="E31" i="1"/>
  <c r="D31" i="1"/>
  <c r="C31" i="1"/>
  <c r="F20" i="1"/>
  <c r="E20" i="1"/>
  <c r="D20" i="1"/>
  <c r="F8" i="1"/>
  <c r="H5" i="2" s="1"/>
  <c r="E8" i="1"/>
  <c r="G5" i="2" s="1"/>
  <c r="D8" i="1"/>
  <c r="C8" i="1"/>
  <c r="F15" i="1"/>
  <c r="E15" i="1"/>
  <c r="E22" i="1" s="1"/>
  <c r="D15" i="1"/>
  <c r="C15" i="1"/>
  <c r="F25" i="2" l="1"/>
  <c r="F11" i="2"/>
  <c r="F9" i="2"/>
  <c r="G25" i="2"/>
  <c r="G11" i="2"/>
  <c r="G9" i="2"/>
  <c r="D19" i="2"/>
  <c r="C8" i="22"/>
  <c r="C22" i="1"/>
  <c r="D22" i="1"/>
  <c r="D8" i="22"/>
  <c r="F22" i="1"/>
  <c r="H30" i="15"/>
  <c r="H35" i="15" s="1"/>
  <c r="F121" i="26" l="1"/>
  <c r="F121" i="25"/>
  <c r="F121" i="28"/>
  <c r="F121" i="24"/>
  <c r="F122" i="26"/>
  <c r="F135" i="26" s="1"/>
  <c r="F136" i="26" s="1"/>
  <c r="F122" i="25"/>
  <c r="F135" i="25" s="1"/>
  <c r="F136" i="25" s="1"/>
  <c r="F122" i="28"/>
  <c r="F135" i="28" s="1"/>
  <c r="F136" i="28" s="1"/>
  <c r="F122" i="24"/>
  <c r="F135" i="24" s="1"/>
  <c r="F136" i="24" s="1"/>
  <c r="F125" i="26"/>
  <c r="F125" i="25"/>
  <c r="F125" i="28"/>
  <c r="F125" i="24"/>
  <c r="E121" i="26"/>
  <c r="E121" i="25"/>
  <c r="E134" i="25" s="1"/>
  <c r="E121" i="28"/>
  <c r="E121" i="24"/>
  <c r="E122" i="26"/>
  <c r="E135" i="26" s="1"/>
  <c r="E122" i="25"/>
  <c r="E122" i="28"/>
  <c r="E135" i="28" s="1"/>
  <c r="E122" i="24"/>
  <c r="E135" i="24" s="1"/>
  <c r="E125" i="26"/>
  <c r="E125" i="25"/>
  <c r="E125" i="28"/>
  <c r="E125" i="24"/>
  <c r="K9" i="8"/>
  <c r="T9" i="8"/>
  <c r="C10" i="22"/>
  <c r="C21" i="22"/>
  <c r="D10" i="22"/>
  <c r="D21" i="22"/>
  <c r="I30" i="15"/>
  <c r="I35" i="15" s="1"/>
  <c r="E126" i="24" l="1"/>
  <c r="E138" i="24"/>
  <c r="E126" i="28"/>
  <c r="E138" i="28"/>
  <c r="E138" i="25"/>
  <c r="E126" i="25"/>
  <c r="E138" i="26"/>
  <c r="E126" i="26"/>
  <c r="AE135" i="24"/>
  <c r="AD135" i="24"/>
  <c r="AC135" i="24"/>
  <c r="AB135" i="24"/>
  <c r="AA135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E136" i="24"/>
  <c r="E136" i="28"/>
  <c r="M135" i="28"/>
  <c r="U135" i="28"/>
  <c r="AB135" i="28"/>
  <c r="T135" i="28"/>
  <c r="S135" i="28"/>
  <c r="X135" i="28"/>
  <c r="R135" i="28"/>
  <c r="W135" i="28"/>
  <c r="AA135" i="28"/>
  <c r="O135" i="28"/>
  <c r="P135" i="28"/>
  <c r="V135" i="28"/>
  <c r="Z135" i="28"/>
  <c r="N135" i="28"/>
  <c r="Q135" i="28"/>
  <c r="Y135" i="28"/>
  <c r="K135" i="28"/>
  <c r="L135" i="28"/>
  <c r="J135" i="28"/>
  <c r="AC135" i="28"/>
  <c r="G135" i="28"/>
  <c r="I135" i="28"/>
  <c r="H135" i="28"/>
  <c r="E123" i="25"/>
  <c r="E135" i="25"/>
  <c r="E136" i="26"/>
  <c r="X135" i="26"/>
  <c r="L135" i="26"/>
  <c r="Q135" i="26"/>
  <c r="P135" i="26"/>
  <c r="T135" i="26"/>
  <c r="Y135" i="26"/>
  <c r="N135" i="26"/>
  <c r="J135" i="26"/>
  <c r="V135" i="26"/>
  <c r="K135" i="26"/>
  <c r="S135" i="26"/>
  <c r="G135" i="26"/>
  <c r="AA135" i="26"/>
  <c r="H135" i="26"/>
  <c r="R135" i="26"/>
  <c r="O135" i="26"/>
  <c r="Z135" i="26"/>
  <c r="M135" i="26"/>
  <c r="W135" i="26"/>
  <c r="I135" i="26"/>
  <c r="U135" i="26"/>
  <c r="E134" i="24"/>
  <c r="E123" i="24"/>
  <c r="E129" i="24" s="1"/>
  <c r="E123" i="28"/>
  <c r="E129" i="28" s="1"/>
  <c r="E134" i="28"/>
  <c r="E123" i="26"/>
  <c r="E134" i="26"/>
  <c r="F126" i="24"/>
  <c r="F138" i="24"/>
  <c r="F126" i="28"/>
  <c r="F138" i="28"/>
  <c r="L138" i="28" s="1"/>
  <c r="L125" i="28" s="1"/>
  <c r="L126" i="28" s="1"/>
  <c r="F126" i="25"/>
  <c r="F138" i="25"/>
  <c r="F126" i="26"/>
  <c r="F138" i="26"/>
  <c r="F134" i="24"/>
  <c r="F123" i="24"/>
  <c r="F129" i="24" s="1"/>
  <c r="F134" i="28"/>
  <c r="F123" i="28"/>
  <c r="F129" i="28" s="1"/>
  <c r="F130" i="28" s="1"/>
  <c r="F123" i="25"/>
  <c r="F134" i="25"/>
  <c r="F123" i="26"/>
  <c r="F134" i="26"/>
  <c r="R9" i="8"/>
  <c r="R24" i="8" s="1"/>
  <c r="Q9" i="8"/>
  <c r="S9" i="8"/>
  <c r="P9" i="8"/>
  <c r="P7" i="8" s="1"/>
  <c r="K7" i="8"/>
  <c r="T26" i="8"/>
  <c r="T24" i="8"/>
  <c r="T25" i="8"/>
  <c r="T22" i="8"/>
  <c r="T23" i="8"/>
  <c r="N21" i="22"/>
  <c r="F21" i="22"/>
  <c r="E21" i="22"/>
  <c r="L21" i="22"/>
  <c r="J21" i="22"/>
  <c r="K21" i="22"/>
  <c r="I21" i="22"/>
  <c r="H21" i="22"/>
  <c r="G21" i="22"/>
  <c r="M21" i="22"/>
  <c r="J30" i="15"/>
  <c r="J35" i="15" s="1"/>
  <c r="F130" i="24" l="1"/>
  <c r="E129" i="26"/>
  <c r="F129" i="26"/>
  <c r="F130" i="26" s="1"/>
  <c r="E129" i="25"/>
  <c r="Z134" i="25"/>
  <c r="Z121" i="25" s="1"/>
  <c r="AA134" i="25"/>
  <c r="AA121" i="25" s="1"/>
  <c r="S134" i="25"/>
  <c r="S121" i="25" s="1"/>
  <c r="K134" i="25"/>
  <c r="K121" i="25" s="1"/>
  <c r="J134" i="25"/>
  <c r="J121" i="25" s="1"/>
  <c r="Y134" i="25"/>
  <c r="Y121" i="25" s="1"/>
  <c r="I134" i="25"/>
  <c r="I121" i="25" s="1"/>
  <c r="X134" i="25"/>
  <c r="X121" i="25" s="1"/>
  <c r="P134" i="25"/>
  <c r="P121" i="25" s="1"/>
  <c r="W134" i="25"/>
  <c r="W121" i="25" s="1"/>
  <c r="O134" i="25"/>
  <c r="O121" i="25" s="1"/>
  <c r="AD134" i="25"/>
  <c r="AD121" i="25" s="1"/>
  <c r="V134" i="25"/>
  <c r="V121" i="25" s="1"/>
  <c r="N134" i="25"/>
  <c r="N121" i="25" s="1"/>
  <c r="U134" i="25"/>
  <c r="U121" i="25" s="1"/>
  <c r="M134" i="25"/>
  <c r="M121" i="25" s="1"/>
  <c r="L134" i="25"/>
  <c r="L121" i="25" s="1"/>
  <c r="T134" i="25"/>
  <c r="T121" i="25" s="1"/>
  <c r="G134" i="25"/>
  <c r="G121" i="25" s="1"/>
  <c r="Q134" i="25"/>
  <c r="Q121" i="25" s="1"/>
  <c r="AC134" i="25"/>
  <c r="AC121" i="25" s="1"/>
  <c r="AE134" i="25"/>
  <c r="AE121" i="25" s="1"/>
  <c r="R134" i="25"/>
  <c r="R121" i="25" s="1"/>
  <c r="AB134" i="25"/>
  <c r="AB121" i="25" s="1"/>
  <c r="H134" i="25"/>
  <c r="H121" i="25" s="1"/>
  <c r="F129" i="25"/>
  <c r="F130" i="25" s="1"/>
  <c r="AA134" i="26"/>
  <c r="AA121" i="26" s="1"/>
  <c r="S134" i="26"/>
  <c r="S121" i="26" s="1"/>
  <c r="K134" i="26"/>
  <c r="K121" i="26" s="1"/>
  <c r="Z134" i="26"/>
  <c r="Z121" i="26" s="1"/>
  <c r="R134" i="26"/>
  <c r="R121" i="26" s="1"/>
  <c r="J134" i="26"/>
  <c r="J121" i="26" s="1"/>
  <c r="Y134" i="26"/>
  <c r="Y121" i="26" s="1"/>
  <c r="Q134" i="26"/>
  <c r="Q121" i="26" s="1"/>
  <c r="I134" i="26"/>
  <c r="I121" i="26" s="1"/>
  <c r="X134" i="26"/>
  <c r="X121" i="26" s="1"/>
  <c r="P134" i="26"/>
  <c r="P121" i="26" s="1"/>
  <c r="H134" i="26"/>
  <c r="H121" i="26" s="1"/>
  <c r="W134" i="26"/>
  <c r="W121" i="26" s="1"/>
  <c r="O134" i="26"/>
  <c r="O121" i="26" s="1"/>
  <c r="G134" i="26"/>
  <c r="G121" i="26" s="1"/>
  <c r="V134" i="26"/>
  <c r="V121" i="26" s="1"/>
  <c r="N134" i="26"/>
  <c r="N121" i="26" s="1"/>
  <c r="L134" i="26"/>
  <c r="L121" i="26" s="1"/>
  <c r="U134" i="26"/>
  <c r="U121" i="26" s="1"/>
  <c r="M134" i="26"/>
  <c r="M121" i="26" s="1"/>
  <c r="T134" i="26"/>
  <c r="T121" i="26" s="1"/>
  <c r="N134" i="28"/>
  <c r="N121" i="28" s="1"/>
  <c r="V134" i="28"/>
  <c r="V121" i="28" s="1"/>
  <c r="O134" i="28"/>
  <c r="O121" i="28" s="1"/>
  <c r="W134" i="28"/>
  <c r="W121" i="28" s="1"/>
  <c r="M134" i="28"/>
  <c r="M121" i="28" s="1"/>
  <c r="U134" i="28"/>
  <c r="U121" i="28" s="1"/>
  <c r="Z134" i="28"/>
  <c r="Z121" i="28" s="1"/>
  <c r="P134" i="28"/>
  <c r="P121" i="28" s="1"/>
  <c r="AA134" i="28"/>
  <c r="AA121" i="28" s="1"/>
  <c r="Q134" i="28"/>
  <c r="Q121" i="28" s="1"/>
  <c r="AB134" i="28"/>
  <c r="AB121" i="28" s="1"/>
  <c r="R134" i="28"/>
  <c r="R121" i="28" s="1"/>
  <c r="T134" i="28"/>
  <c r="T121" i="28" s="1"/>
  <c r="X134" i="28"/>
  <c r="X121" i="28" s="1"/>
  <c r="Y134" i="28"/>
  <c r="Y121" i="28" s="1"/>
  <c r="S134" i="28"/>
  <c r="S121" i="28" s="1"/>
  <c r="AC134" i="28"/>
  <c r="AC121" i="28" s="1"/>
  <c r="K134" i="28"/>
  <c r="K121" i="28" s="1"/>
  <c r="L134" i="28"/>
  <c r="L121" i="28" s="1"/>
  <c r="I134" i="28"/>
  <c r="I121" i="28" s="1"/>
  <c r="J134" i="28"/>
  <c r="J121" i="28" s="1"/>
  <c r="H134" i="28"/>
  <c r="H121" i="28" s="1"/>
  <c r="G134" i="28"/>
  <c r="G121" i="28" s="1"/>
  <c r="AE134" i="24"/>
  <c r="AE121" i="24" s="1"/>
  <c r="AD134" i="24"/>
  <c r="AD121" i="24" s="1"/>
  <c r="AC134" i="24"/>
  <c r="AC121" i="24" s="1"/>
  <c r="AB134" i="24"/>
  <c r="AB121" i="24" s="1"/>
  <c r="AA134" i="24"/>
  <c r="AA121" i="24" s="1"/>
  <c r="Z134" i="24"/>
  <c r="Z121" i="24" s="1"/>
  <c r="Y134" i="24"/>
  <c r="Y121" i="24" s="1"/>
  <c r="X134" i="24"/>
  <c r="X121" i="24" s="1"/>
  <c r="W134" i="24"/>
  <c r="W121" i="24" s="1"/>
  <c r="V134" i="24"/>
  <c r="V121" i="24" s="1"/>
  <c r="U134" i="24"/>
  <c r="U121" i="24" s="1"/>
  <c r="T134" i="24"/>
  <c r="T121" i="24" s="1"/>
  <c r="S134" i="24"/>
  <c r="S121" i="24" s="1"/>
  <c r="R134" i="24"/>
  <c r="R121" i="24" s="1"/>
  <c r="Q134" i="24"/>
  <c r="Q121" i="24" s="1"/>
  <c r="P134" i="24"/>
  <c r="P121" i="24" s="1"/>
  <c r="O134" i="24"/>
  <c r="O121" i="24" s="1"/>
  <c r="N134" i="24"/>
  <c r="N121" i="24" s="1"/>
  <c r="M134" i="24"/>
  <c r="M121" i="24" s="1"/>
  <c r="L134" i="24"/>
  <c r="L121" i="24" s="1"/>
  <c r="K134" i="24"/>
  <c r="K121" i="24" s="1"/>
  <c r="J134" i="24"/>
  <c r="J121" i="24" s="1"/>
  <c r="I134" i="24"/>
  <c r="I121" i="24" s="1"/>
  <c r="H134" i="24"/>
  <c r="H121" i="24" s="1"/>
  <c r="G134" i="24"/>
  <c r="G121" i="24" s="1"/>
  <c r="U136" i="26"/>
  <c r="U122" i="26"/>
  <c r="I136" i="26"/>
  <c r="I122" i="26"/>
  <c r="I123" i="26" s="1"/>
  <c r="W136" i="26"/>
  <c r="W122" i="26"/>
  <c r="M136" i="26"/>
  <c r="M122" i="26"/>
  <c r="M123" i="26" s="1"/>
  <c r="Z136" i="26"/>
  <c r="Z122" i="26"/>
  <c r="Z123" i="26" s="1"/>
  <c r="O136" i="26"/>
  <c r="O122" i="26"/>
  <c r="R136" i="26"/>
  <c r="R122" i="26"/>
  <c r="H136" i="26"/>
  <c r="H122" i="26"/>
  <c r="H123" i="26" s="1"/>
  <c r="AA122" i="26"/>
  <c r="AA123" i="26" s="1"/>
  <c r="AA136" i="26"/>
  <c r="G136" i="26"/>
  <c r="G122" i="26"/>
  <c r="G123" i="26" s="1"/>
  <c r="S136" i="26"/>
  <c r="S122" i="26"/>
  <c r="K122" i="26"/>
  <c r="K136" i="26"/>
  <c r="V136" i="26"/>
  <c r="V122" i="26"/>
  <c r="J136" i="26"/>
  <c r="J122" i="26"/>
  <c r="N136" i="26"/>
  <c r="N122" i="26"/>
  <c r="N123" i="26" s="1"/>
  <c r="Y136" i="26"/>
  <c r="Y122" i="26"/>
  <c r="Y123" i="26" s="1"/>
  <c r="T136" i="26"/>
  <c r="T122" i="26"/>
  <c r="P136" i="26"/>
  <c r="P122" i="26"/>
  <c r="P123" i="26" s="1"/>
  <c r="Q136" i="26"/>
  <c r="Q122" i="26"/>
  <c r="L136" i="26"/>
  <c r="L122" i="26"/>
  <c r="X122" i="26"/>
  <c r="X136" i="26"/>
  <c r="E136" i="25"/>
  <c r="X135" i="25"/>
  <c r="AE135" i="25"/>
  <c r="G135" i="25"/>
  <c r="AD135" i="25"/>
  <c r="V135" i="25"/>
  <c r="U135" i="25"/>
  <c r="T135" i="25"/>
  <c r="L135" i="25"/>
  <c r="AA135" i="25"/>
  <c r="Q135" i="25"/>
  <c r="J135" i="25"/>
  <c r="Y135" i="25"/>
  <c r="I135" i="25"/>
  <c r="S135" i="25"/>
  <c r="N135" i="25"/>
  <c r="P135" i="25"/>
  <c r="R135" i="25"/>
  <c r="AB135" i="25"/>
  <c r="O135" i="25"/>
  <c r="Z135" i="25"/>
  <c r="M135" i="25"/>
  <c r="W135" i="25"/>
  <c r="K135" i="25"/>
  <c r="AC135" i="25"/>
  <c r="H135" i="25"/>
  <c r="H136" i="28"/>
  <c r="H122" i="28"/>
  <c r="H123" i="28" s="1"/>
  <c r="I136" i="28"/>
  <c r="I122" i="28"/>
  <c r="I123" i="28" s="1"/>
  <c r="G136" i="28"/>
  <c r="G122" i="28"/>
  <c r="G123" i="28" s="1"/>
  <c r="AC122" i="28"/>
  <c r="AC123" i="28" s="1"/>
  <c r="AC136" i="28"/>
  <c r="J136" i="28"/>
  <c r="J122" i="28"/>
  <c r="L136" i="28"/>
  <c r="L122" i="28"/>
  <c r="L123" i="28" s="1"/>
  <c r="L129" i="28" s="1"/>
  <c r="K136" i="28"/>
  <c r="K122" i="28"/>
  <c r="K123" i="28" s="1"/>
  <c r="Y136" i="28"/>
  <c r="Y122" i="28"/>
  <c r="V182" i="28" s="1"/>
  <c r="Q136" i="28"/>
  <c r="Q122" i="28"/>
  <c r="N182" i="28" s="1"/>
  <c r="N136" i="28"/>
  <c r="N122" i="28"/>
  <c r="N123" i="28" s="1"/>
  <c r="Z136" i="28"/>
  <c r="Z122" i="28"/>
  <c r="W182" i="28" s="1"/>
  <c r="V136" i="28"/>
  <c r="V122" i="28"/>
  <c r="S182" i="28" s="1"/>
  <c r="P136" i="28"/>
  <c r="P122" i="28"/>
  <c r="M182" i="28" s="1"/>
  <c r="O136" i="28"/>
  <c r="O122" i="28"/>
  <c r="O123" i="28" s="1"/>
  <c r="AA136" i="28"/>
  <c r="AA122" i="28"/>
  <c r="X182" i="28" s="1"/>
  <c r="W136" i="28"/>
  <c r="W122" i="28"/>
  <c r="T182" i="28" s="1"/>
  <c r="R136" i="28"/>
  <c r="R122" i="28"/>
  <c r="O182" i="28" s="1"/>
  <c r="X136" i="28"/>
  <c r="X122" i="28"/>
  <c r="U182" i="28" s="1"/>
  <c r="S136" i="28"/>
  <c r="S122" i="28"/>
  <c r="P182" i="28" s="1"/>
  <c r="T136" i="28"/>
  <c r="T122" i="28"/>
  <c r="Q182" i="28" s="1"/>
  <c r="AB136" i="28"/>
  <c r="AB122" i="28"/>
  <c r="Y182" i="28" s="1"/>
  <c r="U136" i="28"/>
  <c r="U122" i="28"/>
  <c r="R182" i="28" s="1"/>
  <c r="M136" i="28"/>
  <c r="M122" i="28"/>
  <c r="G136" i="24"/>
  <c r="G122" i="24"/>
  <c r="H136" i="24"/>
  <c r="H122" i="24"/>
  <c r="I136" i="24"/>
  <c r="I122" i="24"/>
  <c r="J136" i="24"/>
  <c r="J122" i="24"/>
  <c r="K136" i="24"/>
  <c r="K122" i="24"/>
  <c r="L136" i="24"/>
  <c r="L122" i="24"/>
  <c r="M136" i="24"/>
  <c r="M122" i="24"/>
  <c r="N136" i="24"/>
  <c r="N122" i="24"/>
  <c r="O136" i="24"/>
  <c r="O122" i="24"/>
  <c r="P136" i="24"/>
  <c r="P122" i="24"/>
  <c r="Q136" i="24"/>
  <c r="Q122" i="24"/>
  <c r="R136" i="24"/>
  <c r="R122" i="24"/>
  <c r="S136" i="24"/>
  <c r="S122" i="24"/>
  <c r="T136" i="24"/>
  <c r="T122" i="24"/>
  <c r="U136" i="24"/>
  <c r="U122" i="24"/>
  <c r="V136" i="24"/>
  <c r="V122" i="24"/>
  <c r="W136" i="24"/>
  <c r="W122" i="24"/>
  <c r="X136" i="24"/>
  <c r="X122" i="24"/>
  <c r="Y136" i="24"/>
  <c r="Y122" i="24"/>
  <c r="Z136" i="24"/>
  <c r="Z122" i="24"/>
  <c r="AA136" i="24"/>
  <c r="AA122" i="24"/>
  <c r="AB136" i="24"/>
  <c r="AB122" i="24"/>
  <c r="AC136" i="24"/>
  <c r="AC122" i="24"/>
  <c r="AD136" i="24"/>
  <c r="AD122" i="24"/>
  <c r="AE122" i="24"/>
  <c r="AE136" i="24"/>
  <c r="S138" i="26"/>
  <c r="S125" i="26" s="1"/>
  <c r="S126" i="26" s="1"/>
  <c r="G138" i="26"/>
  <c r="G125" i="26" s="1"/>
  <c r="G126" i="26" s="1"/>
  <c r="T138" i="26"/>
  <c r="T125" i="26" s="1"/>
  <c r="T126" i="26" s="1"/>
  <c r="Z138" i="26"/>
  <c r="Z125" i="26" s="1"/>
  <c r="Z126" i="26" s="1"/>
  <c r="X138" i="26"/>
  <c r="X125" i="26" s="1"/>
  <c r="X126" i="26" s="1"/>
  <c r="L138" i="26"/>
  <c r="L125" i="26" s="1"/>
  <c r="L126" i="26" s="1"/>
  <c r="H138" i="26"/>
  <c r="H125" i="26" s="1"/>
  <c r="H126" i="26" s="1"/>
  <c r="N138" i="26"/>
  <c r="N125" i="26" s="1"/>
  <c r="N126" i="26" s="1"/>
  <c r="O138" i="26"/>
  <c r="O125" i="26" s="1"/>
  <c r="O126" i="26" s="1"/>
  <c r="R138" i="26"/>
  <c r="R125" i="26" s="1"/>
  <c r="R126" i="26" s="1"/>
  <c r="P138" i="26"/>
  <c r="P125" i="26" s="1"/>
  <c r="P126" i="26" s="1"/>
  <c r="V138" i="26"/>
  <c r="V125" i="26" s="1"/>
  <c r="V126" i="26" s="1"/>
  <c r="J138" i="26"/>
  <c r="J125" i="26" s="1"/>
  <c r="J126" i="26" s="1"/>
  <c r="AA138" i="26"/>
  <c r="AA125" i="26" s="1"/>
  <c r="AA126" i="26" s="1"/>
  <c r="K138" i="26"/>
  <c r="K125" i="26" s="1"/>
  <c r="K126" i="26" s="1"/>
  <c r="I138" i="26"/>
  <c r="I125" i="26" s="1"/>
  <c r="I126" i="26" s="1"/>
  <c r="Y138" i="26"/>
  <c r="Y125" i="26" s="1"/>
  <c r="Y126" i="26" s="1"/>
  <c r="U138" i="26"/>
  <c r="U125" i="26" s="1"/>
  <c r="U126" i="26" s="1"/>
  <c r="Q138" i="26"/>
  <c r="Q125" i="26" s="1"/>
  <c r="Q126" i="26" s="1"/>
  <c r="W138" i="26"/>
  <c r="W125" i="26" s="1"/>
  <c r="W126" i="26" s="1"/>
  <c r="M138" i="26"/>
  <c r="M125" i="26" s="1"/>
  <c r="M126" i="26" s="1"/>
  <c r="I138" i="25"/>
  <c r="I125" i="25" s="1"/>
  <c r="I126" i="25" s="1"/>
  <c r="T138" i="25"/>
  <c r="T125" i="25" s="1"/>
  <c r="T126" i="25" s="1"/>
  <c r="X138" i="25"/>
  <c r="X125" i="25" s="1"/>
  <c r="X126" i="25" s="1"/>
  <c r="V138" i="25"/>
  <c r="V125" i="25" s="1"/>
  <c r="V126" i="25" s="1"/>
  <c r="P138" i="25"/>
  <c r="P125" i="25" s="1"/>
  <c r="P126" i="25" s="1"/>
  <c r="N138" i="25"/>
  <c r="N125" i="25" s="1"/>
  <c r="N126" i="25" s="1"/>
  <c r="AA138" i="25"/>
  <c r="AA125" i="25" s="1"/>
  <c r="AA126" i="25" s="1"/>
  <c r="Z138" i="25"/>
  <c r="Z125" i="25" s="1"/>
  <c r="Z126" i="25" s="1"/>
  <c r="H138" i="25"/>
  <c r="H125" i="25" s="1"/>
  <c r="H126" i="25" s="1"/>
  <c r="AC138" i="25"/>
  <c r="AC125" i="25" s="1"/>
  <c r="AC126" i="25" s="1"/>
  <c r="K138" i="25"/>
  <c r="K125" i="25" s="1"/>
  <c r="K126" i="25" s="1"/>
  <c r="Y138" i="25"/>
  <c r="Y125" i="25" s="1"/>
  <c r="Y126" i="25" s="1"/>
  <c r="S138" i="25"/>
  <c r="S125" i="25" s="1"/>
  <c r="S126" i="25" s="1"/>
  <c r="R138" i="25"/>
  <c r="R125" i="25" s="1"/>
  <c r="R126" i="25" s="1"/>
  <c r="AE138" i="25"/>
  <c r="AE125" i="25" s="1"/>
  <c r="AE126" i="25" s="1"/>
  <c r="U138" i="25"/>
  <c r="U125" i="25" s="1"/>
  <c r="U126" i="25" s="1"/>
  <c r="J138" i="25"/>
  <c r="J125" i="25" s="1"/>
  <c r="J126" i="25" s="1"/>
  <c r="W138" i="25"/>
  <c r="W125" i="25" s="1"/>
  <c r="W126" i="25" s="1"/>
  <c r="M138" i="25"/>
  <c r="M125" i="25" s="1"/>
  <c r="M126" i="25" s="1"/>
  <c r="O138" i="25"/>
  <c r="O125" i="25" s="1"/>
  <c r="O126" i="25" s="1"/>
  <c r="Q138" i="25"/>
  <c r="Q125" i="25" s="1"/>
  <c r="Q126" i="25" s="1"/>
  <c r="G138" i="25"/>
  <c r="G125" i="25" s="1"/>
  <c r="G126" i="25" s="1"/>
  <c r="AB138" i="25"/>
  <c r="AB125" i="25" s="1"/>
  <c r="AB126" i="25" s="1"/>
  <c r="AD138" i="25"/>
  <c r="AD125" i="25" s="1"/>
  <c r="AD126" i="25" s="1"/>
  <c r="L138" i="25"/>
  <c r="L125" i="25" s="1"/>
  <c r="L126" i="25" s="1"/>
  <c r="Q138" i="28"/>
  <c r="Q125" i="28" s="1"/>
  <c r="U138" i="28"/>
  <c r="U125" i="28" s="1"/>
  <c r="N138" i="28"/>
  <c r="N125" i="28" s="1"/>
  <c r="N126" i="28" s="1"/>
  <c r="X138" i="28"/>
  <c r="X125" i="28" s="1"/>
  <c r="P138" i="28"/>
  <c r="P125" i="28" s="1"/>
  <c r="AA138" i="28"/>
  <c r="AA125" i="28" s="1"/>
  <c r="AB138" i="28"/>
  <c r="AB125" i="28" s="1"/>
  <c r="R138" i="28"/>
  <c r="R125" i="28" s="1"/>
  <c r="S138" i="28"/>
  <c r="S125" i="28" s="1"/>
  <c r="V138" i="28"/>
  <c r="V125" i="28" s="1"/>
  <c r="M138" i="28"/>
  <c r="M125" i="28" s="1"/>
  <c r="M126" i="28" s="1"/>
  <c r="Y138" i="28"/>
  <c r="Y125" i="28" s="1"/>
  <c r="W138" i="28"/>
  <c r="W125" i="28" s="1"/>
  <c r="Z138" i="28"/>
  <c r="Z125" i="28" s="1"/>
  <c r="T138" i="28"/>
  <c r="T125" i="28" s="1"/>
  <c r="O138" i="28"/>
  <c r="O125" i="28" s="1"/>
  <c r="O126" i="28" s="1"/>
  <c r="K138" i="28"/>
  <c r="K125" i="28" s="1"/>
  <c r="K126" i="28" s="1"/>
  <c r="G138" i="28"/>
  <c r="G125" i="28" s="1"/>
  <c r="G126" i="28" s="1"/>
  <c r="H138" i="28"/>
  <c r="H125" i="28" s="1"/>
  <c r="H126" i="28" s="1"/>
  <c r="AC138" i="28"/>
  <c r="AC125" i="28" s="1"/>
  <c r="AC126" i="28" s="1"/>
  <c r="J138" i="28"/>
  <c r="J125" i="28" s="1"/>
  <c r="J126" i="28" s="1"/>
  <c r="I138" i="28"/>
  <c r="I125" i="28" s="1"/>
  <c r="I126" i="28" s="1"/>
  <c r="AE138" i="24"/>
  <c r="AE125" i="24" s="1"/>
  <c r="AE126" i="24" s="1"/>
  <c r="AD138" i="24"/>
  <c r="AD125" i="24" s="1"/>
  <c r="AD126" i="24" s="1"/>
  <c r="AC138" i="24"/>
  <c r="AC125" i="24" s="1"/>
  <c r="AC126" i="24" s="1"/>
  <c r="AB138" i="24"/>
  <c r="AB125" i="24" s="1"/>
  <c r="AB126" i="24" s="1"/>
  <c r="AA138" i="24"/>
  <c r="AA125" i="24" s="1"/>
  <c r="AA126" i="24" s="1"/>
  <c r="Z138" i="24"/>
  <c r="Z125" i="24" s="1"/>
  <c r="Z126" i="24" s="1"/>
  <c r="Y138" i="24"/>
  <c r="Y125" i="24" s="1"/>
  <c r="Y126" i="24" s="1"/>
  <c r="X138" i="24"/>
  <c r="X125" i="24" s="1"/>
  <c r="X126" i="24" s="1"/>
  <c r="W138" i="24"/>
  <c r="W125" i="24" s="1"/>
  <c r="W126" i="24" s="1"/>
  <c r="V138" i="24"/>
  <c r="V125" i="24" s="1"/>
  <c r="V126" i="24" s="1"/>
  <c r="U138" i="24"/>
  <c r="U125" i="24" s="1"/>
  <c r="U126" i="24" s="1"/>
  <c r="T138" i="24"/>
  <c r="T125" i="24" s="1"/>
  <c r="T126" i="24" s="1"/>
  <c r="S138" i="24"/>
  <c r="S125" i="24" s="1"/>
  <c r="S126" i="24" s="1"/>
  <c r="R138" i="24"/>
  <c r="R125" i="24" s="1"/>
  <c r="R126" i="24" s="1"/>
  <c r="Q138" i="24"/>
  <c r="Q125" i="24" s="1"/>
  <c r="Q126" i="24" s="1"/>
  <c r="P138" i="24"/>
  <c r="P125" i="24" s="1"/>
  <c r="P126" i="24" s="1"/>
  <c r="O138" i="24"/>
  <c r="O125" i="24" s="1"/>
  <c r="O126" i="24" s="1"/>
  <c r="N138" i="24"/>
  <c r="N125" i="24" s="1"/>
  <c r="N126" i="24" s="1"/>
  <c r="M138" i="24"/>
  <c r="M125" i="24" s="1"/>
  <c r="M126" i="24" s="1"/>
  <c r="L138" i="24"/>
  <c r="L125" i="24" s="1"/>
  <c r="L126" i="24" s="1"/>
  <c r="K138" i="24"/>
  <c r="K125" i="24" s="1"/>
  <c r="K126" i="24" s="1"/>
  <c r="J138" i="24"/>
  <c r="J125" i="24" s="1"/>
  <c r="J126" i="24" s="1"/>
  <c r="I138" i="24"/>
  <c r="I125" i="24" s="1"/>
  <c r="I126" i="24" s="1"/>
  <c r="H138" i="24"/>
  <c r="H125" i="24" s="1"/>
  <c r="H126" i="24" s="1"/>
  <c r="G138" i="24"/>
  <c r="G125" i="24" s="1"/>
  <c r="G126" i="24" s="1"/>
  <c r="S7" i="8"/>
  <c r="R22" i="8"/>
  <c r="R29" i="8" s="1"/>
  <c r="R26" i="8"/>
  <c r="R33" i="8" s="1"/>
  <c r="R25" i="8"/>
  <c r="R32" i="8" s="1"/>
  <c r="E10" i="14" s="1"/>
  <c r="Q26" i="8"/>
  <c r="Q33" i="8" s="1"/>
  <c r="Q24" i="8"/>
  <c r="Q31" i="8" s="1"/>
  <c r="C14" i="14" s="1"/>
  <c r="Q22" i="8"/>
  <c r="Q29" i="8" s="1"/>
  <c r="Q25" i="8"/>
  <c r="Q32" i="8" s="1"/>
  <c r="E14" i="14" s="1"/>
  <c r="Q23" i="8"/>
  <c r="Q30" i="8" s="1"/>
  <c r="R7" i="8"/>
  <c r="P22" i="8"/>
  <c r="P29" i="8" s="1"/>
  <c r="P26" i="8"/>
  <c r="P33" i="8" s="1"/>
  <c r="P24" i="8"/>
  <c r="P31" i="8" s="1"/>
  <c r="C13" i="14" s="1"/>
  <c r="P23" i="8"/>
  <c r="P30" i="8" s="1"/>
  <c r="P25" i="8"/>
  <c r="P32" i="8" s="1"/>
  <c r="E13" i="14" s="1"/>
  <c r="Q7" i="8"/>
  <c r="S22" i="8"/>
  <c r="S29" i="8" s="1"/>
  <c r="S25" i="8"/>
  <c r="S32" i="8" s="1"/>
  <c r="E11" i="14" s="1"/>
  <c r="S26" i="8"/>
  <c r="S33" i="8" s="1"/>
  <c r="S24" i="8"/>
  <c r="S23" i="8"/>
  <c r="S30" i="8" s="1"/>
  <c r="R23" i="8"/>
  <c r="R30" i="8" s="1"/>
  <c r="R31" i="8"/>
  <c r="C10" i="14" s="1"/>
  <c r="L30" i="15"/>
  <c r="L35" i="15" s="1"/>
  <c r="K30" i="15"/>
  <c r="K35" i="15" s="1"/>
  <c r="C9" i="13"/>
  <c r="C23" i="13" s="1"/>
  <c r="AD183" i="28" l="1"/>
  <c r="AD184" i="28" s="1"/>
  <c r="J123" i="26"/>
  <c r="O123" i="26"/>
  <c r="V123" i="26"/>
  <c r="Q123" i="26"/>
  <c r="J123" i="28"/>
  <c r="S123" i="26"/>
  <c r="S129" i="26" s="1"/>
  <c r="M123" i="28"/>
  <c r="X123" i="26"/>
  <c r="X129" i="26" s="1"/>
  <c r="L123" i="26"/>
  <c r="R123" i="26"/>
  <c r="W123" i="26"/>
  <c r="W129" i="26" s="1"/>
  <c r="T123" i="26"/>
  <c r="U123" i="26"/>
  <c r="K123" i="26"/>
  <c r="K129" i="26" s="1"/>
  <c r="AD151" i="28"/>
  <c r="AD215" i="28"/>
  <c r="AD216" i="28" s="1"/>
  <c r="C29" i="14"/>
  <c r="C31" i="14"/>
  <c r="C32" i="14"/>
  <c r="E32" i="14" s="1"/>
  <c r="D14" i="14"/>
  <c r="G177" i="26"/>
  <c r="C161" i="26" s="1"/>
  <c r="G166" i="25"/>
  <c r="G164" i="24"/>
  <c r="C159" i="24" s="1"/>
  <c r="AA191" i="28"/>
  <c r="Z191" i="28"/>
  <c r="Z223" i="28"/>
  <c r="AA223" i="28"/>
  <c r="Y223" i="28"/>
  <c r="Y159" i="28"/>
  <c r="V223" i="28"/>
  <c r="Z159" i="28"/>
  <c r="W223" i="28"/>
  <c r="AA159" i="28"/>
  <c r="X223" i="28"/>
  <c r="Q186" i="28"/>
  <c r="T126" i="28"/>
  <c r="W186" i="28"/>
  <c r="Z126" i="28"/>
  <c r="T186" i="28"/>
  <c r="W126" i="28"/>
  <c r="V186" i="28"/>
  <c r="Y126" i="28"/>
  <c r="S186" i="28"/>
  <c r="V126" i="28"/>
  <c r="P186" i="28"/>
  <c r="S126" i="28"/>
  <c r="O186" i="28"/>
  <c r="R126" i="28"/>
  <c r="Y186" i="28"/>
  <c r="AB126" i="28"/>
  <c r="X186" i="28"/>
  <c r="AA126" i="28"/>
  <c r="M186" i="28"/>
  <c r="P126" i="28"/>
  <c r="U186" i="28"/>
  <c r="X126" i="28"/>
  <c r="R186" i="28"/>
  <c r="U126" i="28"/>
  <c r="N186" i="28"/>
  <c r="Q126" i="28"/>
  <c r="M129" i="28"/>
  <c r="O129" i="28"/>
  <c r="N129" i="28"/>
  <c r="N130" i="28" s="1"/>
  <c r="M93" i="28" s="1"/>
  <c r="K129" i="28"/>
  <c r="M130" i="28"/>
  <c r="L93" i="28" s="1"/>
  <c r="L130" i="28"/>
  <c r="K93" i="28" s="1"/>
  <c r="J129" i="28"/>
  <c r="AC129" i="28"/>
  <c r="AC130" i="28" s="1"/>
  <c r="G129" i="28"/>
  <c r="G130" i="28" s="1"/>
  <c r="F93" i="28" s="1"/>
  <c r="I129" i="28"/>
  <c r="H129" i="28"/>
  <c r="H130" i="28" s="1"/>
  <c r="G93" i="28" s="1"/>
  <c r="H136" i="25"/>
  <c r="H122" i="25"/>
  <c r="H123" i="25" s="1"/>
  <c r="H129" i="25" s="1"/>
  <c r="AC136" i="25"/>
  <c r="AC122" i="25"/>
  <c r="AC123" i="25" s="1"/>
  <c r="AC129" i="25" s="1"/>
  <c r="K136" i="25"/>
  <c r="K122" i="25"/>
  <c r="K123" i="25" s="1"/>
  <c r="K129" i="25" s="1"/>
  <c r="W136" i="25"/>
  <c r="W122" i="25"/>
  <c r="W123" i="25" s="1"/>
  <c r="W129" i="25" s="1"/>
  <c r="M136" i="25"/>
  <c r="M122" i="25"/>
  <c r="M123" i="25" s="1"/>
  <c r="M129" i="25" s="1"/>
  <c r="Z136" i="25"/>
  <c r="Z122" i="25"/>
  <c r="Z123" i="25" s="1"/>
  <c r="Z129" i="25" s="1"/>
  <c r="O136" i="25"/>
  <c r="O122" i="25"/>
  <c r="O123" i="25" s="1"/>
  <c r="O129" i="25" s="1"/>
  <c r="AB136" i="25"/>
  <c r="AB122" i="25"/>
  <c r="AB123" i="25" s="1"/>
  <c r="AB129" i="25" s="1"/>
  <c r="R136" i="25"/>
  <c r="R122" i="25"/>
  <c r="R123" i="25" s="1"/>
  <c r="R129" i="25" s="1"/>
  <c r="P136" i="25"/>
  <c r="P122" i="25"/>
  <c r="P123" i="25" s="1"/>
  <c r="P129" i="25" s="1"/>
  <c r="N136" i="25"/>
  <c r="N122" i="25"/>
  <c r="N123" i="25" s="1"/>
  <c r="N129" i="25" s="1"/>
  <c r="S136" i="25"/>
  <c r="S122" i="25"/>
  <c r="S123" i="25" s="1"/>
  <c r="S129" i="25" s="1"/>
  <c r="I136" i="25"/>
  <c r="I122" i="25"/>
  <c r="I123" i="25" s="1"/>
  <c r="I129" i="25" s="1"/>
  <c r="Y136" i="25"/>
  <c r="Y122" i="25"/>
  <c r="Y123" i="25" s="1"/>
  <c r="Y129" i="25" s="1"/>
  <c r="J136" i="25"/>
  <c r="J122" i="25"/>
  <c r="J123" i="25" s="1"/>
  <c r="J129" i="25" s="1"/>
  <c r="Q136" i="25"/>
  <c r="Q122" i="25"/>
  <c r="Q123" i="25" s="1"/>
  <c r="Q129" i="25" s="1"/>
  <c r="AA136" i="25"/>
  <c r="AA122" i="25"/>
  <c r="AA123" i="25" s="1"/>
  <c r="AA129" i="25" s="1"/>
  <c r="L136" i="25"/>
  <c r="L122" i="25"/>
  <c r="L123" i="25" s="1"/>
  <c r="L129" i="25" s="1"/>
  <c r="T136" i="25"/>
  <c r="T122" i="25"/>
  <c r="T123" i="25" s="1"/>
  <c r="T129" i="25" s="1"/>
  <c r="U136" i="25"/>
  <c r="U122" i="25"/>
  <c r="U123" i="25" s="1"/>
  <c r="U129" i="25" s="1"/>
  <c r="V136" i="25"/>
  <c r="V122" i="25"/>
  <c r="V123" i="25" s="1"/>
  <c r="V129" i="25" s="1"/>
  <c r="AD136" i="25"/>
  <c r="AD122" i="25"/>
  <c r="AD123" i="25" s="1"/>
  <c r="AD129" i="25" s="1"/>
  <c r="AD130" i="25" s="1"/>
  <c r="Z156" i="25" s="1"/>
  <c r="Z157" i="25" s="1"/>
  <c r="G136" i="25"/>
  <c r="G122" i="25"/>
  <c r="G123" i="25" s="1"/>
  <c r="G129" i="25" s="1"/>
  <c r="G130" i="25" s="1"/>
  <c r="C156" i="25" s="1"/>
  <c r="AE122" i="25"/>
  <c r="AE123" i="25" s="1"/>
  <c r="AE129" i="25" s="1"/>
  <c r="AE136" i="25"/>
  <c r="X136" i="25"/>
  <c r="X122" i="25"/>
  <c r="X123" i="25" s="1"/>
  <c r="X129" i="25" s="1"/>
  <c r="L129" i="26"/>
  <c r="Q129" i="26"/>
  <c r="P129" i="26"/>
  <c r="T129" i="26"/>
  <c r="Y129" i="26"/>
  <c r="N129" i="26"/>
  <c r="J129" i="26"/>
  <c r="V129" i="26"/>
  <c r="G129" i="26"/>
  <c r="G130" i="26" s="1"/>
  <c r="C156" i="26" s="1"/>
  <c r="AA129" i="26"/>
  <c r="H129" i="26"/>
  <c r="R129" i="26"/>
  <c r="O129" i="26"/>
  <c r="Z129" i="26"/>
  <c r="M129" i="26"/>
  <c r="I129" i="26"/>
  <c r="U129" i="26"/>
  <c r="U130" i="26" s="1"/>
  <c r="Q156" i="26" s="1"/>
  <c r="Q157" i="26" s="1"/>
  <c r="G123" i="24"/>
  <c r="G129" i="24" s="1"/>
  <c r="G130" i="24" s="1"/>
  <c r="F93" i="24" s="1"/>
  <c r="H123" i="24"/>
  <c r="H129" i="24" s="1"/>
  <c r="I123" i="24"/>
  <c r="I129" i="24" s="1"/>
  <c r="J123" i="24"/>
  <c r="J129" i="24" s="1"/>
  <c r="K123" i="24"/>
  <c r="K129" i="24" s="1"/>
  <c r="L123" i="24"/>
  <c r="L129" i="24" s="1"/>
  <c r="M123" i="24"/>
  <c r="M129" i="24" s="1"/>
  <c r="N123" i="24"/>
  <c r="N129" i="24" s="1"/>
  <c r="O123" i="24"/>
  <c r="O129" i="24" s="1"/>
  <c r="O130" i="24" s="1"/>
  <c r="N93" i="24" s="1"/>
  <c r="P123" i="24"/>
  <c r="P129" i="24" s="1"/>
  <c r="Q123" i="24"/>
  <c r="Q129" i="24" s="1"/>
  <c r="R123" i="24"/>
  <c r="R129" i="24" s="1"/>
  <c r="S123" i="24"/>
  <c r="S129" i="24" s="1"/>
  <c r="T123" i="24"/>
  <c r="T129" i="24" s="1"/>
  <c r="U123" i="24"/>
  <c r="U129" i="24" s="1"/>
  <c r="V123" i="24"/>
  <c r="V129" i="24" s="1"/>
  <c r="W123" i="24"/>
  <c r="W129" i="24" s="1"/>
  <c r="W130" i="24" s="1"/>
  <c r="V93" i="24" s="1"/>
  <c r="X123" i="24"/>
  <c r="X129" i="24" s="1"/>
  <c r="Y123" i="24"/>
  <c r="Y129" i="24" s="1"/>
  <c r="Z123" i="24"/>
  <c r="Z129" i="24" s="1"/>
  <c r="AA123" i="24"/>
  <c r="AA129" i="24" s="1"/>
  <c r="AB123" i="24"/>
  <c r="AB129" i="24" s="1"/>
  <c r="AC123" i="24"/>
  <c r="AC129" i="24" s="1"/>
  <c r="AD123" i="24"/>
  <c r="AD129" i="24" s="1"/>
  <c r="AE123" i="24"/>
  <c r="AE129" i="24" s="1"/>
  <c r="AE130" i="24" s="1"/>
  <c r="AD93" i="24" s="1"/>
  <c r="P181" i="28"/>
  <c r="S123" i="28"/>
  <c r="V181" i="28"/>
  <c r="Y123" i="28"/>
  <c r="U181" i="28"/>
  <c r="X123" i="28"/>
  <c r="Q181" i="28"/>
  <c r="T123" i="28"/>
  <c r="O181" i="28"/>
  <c r="R123" i="28"/>
  <c r="Y181" i="28"/>
  <c r="AB123" i="28"/>
  <c r="N181" i="28"/>
  <c r="Q123" i="28"/>
  <c r="X181" i="28"/>
  <c r="AA123" i="28"/>
  <c r="M181" i="28"/>
  <c r="P123" i="28"/>
  <c r="W181" i="28"/>
  <c r="Z123" i="28"/>
  <c r="R181" i="28"/>
  <c r="U123" i="28"/>
  <c r="T181" i="28"/>
  <c r="W123" i="28"/>
  <c r="S181" i="28"/>
  <c r="V123" i="28"/>
  <c r="D13" i="14"/>
  <c r="D10" i="14"/>
  <c r="S31" i="8"/>
  <c r="C11" i="14" s="1"/>
  <c r="E31" i="14" l="1"/>
  <c r="E33" i="14" s="1"/>
  <c r="D35" i="14" s="1"/>
  <c r="C37" i="14"/>
  <c r="K130" i="26"/>
  <c r="G156" i="26" s="1"/>
  <c r="Z161" i="25"/>
  <c r="Q161" i="26"/>
  <c r="I130" i="26"/>
  <c r="E156" i="26" s="1"/>
  <c r="Q130" i="24"/>
  <c r="P93" i="24" s="1"/>
  <c r="R130" i="24"/>
  <c r="Q93" i="24" s="1"/>
  <c r="Q94" i="24" s="1"/>
  <c r="Q96" i="24" s="1"/>
  <c r="J130" i="24"/>
  <c r="I93" i="24" s="1"/>
  <c r="I94" i="24" s="1"/>
  <c r="I96" i="24" s="1"/>
  <c r="AC130" i="24"/>
  <c r="AB93" i="24" s="1"/>
  <c r="Y154" i="24" s="1"/>
  <c r="Y155" i="24" s="1"/>
  <c r="Y159" i="24" s="1"/>
  <c r="U130" i="24"/>
  <c r="T93" i="24" s="1"/>
  <c r="T94" i="24" s="1"/>
  <c r="T96" i="24" s="1"/>
  <c r="M130" i="24"/>
  <c r="L93" i="24" s="1"/>
  <c r="L94" i="24" s="1"/>
  <c r="L96" i="24" s="1"/>
  <c r="AA130" i="24"/>
  <c r="Z93" i="24" s="1"/>
  <c r="W154" i="24" s="1"/>
  <c r="W155" i="24" s="1"/>
  <c r="W159" i="24" s="1"/>
  <c r="S130" i="24"/>
  <c r="R93" i="24" s="1"/>
  <c r="R94" i="24" s="1"/>
  <c r="R96" i="24" s="1"/>
  <c r="X130" i="24"/>
  <c r="W93" i="24" s="1"/>
  <c r="T154" i="24" s="1"/>
  <c r="T155" i="24" s="1"/>
  <c r="T159" i="24" s="1"/>
  <c r="P130" i="24"/>
  <c r="O93" i="24" s="1"/>
  <c r="O94" i="24" s="1"/>
  <c r="O96" i="24" s="1"/>
  <c r="AD130" i="24"/>
  <c r="AC93" i="24" s="1"/>
  <c r="Z154" i="24" s="1"/>
  <c r="Z155" i="24" s="1"/>
  <c r="Z159" i="24" s="1"/>
  <c r="V130" i="24"/>
  <c r="U93" i="24" s="1"/>
  <c r="R154" i="24" s="1"/>
  <c r="R155" i="24" s="1"/>
  <c r="R159" i="24" s="1"/>
  <c r="N130" i="24"/>
  <c r="M93" i="24" s="1"/>
  <c r="M94" i="24" s="1"/>
  <c r="M96" i="24" s="1"/>
  <c r="AB130" i="24"/>
  <c r="AA93" i="24" s="1"/>
  <c r="X154" i="24" s="1"/>
  <c r="X155" i="24" s="1"/>
  <c r="X159" i="24" s="1"/>
  <c r="T130" i="24"/>
  <c r="S93" i="24" s="1"/>
  <c r="L130" i="24"/>
  <c r="K93" i="24" s="1"/>
  <c r="K94" i="24" s="1"/>
  <c r="K96" i="24" s="1"/>
  <c r="O130" i="26"/>
  <c r="K156" i="26" s="1"/>
  <c r="M130" i="26"/>
  <c r="I156" i="26" s="1"/>
  <c r="I157" i="26" s="1"/>
  <c r="I161" i="26" s="1"/>
  <c r="R130" i="26"/>
  <c r="N156" i="26" s="1"/>
  <c r="N157" i="26" s="1"/>
  <c r="N161" i="26" s="1"/>
  <c r="Y130" i="26"/>
  <c r="U156" i="26" s="1"/>
  <c r="U157" i="26" s="1"/>
  <c r="U161" i="26" s="1"/>
  <c r="W130" i="26"/>
  <c r="S156" i="26" s="1"/>
  <c r="S157" i="26" s="1"/>
  <c r="S161" i="26" s="1"/>
  <c r="Z130" i="26"/>
  <c r="V156" i="26" s="1"/>
  <c r="V157" i="26" s="1"/>
  <c r="V161" i="26" s="1"/>
  <c r="H130" i="26"/>
  <c r="D156" i="26" s="1"/>
  <c r="D218" i="28" s="1"/>
  <c r="E29" i="14"/>
  <c r="I130" i="25"/>
  <c r="E156" i="25" s="1"/>
  <c r="E186" i="28" s="1"/>
  <c r="AA130" i="25"/>
  <c r="W156" i="25" s="1"/>
  <c r="W157" i="25" s="1"/>
  <c r="W161" i="25" s="1"/>
  <c r="Q130" i="25"/>
  <c r="M156" i="25" s="1"/>
  <c r="M157" i="25" s="1"/>
  <c r="M161" i="25" s="1"/>
  <c r="N130" i="25"/>
  <c r="S130" i="25"/>
  <c r="O156" i="25" s="1"/>
  <c r="O157" i="25" s="1"/>
  <c r="O161" i="25" s="1"/>
  <c r="U130" i="25"/>
  <c r="Q156" i="25" s="1"/>
  <c r="Q157" i="25" s="1"/>
  <c r="Q161" i="25" s="1"/>
  <c r="P130" i="25"/>
  <c r="L156" i="25" s="1"/>
  <c r="L186" i="28" s="1"/>
  <c r="C30" i="14"/>
  <c r="AD152" i="28"/>
  <c r="AE130" i="25"/>
  <c r="AA156" i="25" s="1"/>
  <c r="AA157" i="25" s="1"/>
  <c r="AA161" i="25" s="1"/>
  <c r="T130" i="25"/>
  <c r="P156" i="25" s="1"/>
  <c r="P157" i="25" s="1"/>
  <c r="P161" i="25" s="1"/>
  <c r="X130" i="25"/>
  <c r="T156" i="25" s="1"/>
  <c r="T157" i="25" s="1"/>
  <c r="T161" i="25" s="1"/>
  <c r="V130" i="25"/>
  <c r="R156" i="25" s="1"/>
  <c r="R157" i="25" s="1"/>
  <c r="R161" i="25" s="1"/>
  <c r="K130" i="24"/>
  <c r="J93" i="24" s="1"/>
  <c r="J94" i="24" s="1"/>
  <c r="J96" i="24" s="1"/>
  <c r="L130" i="25"/>
  <c r="H156" i="25" s="1"/>
  <c r="H186" i="28" s="1"/>
  <c r="S184" i="28"/>
  <c r="S187" i="28" s="1"/>
  <c r="S191" i="28" s="1"/>
  <c r="V129" i="28"/>
  <c r="T184" i="28"/>
  <c r="T187" i="28" s="1"/>
  <c r="T191" i="28" s="1"/>
  <c r="W129" i="28"/>
  <c r="W130" i="28" s="1"/>
  <c r="V93" i="28" s="1"/>
  <c r="R184" i="28"/>
  <c r="R187" i="28" s="1"/>
  <c r="R191" i="28" s="1"/>
  <c r="U129" i="28"/>
  <c r="W184" i="28"/>
  <c r="W187" i="28" s="1"/>
  <c r="W191" i="28" s="1"/>
  <c r="Z129" i="28"/>
  <c r="M184" i="28"/>
  <c r="M187" i="28" s="1"/>
  <c r="M191" i="28" s="1"/>
  <c r="P129" i="28"/>
  <c r="P130" i="28" s="1"/>
  <c r="O93" i="28" s="1"/>
  <c r="X184" i="28"/>
  <c r="X187" i="28" s="1"/>
  <c r="X191" i="28" s="1"/>
  <c r="AA129" i="28"/>
  <c r="AA130" i="28" s="1"/>
  <c r="Z93" i="28" s="1"/>
  <c r="N184" i="28"/>
  <c r="N187" i="28" s="1"/>
  <c r="N191" i="28" s="1"/>
  <c r="Q129" i="28"/>
  <c r="Q130" i="28" s="1"/>
  <c r="P93" i="28" s="1"/>
  <c r="Y184" i="28"/>
  <c r="Y187" i="28" s="1"/>
  <c r="Y191" i="28" s="1"/>
  <c r="AB129" i="28"/>
  <c r="O184" i="28"/>
  <c r="O187" i="28" s="1"/>
  <c r="O191" i="28" s="1"/>
  <c r="R129" i="28"/>
  <c r="Q184" i="28"/>
  <c r="Q187" i="28" s="1"/>
  <c r="Q191" i="28" s="1"/>
  <c r="T129" i="28"/>
  <c r="U184" i="28"/>
  <c r="U187" i="28" s="1"/>
  <c r="U191" i="28" s="1"/>
  <c r="X129" i="28"/>
  <c r="X130" i="28" s="1"/>
  <c r="W93" i="28" s="1"/>
  <c r="V184" i="28"/>
  <c r="V187" i="28" s="1"/>
  <c r="V191" i="28" s="1"/>
  <c r="Y129" i="28"/>
  <c r="P184" i="28"/>
  <c r="P187" i="28" s="1"/>
  <c r="P191" i="28" s="1"/>
  <c r="S129" i="28"/>
  <c r="AA154" i="24"/>
  <c r="AA155" i="24" s="1"/>
  <c r="AA159" i="24" s="1"/>
  <c r="AD94" i="24"/>
  <c r="AD96" i="24" s="1"/>
  <c r="AB94" i="24"/>
  <c r="AB96" i="24" s="1"/>
  <c r="AA94" i="24"/>
  <c r="AA96" i="24" s="1"/>
  <c r="Z130" i="24"/>
  <c r="Y93" i="24" s="1"/>
  <c r="Y130" i="24"/>
  <c r="X93" i="24" s="1"/>
  <c r="W94" i="24"/>
  <c r="W96" i="24" s="1"/>
  <c r="S154" i="24"/>
  <c r="S155" i="24" s="1"/>
  <c r="S159" i="24" s="1"/>
  <c r="V94" i="24"/>
  <c r="V96" i="24" s="1"/>
  <c r="P154" i="24"/>
  <c r="P155" i="24" s="1"/>
  <c r="P159" i="24" s="1"/>
  <c r="S94" i="24"/>
  <c r="S96" i="24" s="1"/>
  <c r="N154" i="24"/>
  <c r="N155" i="24" s="1"/>
  <c r="N159" i="24" s="1"/>
  <c r="M154" i="24"/>
  <c r="M155" i="24" s="1"/>
  <c r="M159" i="24" s="1"/>
  <c r="P94" i="24"/>
  <c r="P96" i="24" s="1"/>
  <c r="K154" i="24"/>
  <c r="K155" i="24" s="1"/>
  <c r="K159" i="24" s="1"/>
  <c r="N94" i="24"/>
  <c r="N96" i="24" s="1"/>
  <c r="J154" i="24"/>
  <c r="J155" i="24" s="1"/>
  <c r="J159" i="24" s="1"/>
  <c r="I154" i="24"/>
  <c r="I155" i="24" s="1"/>
  <c r="I159" i="24" s="1"/>
  <c r="F154" i="24"/>
  <c r="F155" i="24" s="1"/>
  <c r="F159" i="24" s="1"/>
  <c r="I130" i="24"/>
  <c r="H93" i="24" s="1"/>
  <c r="H130" i="24"/>
  <c r="G93" i="24" s="1"/>
  <c r="C154" i="24"/>
  <c r="C155" i="24" s="1"/>
  <c r="F94" i="24"/>
  <c r="F96" i="24" s="1"/>
  <c r="E218" i="28"/>
  <c r="E157" i="26"/>
  <c r="E161" i="26" s="1"/>
  <c r="I218" i="28"/>
  <c r="K218" i="28"/>
  <c r="K157" i="26"/>
  <c r="K161" i="26" s="1"/>
  <c r="D157" i="26"/>
  <c r="D161" i="26" s="1"/>
  <c r="AA130" i="26"/>
  <c r="W156" i="26" s="1"/>
  <c r="W157" i="26" s="1"/>
  <c r="W161" i="26" s="1"/>
  <c r="C218" i="28"/>
  <c r="C157" i="26"/>
  <c r="S130" i="26"/>
  <c r="O156" i="26" s="1"/>
  <c r="O157" i="26" s="1"/>
  <c r="O161" i="26" s="1"/>
  <c r="G218" i="28"/>
  <c r="G157" i="26"/>
  <c r="G161" i="26" s="1"/>
  <c r="V130" i="26"/>
  <c r="R156" i="26" s="1"/>
  <c r="R157" i="26" s="1"/>
  <c r="R161" i="26" s="1"/>
  <c r="J130" i="26"/>
  <c r="F156" i="26" s="1"/>
  <c r="N130" i="26"/>
  <c r="J156" i="26" s="1"/>
  <c r="T130" i="26"/>
  <c r="P156" i="26" s="1"/>
  <c r="P157" i="26" s="1"/>
  <c r="P161" i="26" s="1"/>
  <c r="P130" i="26"/>
  <c r="L156" i="26" s="1"/>
  <c r="Q130" i="26"/>
  <c r="M156" i="26" s="1"/>
  <c r="M157" i="26" s="1"/>
  <c r="M161" i="26" s="1"/>
  <c r="L130" i="26"/>
  <c r="H156" i="26" s="1"/>
  <c r="X130" i="26"/>
  <c r="T156" i="26" s="1"/>
  <c r="T157" i="26" s="1"/>
  <c r="T161" i="26" s="1"/>
  <c r="C186" i="28"/>
  <c r="C157" i="25"/>
  <c r="J130" i="25"/>
  <c r="F156" i="25" s="1"/>
  <c r="Y130" i="25"/>
  <c r="U156" i="25" s="1"/>
  <c r="U157" i="25" s="1"/>
  <c r="U161" i="25" s="1"/>
  <c r="R130" i="25"/>
  <c r="N156" i="25" s="1"/>
  <c r="N157" i="25" s="1"/>
  <c r="N161" i="25" s="1"/>
  <c r="AB130" i="25"/>
  <c r="X156" i="25" s="1"/>
  <c r="X157" i="25" s="1"/>
  <c r="X161" i="25" s="1"/>
  <c r="O130" i="25"/>
  <c r="K156" i="25" s="1"/>
  <c r="Z130" i="25"/>
  <c r="V156" i="25" s="1"/>
  <c r="V157" i="25" s="1"/>
  <c r="V161" i="25" s="1"/>
  <c r="M130" i="25"/>
  <c r="I156" i="25" s="1"/>
  <c r="W130" i="25"/>
  <c r="S156" i="25" s="1"/>
  <c r="S157" i="25" s="1"/>
  <c r="S161" i="25" s="1"/>
  <c r="K130" i="25"/>
  <c r="G156" i="25" s="1"/>
  <c r="AC130" i="25"/>
  <c r="Y156" i="25" s="1"/>
  <c r="Y157" i="25" s="1"/>
  <c r="Y161" i="25" s="1"/>
  <c r="H130" i="25"/>
  <c r="D156" i="25" s="1"/>
  <c r="D154" i="28"/>
  <c r="D155" i="28" s="1"/>
  <c r="D159" i="28" s="1"/>
  <c r="G94" i="28"/>
  <c r="G96" i="28" s="1"/>
  <c r="I130" i="28"/>
  <c r="H93" i="28" s="1"/>
  <c r="C154" i="28"/>
  <c r="C155" i="28" s="1"/>
  <c r="C159" i="28" s="1"/>
  <c r="F94" i="28"/>
  <c r="F96" i="28" s="1"/>
  <c r="J130" i="28"/>
  <c r="I93" i="28" s="1"/>
  <c r="K94" i="28"/>
  <c r="K96" i="28" s="1"/>
  <c r="H154" i="28"/>
  <c r="H155" i="28" s="1"/>
  <c r="H159" i="28" s="1"/>
  <c r="L94" i="28"/>
  <c r="L96" i="28" s="1"/>
  <c r="I154" i="28"/>
  <c r="I155" i="28" s="1"/>
  <c r="I159" i="28" s="1"/>
  <c r="K130" i="28"/>
  <c r="J93" i="28" s="1"/>
  <c r="J154" i="28"/>
  <c r="J155" i="28" s="1"/>
  <c r="J159" i="28" s="1"/>
  <c r="M94" i="28"/>
  <c r="M96" i="28" s="1"/>
  <c r="O130" i="28"/>
  <c r="N93" i="28" s="1"/>
  <c r="F164" i="24"/>
  <c r="H164" i="24"/>
  <c r="H166" i="25"/>
  <c r="F166" i="25"/>
  <c r="F177" i="26"/>
  <c r="H177" i="26"/>
  <c r="D11" i="14"/>
  <c r="O154" i="24" l="1"/>
  <c r="O155" i="24" s="1"/>
  <c r="O159" i="24" s="1"/>
  <c r="H154" i="24"/>
  <c r="H155" i="24" s="1"/>
  <c r="H159" i="24" s="1"/>
  <c r="G154" i="24"/>
  <c r="G155" i="24" s="1"/>
  <c r="G159" i="24" s="1"/>
  <c r="Q154" i="24"/>
  <c r="Q155" i="24" s="1"/>
  <c r="Q159" i="24" s="1"/>
  <c r="Z94" i="24"/>
  <c r="Z96" i="24" s="1"/>
  <c r="U94" i="24"/>
  <c r="U96" i="24" s="1"/>
  <c r="AC94" i="24"/>
  <c r="AC96" i="24" s="1"/>
  <c r="L154" i="24"/>
  <c r="L155" i="24" s="1"/>
  <c r="L159" i="24" s="1"/>
  <c r="R130" i="28"/>
  <c r="Q93" i="28" s="1"/>
  <c r="Y130" i="28"/>
  <c r="X93" i="28" s="1"/>
  <c r="AB130" i="28"/>
  <c r="AA93" i="28" s="1"/>
  <c r="X154" i="28" s="1"/>
  <c r="J156" i="25"/>
  <c r="J186" i="28" s="1"/>
  <c r="E157" i="25"/>
  <c r="G223" i="28"/>
  <c r="D223" i="28"/>
  <c r="K223" i="28"/>
  <c r="I223" i="28"/>
  <c r="E223" i="28"/>
  <c r="E30" i="14"/>
  <c r="L157" i="25"/>
  <c r="H157" i="25"/>
  <c r="H161" i="25" s="1"/>
  <c r="N94" i="28"/>
  <c r="N96" i="28" s="1"/>
  <c r="K154" i="28"/>
  <c r="K155" i="28" s="1"/>
  <c r="K159" i="28" s="1"/>
  <c r="G154" i="28"/>
  <c r="G155" i="28" s="1"/>
  <c r="G159" i="28" s="1"/>
  <c r="J94" i="28"/>
  <c r="J96" i="28" s="1"/>
  <c r="F154" i="28"/>
  <c r="F155" i="28" s="1"/>
  <c r="F159" i="28" s="1"/>
  <c r="I94" i="28"/>
  <c r="I96" i="28" s="1"/>
  <c r="E154" i="28"/>
  <c r="E155" i="28" s="1"/>
  <c r="E159" i="28" s="1"/>
  <c r="H94" i="28"/>
  <c r="H96" i="28" s="1"/>
  <c r="D186" i="28"/>
  <c r="D157" i="25"/>
  <c r="G186" i="28"/>
  <c r="G157" i="25"/>
  <c r="G161" i="25" s="1"/>
  <c r="I186" i="28"/>
  <c r="I157" i="25"/>
  <c r="I161" i="25" s="1"/>
  <c r="K186" i="28"/>
  <c r="K157" i="25"/>
  <c r="K161" i="25" s="1"/>
  <c r="F186" i="28"/>
  <c r="F157" i="25"/>
  <c r="F161" i="25" s="1"/>
  <c r="C187" i="28"/>
  <c r="H218" i="28"/>
  <c r="H157" i="26"/>
  <c r="H161" i="26" s="1"/>
  <c r="L157" i="26"/>
  <c r="L161" i="26" s="1"/>
  <c r="L218" i="28"/>
  <c r="J218" i="28"/>
  <c r="J157" i="26"/>
  <c r="J161" i="26" s="1"/>
  <c r="F218" i="28"/>
  <c r="F157" i="26"/>
  <c r="F161" i="26" s="1"/>
  <c r="G219" i="28"/>
  <c r="C219" i="28"/>
  <c r="D219" i="28"/>
  <c r="K219" i="28"/>
  <c r="I219" i="28"/>
  <c r="E219" i="28"/>
  <c r="D154" i="24"/>
  <c r="D155" i="24" s="1"/>
  <c r="D159" i="24" s="1"/>
  <c r="G94" i="24"/>
  <c r="G96" i="24" s="1"/>
  <c r="E154" i="24"/>
  <c r="E155" i="24" s="1"/>
  <c r="E159" i="24" s="1"/>
  <c r="H94" i="24"/>
  <c r="H96" i="24" s="1"/>
  <c r="U154" i="24"/>
  <c r="U155" i="24" s="1"/>
  <c r="U159" i="24" s="1"/>
  <c r="X94" i="24"/>
  <c r="X96" i="24" s="1"/>
  <c r="V154" i="24"/>
  <c r="V155" i="24" s="1"/>
  <c r="V159" i="24" s="1"/>
  <c r="Y94" i="24"/>
  <c r="Y96" i="24" s="1"/>
  <c r="T130" i="28"/>
  <c r="S93" i="28" s="1"/>
  <c r="S130" i="28"/>
  <c r="R93" i="28" s="1"/>
  <c r="U154" i="28"/>
  <c r="X94" i="28"/>
  <c r="X96" i="28" s="1"/>
  <c r="T154" i="28"/>
  <c r="W94" i="28"/>
  <c r="W96" i="28" s="1"/>
  <c r="N154" i="28"/>
  <c r="N155" i="28" s="1"/>
  <c r="N159" i="28" s="1"/>
  <c r="Q94" i="28"/>
  <c r="Q96" i="28" s="1"/>
  <c r="M154" i="28"/>
  <c r="M155" i="28" s="1"/>
  <c r="M159" i="28" s="1"/>
  <c r="P94" i="28"/>
  <c r="P96" i="28" s="1"/>
  <c r="W154" i="28"/>
  <c r="Z94" i="28"/>
  <c r="Z96" i="28" s="1"/>
  <c r="O94" i="28"/>
  <c r="O96" i="28" s="1"/>
  <c r="L154" i="28"/>
  <c r="L155" i="28" s="1"/>
  <c r="L159" i="28" s="1"/>
  <c r="Z130" i="28"/>
  <c r="Y93" i="28" s="1"/>
  <c r="U130" i="28"/>
  <c r="T93" i="28" s="1"/>
  <c r="S154" i="28"/>
  <c r="V94" i="28"/>
  <c r="V96" i="28" s="1"/>
  <c r="V130" i="28"/>
  <c r="U93" i="28" s="1"/>
  <c r="E187" i="28"/>
  <c r="L161" i="25" l="1"/>
  <c r="L191" i="28" s="1"/>
  <c r="E161" i="25"/>
  <c r="E191" i="28" s="1"/>
  <c r="AA94" i="28"/>
  <c r="AA96" i="28" s="1"/>
  <c r="L187" i="28"/>
  <c r="J157" i="25"/>
  <c r="J161" i="25" s="1"/>
  <c r="H191" i="28"/>
  <c r="H187" i="28"/>
  <c r="R154" i="28"/>
  <c r="U94" i="28"/>
  <c r="U96" i="28" s="1"/>
  <c r="P214" i="28"/>
  <c r="S155" i="28"/>
  <c r="Q154" i="28"/>
  <c r="T94" i="28"/>
  <c r="T96" i="28" s="1"/>
  <c r="V154" i="28"/>
  <c r="Y94" i="28"/>
  <c r="Y96" i="28" s="1"/>
  <c r="T214" i="28"/>
  <c r="W155" i="28"/>
  <c r="U214" i="28"/>
  <c r="X155" i="28"/>
  <c r="T155" i="28"/>
  <c r="Q214" i="28"/>
  <c r="R214" i="28"/>
  <c r="U155" i="28"/>
  <c r="O154" i="28"/>
  <c r="O155" i="28" s="1"/>
  <c r="O159" i="28" s="1"/>
  <c r="R94" i="28"/>
  <c r="R96" i="28" s="1"/>
  <c r="P154" i="28"/>
  <c r="S94" i="28"/>
  <c r="S96" i="28" s="1"/>
  <c r="C162" i="24"/>
  <c r="C165" i="24" s="1"/>
  <c r="C223" i="28"/>
  <c r="F219" i="28"/>
  <c r="J223" i="28"/>
  <c r="J219" i="28"/>
  <c r="L223" i="28"/>
  <c r="L219" i="28"/>
  <c r="H223" i="28"/>
  <c r="H219" i="28"/>
  <c r="C191" i="28"/>
  <c r="F187" i="28"/>
  <c r="F191" i="28"/>
  <c r="K191" i="28"/>
  <c r="K187" i="28"/>
  <c r="I187" i="28"/>
  <c r="I191" i="28"/>
  <c r="G187" i="28"/>
  <c r="G191" i="28"/>
  <c r="D187" i="28"/>
  <c r="AD153" i="28"/>
  <c r="AD158" i="28" s="1"/>
  <c r="AD160" i="28" s="1"/>
  <c r="AC167" i="28" s="1"/>
  <c r="C173" i="24" l="1"/>
  <c r="I185" i="24" s="1"/>
  <c r="C177" i="24"/>
  <c r="J178" i="24" s="1"/>
  <c r="G179" i="24" s="1"/>
  <c r="G180" i="24" s="1"/>
  <c r="G181" i="24" s="1"/>
  <c r="G182" i="24" s="1"/>
  <c r="G183" i="24" s="1"/>
  <c r="J187" i="28"/>
  <c r="J191" i="28"/>
  <c r="D191" i="28"/>
  <c r="AD185" i="28" s="1"/>
  <c r="AD190" i="28" s="1"/>
  <c r="AD192" i="28" s="1"/>
  <c r="C164" i="25"/>
  <c r="F223" i="28"/>
  <c r="AD217" i="28" s="1"/>
  <c r="AD222" i="28" s="1"/>
  <c r="AD224" i="28" s="1"/>
  <c r="AC231" i="28" s="1"/>
  <c r="C176" i="26"/>
  <c r="C188" i="26" s="1"/>
  <c r="J189" i="26" s="1"/>
  <c r="M214" i="28"/>
  <c r="P155" i="28"/>
  <c r="R216" i="28"/>
  <c r="R219" i="28" s="1"/>
  <c r="R223" i="28" s="1"/>
  <c r="U159" i="28"/>
  <c r="Q216" i="28"/>
  <c r="Q219" i="28" s="1"/>
  <c r="Q223" i="28" s="1"/>
  <c r="T159" i="28"/>
  <c r="U216" i="28"/>
  <c r="U219" i="28" s="1"/>
  <c r="U223" i="28" s="1"/>
  <c r="X159" i="28"/>
  <c r="T216" i="28"/>
  <c r="T219" i="28" s="1"/>
  <c r="T223" i="28" s="1"/>
  <c r="W159" i="28"/>
  <c r="S214" i="28"/>
  <c r="V155" i="28"/>
  <c r="N214" i="28"/>
  <c r="Q155" i="28"/>
  <c r="P216" i="28"/>
  <c r="P219" i="28" s="1"/>
  <c r="P223" i="28" s="1"/>
  <c r="S159" i="28"/>
  <c r="O214" i="28"/>
  <c r="R155" i="28"/>
  <c r="G190" i="26" l="1"/>
  <c r="G191" i="26" s="1"/>
  <c r="G192" i="26" s="1"/>
  <c r="G193" i="26" s="1"/>
  <c r="G194" i="26" s="1"/>
  <c r="C184" i="26"/>
  <c r="C176" i="25"/>
  <c r="J177" i="25" s="1"/>
  <c r="G178" i="25" s="1"/>
  <c r="G179" i="25" s="1"/>
  <c r="G180" i="25" s="1"/>
  <c r="G181" i="25" s="1"/>
  <c r="G182" i="25" s="1"/>
  <c r="C172" i="25"/>
  <c r="O216" i="28"/>
  <c r="R159" i="28"/>
  <c r="O219" i="28"/>
  <c r="O223" i="28" s="1"/>
  <c r="N216" i="28"/>
  <c r="Q159" i="28"/>
  <c r="N219" i="28"/>
  <c r="N223" i="28" s="1"/>
  <c r="S216" i="28"/>
  <c r="S219" i="28" s="1"/>
  <c r="S223" i="28" s="1"/>
  <c r="V159" i="28"/>
  <c r="M216" i="28"/>
  <c r="M219" i="28" s="1"/>
  <c r="M223" i="28" s="1"/>
  <c r="P159" i="28"/>
  <c r="AC199" i="28"/>
  <c r="E28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xmlns:r="http://schemas.openxmlformats.org/officeDocument/2006/relationships" mc:Ignorable="xr">
  <authors>
    <author/>
  </authors>
  <commentList>
    <comment ref="F22" authorId="0">
      <text>
        <t xml:space="preserve">======
ID#AAAAY-GS3LI
Burke Sansiviero    (2022-05-04 03:06:14)
hedges locked through Q3 2023 (only project for Q4 price sensitiviity for this derivative)</t>
      </text>
    </comment>
    <comment ref="G56" authorId="0">
      <text>
        <t xml:space="preserve">======
ID#AAAAY-GS3LA
Burke Sansiviero    (2022-05-04 03:06:14)
chartering Q4</t>
      </text>
    </comment>
  </commentList>
  <extLst>
    <ext uri="GoogleSheetsCustomDataVersion1">
      <go:sheetsCustomData xmlns:go="http://customooxmlschemas.google.com/" roundtripDataSignature="AMtx7mi7feiBg4VElFjF7hfYQuumPEsv1w==" r:id="rId1"/>
    </ext>
  </extLst>
</comments>
</file>

<file path=xl/comments10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1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2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3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4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5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6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7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8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19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xmlns:r="http://schemas.openxmlformats.org/officeDocument/2006/relationships" mc:Ignorable="xr">
  <authors>
    <author/>
  </authors>
  <commentList>
    <comment ref="F21" authorId="0">
      <text>
        <t xml:space="preserve">======
ID#AAAAY-GS3Ks
Burke Sansiviero    (2022-05-04 03:06:14)
hedges locked through Q3 2023 (only project for Q4 price sensitiviity for this derivative)</t>
      </text>
    </comment>
    <comment ref="G55" authorId="0">
      <text>
        <t xml:space="preserve">======
ID#AAAAY-GS3Kw
Burke Sansiviero    (2022-05-04 03:06:14)
chartering Q4</t>
      </text>
    </comment>
    <comment ref="H23" authorId="0">
      <text>
        <t xml:space="preserve">======
ID#AAAAY-GS3Kk
Burke Sansiviero    (2022-05-04 03:06:14)
keeping price at $15 due to floor</t>
      </text>
    </comment>
  </commentList>
  <extLst>
    <ext uri="GoogleSheetsCustomDataVersion1">
      <go:sheetsCustomData xmlns:go="http://customooxmlschemas.google.com/" roundtripDataSignature="AMtx7mht7XGAG3zwa48gqv+M5zTmj/Ux6g==" r:id="rId1"/>
    </ext>
  </extLst>
</comments>
</file>

<file path=xl/comments20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xmlns:r="http://schemas.openxmlformats.org/officeDocument/2006/relationships" mc:Ignorable="xr">
  <authors>
    <author/>
  </authors>
  <commentList>
    <comment ref="F21" authorId="0">
      <text>
        <t xml:space="preserve">======
ID#AAAAY-GS3K4
Burke Sansiviero    (2022-05-04 03:06:14)
hedges locked through Q3 2023 (only project for Q4 price sensitiviity for this derivative)</t>
      </text>
    </comment>
    <comment ref="G55" authorId="0">
      <text>
        <t xml:space="preserve">======
ID#AAAAY-GS3K0
Burke Sansiviero    (2022-05-04 03:06:14)
chartering Q4</t>
      </text>
    </comment>
  </commentList>
  <extLst>
    <ext uri="GoogleSheetsCustomDataVersion1">
      <go:sheetsCustomData xmlns:go="http://customooxmlschemas.google.com/" roundtripDataSignature="AMtx7mg9g2oB0/xFmwvy/SWxH8DoxLcU2A==" r:id="rId1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xmlns:r="http://schemas.openxmlformats.org/officeDocument/2006/relationships" mc:Ignorable="xr">
  <authors>
    <author/>
  </authors>
  <commentList>
    <comment ref="F21" authorId="0">
      <text>
        <t xml:space="preserve">======
ID#AAAAY-GS3Ko
Burke Sansiviero    (2022-05-04 03:06:14)
hedges locked through Q3 2023 (only project for Q4 price sensitiviity for this derivative)</t>
      </text>
    </comment>
    <comment ref="G59" authorId="0">
      <text>
        <t xml:space="preserve">======
ID#AAAAY-GS3Kg
Burke Sansiviero    (2022-05-04 03:06:14)
chartering Q4</t>
      </text>
    </comment>
  </commentList>
  <extLst>
    <ext uri="GoogleSheetsCustomDataVersion1">
      <go:sheetsCustomData xmlns:go="http://customooxmlschemas.google.com/" roundtripDataSignature="AMtx7mhWA1es/kDphDTtuNyocwBRG78aRA==" r:id="rId1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xmlns:r="http://schemas.openxmlformats.org/officeDocument/2006/relationships" mc:Ignorable="xr">
  <authors>
    <author/>
  </authors>
  <commentList>
    <comment ref="F22" authorId="0">
      <text>
        <t xml:space="preserve">======
ID#AAAAY-GS3K8
Burke Sansiviero    (2022-05-04 03:06:14)
hedges locked through Q3 2023 (only project for Q4 price sensitiviity for this derivative)</t>
      </text>
    </comment>
    <comment ref="G56" authorId="0">
      <text>
        <t xml:space="preserve">======
ID#AAAAY-GS3LE
Burke Sansiviero    (2022-05-04 03:06:14)
chartering Q4</t>
      </text>
    </comment>
  </commentList>
  <extLst>
    <ext uri="GoogleSheetsCustomDataVersion1">
      <go:sheetsCustomData xmlns:go="http://customooxmlschemas.google.com/" roundtripDataSignature="AMtx7mhKaCnJtavRVPPCfcIOh2LSDWVD4g==" r:id="rId1"/>
    </ext>
  </extLst>
</comments>
</file>

<file path=xl/comments6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7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8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comments9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jSlVtzI/zt39dMpaWWAhZtVmv8+g==" r:id="rId1"/>
    </ext>
  </extLst>
</comments>
</file>

<file path=xl/sharedStrings.xml><?xml version="1.0" encoding="utf-8"?>
<sst xmlns="http://schemas.openxmlformats.org/spreadsheetml/2006/main" count="1675" uniqueCount="718">
  <si>
    <t>Golar LNG</t>
  </si>
  <si>
    <t>NYSE: GLNG</t>
  </si>
  <si>
    <t>Binghamton Investment Fund</t>
  </si>
  <si>
    <t>Energy Sector</t>
  </si>
  <si>
    <t>Senior Analyst Pitch</t>
  </si>
  <si>
    <t>Burke Sansiviero</t>
  </si>
  <si>
    <t>Golar LNG Bull Case</t>
  </si>
  <si>
    <t>x</t>
  </si>
  <si>
    <t>FLNG - Hilli</t>
  </si>
  <si>
    <t>Capacity</t>
  </si>
  <si>
    <t>Output</t>
  </si>
  <si>
    <t>Total Operating Revenue</t>
  </si>
  <si>
    <t>Revenue per mptu</t>
  </si>
  <si>
    <t>Vessel Operating Expenses</t>
  </si>
  <si>
    <t>as a % of revenue</t>
  </si>
  <si>
    <t>Realized gains on oil derivataive instrument</t>
  </si>
  <si>
    <t>DERIVATIVE PROJECTIONS:</t>
  </si>
  <si>
    <t>Brent Derivative:</t>
  </si>
  <si>
    <t>Brent Price</t>
  </si>
  <si>
    <t>Prent Price less $60 (due to floor)</t>
  </si>
  <si>
    <t>EBITDA Contribution when Brent &gt;$60</t>
  </si>
  <si>
    <t>Brent derivative</t>
  </si>
  <si>
    <t>TTF Derivative:</t>
  </si>
  <si>
    <t>Locked in from Hedge (through Q3 2022)</t>
  </si>
  <si>
    <t>Forward TTF Curve</t>
  </si>
  <si>
    <t>TTF less $15 (basis of deriviative floor)</t>
  </si>
  <si>
    <t>Proceeds per $1 change in MMBTU</t>
  </si>
  <si>
    <t>Total Proceeds from TTF Derivative</t>
  </si>
  <si>
    <t>Operating Expenses</t>
  </si>
  <si>
    <t>Administrative Expenses</t>
  </si>
  <si>
    <t>Project development expenses</t>
  </si>
  <si>
    <t>Other operating income</t>
  </si>
  <si>
    <t>EBITDA</t>
  </si>
  <si>
    <t>FLNG - Gimi</t>
  </si>
  <si>
    <t>Segment EBITDA</t>
  </si>
  <si>
    <t>Segment EBITDA attributable to GLNG (Keppel owns 30%)</t>
  </si>
  <si>
    <t>GIMI EBITDA</t>
  </si>
  <si>
    <t>New FLNG Units</t>
  </si>
  <si>
    <t>Number of new Units</t>
  </si>
  <si>
    <t>Total Output</t>
  </si>
  <si>
    <t>X</t>
  </si>
  <si>
    <t>Forecasted Operating Profit</t>
  </si>
  <si>
    <t>Total Revenue</t>
  </si>
  <si>
    <t>EBITDA Projections</t>
  </si>
  <si>
    <t>Less D&amp;A</t>
  </si>
  <si>
    <t>Operating Profit</t>
  </si>
  <si>
    <t>Tax Rate</t>
  </si>
  <si>
    <t>Less Taxes</t>
  </si>
  <si>
    <t>NOPAT</t>
  </si>
  <si>
    <t>Plus: D&amp;A</t>
  </si>
  <si>
    <t>Less: CapEx</t>
  </si>
  <si>
    <t>Less: NWC</t>
  </si>
  <si>
    <t>Free Cash Flow to the Firm</t>
  </si>
  <si>
    <t>CapEx</t>
  </si>
  <si>
    <t xml:space="preserve">Maintenance </t>
  </si>
  <si>
    <t>Growth CapEx</t>
  </si>
  <si>
    <t>Total CapEx</t>
  </si>
  <si>
    <t>Growth CapEx Rationale</t>
  </si>
  <si>
    <t>Hilli and Gimi required 1.2bn in CapEx</t>
  </si>
  <si>
    <t>2 new units starting in 2027</t>
  </si>
  <si>
    <t>300000 per unit per year for 4 years</t>
  </si>
  <si>
    <t>Capex per unit</t>
  </si>
  <si>
    <t>Historical Maint CapEx was 0.54% of Revenue</t>
  </si>
  <si>
    <t>D&amp;A Policy - FLNG 30 years from conversion date</t>
  </si>
  <si>
    <t>Depreciation Schedule</t>
  </si>
  <si>
    <t>Hilli</t>
  </si>
  <si>
    <t>Gimi</t>
  </si>
  <si>
    <t xml:space="preserve">New Project 1 </t>
  </si>
  <si>
    <t>New Project 2</t>
  </si>
  <si>
    <t>Total Project Depr Straight Line</t>
  </si>
  <si>
    <t>NWC Schedule (Adjusted and calculations shown in balance sheet</t>
  </si>
  <si>
    <t>Current Assets:</t>
  </si>
  <si>
    <t>Other Current Assets</t>
  </si>
  <si>
    <t>Amounts due from other parties(Treat as AR)</t>
  </si>
  <si>
    <t>Total Current Assets</t>
  </si>
  <si>
    <t>Current Liabilities:</t>
  </si>
  <si>
    <t>Other Current Liabilities</t>
  </si>
  <si>
    <t>Total Current Liabilities</t>
  </si>
  <si>
    <t>NWC</t>
  </si>
  <si>
    <t>Change in NWC</t>
  </si>
  <si>
    <t>NWC Drivers:</t>
  </si>
  <si>
    <t>Other current assets as a % of revenue</t>
  </si>
  <si>
    <t>AR turnover</t>
  </si>
  <si>
    <t>Days sales outstanding</t>
  </si>
  <si>
    <t>Other current liabilities as a % of COGS</t>
  </si>
  <si>
    <t>Total Vessel operating Expenses</t>
  </si>
  <si>
    <t>BULL CASE</t>
  </si>
  <si>
    <t>NPV</t>
  </si>
  <si>
    <t>Free Cash Flow:</t>
  </si>
  <si>
    <t>Bull case assumes Hilli Recharters until Gimi contract is up - no Gimi contract renewal, and 2 new projects charter (gimi clones) for 20 years with no cash flows after those 2 units charter</t>
  </si>
  <si>
    <t>Revenue</t>
  </si>
  <si>
    <t>assumes x value of nfe shares x value of golar tundra, no value to golar arctic, x calue of coolco shares, and x calue of avenir</t>
  </si>
  <si>
    <t>Taxes</t>
  </si>
  <si>
    <t>D&amp;A</t>
  </si>
  <si>
    <t>FCFF</t>
  </si>
  <si>
    <t>Discount Factor</t>
  </si>
  <si>
    <t>PV of cash flows</t>
  </si>
  <si>
    <t>SUM of PV of FCF</t>
  </si>
  <si>
    <t>WACC for Sensitivity</t>
  </si>
  <si>
    <t>High</t>
  </si>
  <si>
    <t>Mid</t>
  </si>
  <si>
    <t>low</t>
  </si>
  <si>
    <t>Sum of the Parts Valuation</t>
  </si>
  <si>
    <t>PV of FLNG Cash Flows</t>
  </si>
  <si>
    <t>Cash</t>
  </si>
  <si>
    <t>NFE Shares Appreciate 30%</t>
  </si>
  <si>
    <t>CoolCo Shares Appreciate 30%</t>
  </si>
  <si>
    <t>Avenier LNG Shares Appreciate 30%</t>
  </si>
  <si>
    <t>Golar Tundra FLNG Valued at 400m</t>
  </si>
  <si>
    <t>Debt</t>
  </si>
  <si>
    <t>Shares Outstanding</t>
  </si>
  <si>
    <t>Share Price - Bull Case</t>
  </si>
  <si>
    <t>Golar LNG Base Case</t>
  </si>
  <si>
    <t>Brent Price (using forward curve)</t>
  </si>
  <si>
    <t>Proceeds from Brent derivative</t>
  </si>
  <si>
    <t>Hilli EBITDA</t>
  </si>
  <si>
    <t>Total Project Estimated Straight Line Depreciation</t>
  </si>
  <si>
    <t>ni</t>
  </si>
  <si>
    <t>NWC Schedule (Weighted based on FLNG Revenue Weights)</t>
  </si>
  <si>
    <t>Base CASE</t>
  </si>
  <si>
    <t>Discounted Cash Flows</t>
  </si>
  <si>
    <t>NFE Shares -5% @4/27</t>
  </si>
  <si>
    <t>CoolCo Shares -5% @4/27</t>
  </si>
  <si>
    <t>Avenier LNG @ Book Value</t>
  </si>
  <si>
    <t>perenco declares half of the option for hilli production</t>
  </si>
  <si>
    <t>Share Price - Base Case</t>
  </si>
  <si>
    <t>Bear Case</t>
  </si>
  <si>
    <t>Discounted Cash Flow Model</t>
  </si>
  <si>
    <t>not really sure how to go about calculating change in NWC</t>
  </si>
  <si>
    <t>Bear case</t>
  </si>
  <si>
    <t>NPV of cash flows from future contracts with zero asset value upon Gimi contract ending</t>
  </si>
  <si>
    <t>Gimi contracted for another 5 years with perenco but neverexercises option</t>
  </si>
  <si>
    <t>Golar Tundra FSRU is sold for 400m as offers have been received less associated debt</t>
  </si>
  <si>
    <t>No new projects materialize</t>
  </si>
  <si>
    <t>Hilli recontracts for another 10 years with perenco with no derivative instruments</t>
  </si>
  <si>
    <t xml:space="preserve">Perenco does not exercise option and only option for hilli is to recontract with perenco </t>
  </si>
  <si>
    <t>Commodity prices crash leading to zero gains from oil and ttf linked derivative products</t>
  </si>
  <si>
    <t>NFE valued at 52 week low price of $20</t>
  </si>
  <si>
    <t>Coolco value falls in half to ~5.50 per share usd</t>
  </si>
  <si>
    <t>Avenir LNG valued at book value</t>
  </si>
  <si>
    <t>Issues with hilli and gimi lead to higher maintenance capex of 5% of revenue per year</t>
  </si>
  <si>
    <t>NFE Shares fall 50%</t>
  </si>
  <si>
    <t>CoolCo Shares fall 50%</t>
  </si>
  <si>
    <t>Avenier LNG Shares fall 50%</t>
  </si>
  <si>
    <t>Share Price - Bear</t>
  </si>
  <si>
    <t>Liquid Natural Gas Companies</t>
  </si>
  <si>
    <t>Comparable Company Analysis</t>
  </si>
  <si>
    <t>(in millions, except per share data)</t>
  </si>
  <si>
    <t>Company</t>
  </si>
  <si>
    <t>Ticker</t>
  </si>
  <si>
    <t>Business</t>
  </si>
  <si>
    <t>Price</t>
  </si>
  <si>
    <t>Market Cap</t>
  </si>
  <si>
    <t>Preferred Equity</t>
  </si>
  <si>
    <t>EV</t>
  </si>
  <si>
    <t>2022E EBIT</t>
  </si>
  <si>
    <t>2023E EBIT</t>
  </si>
  <si>
    <t>2022E EBITDA</t>
  </si>
  <si>
    <t>2023E EBITDA</t>
  </si>
  <si>
    <t>EV 2022 EBIT</t>
  </si>
  <si>
    <t>EV / 2022E EBITDA</t>
  </si>
  <si>
    <t>Net Debt/LTM EBITDA</t>
  </si>
  <si>
    <t>GLNG</t>
  </si>
  <si>
    <t>FLNG</t>
  </si>
  <si>
    <t>Cheniere Energy</t>
  </si>
  <si>
    <t>LNG</t>
  </si>
  <si>
    <t>Cheniere Energy Partners</t>
  </si>
  <si>
    <t>CQP</t>
  </si>
  <si>
    <t>Hoegh LNG Partners LP</t>
  </si>
  <si>
    <t>HMLP</t>
  </si>
  <si>
    <t>FSRU</t>
  </si>
  <si>
    <t>New Fortress Energy</t>
  </si>
  <si>
    <t>NFE</t>
  </si>
  <si>
    <t>Nat Gas</t>
  </si>
  <si>
    <t>List of 5 LNG focused stocks and 5 midstream stocks that have the most LNG exposure</t>
  </si>
  <si>
    <t>Sampra Energy</t>
  </si>
  <si>
    <t>SRE</t>
  </si>
  <si>
    <t>Kinder Morgan</t>
  </si>
  <si>
    <t>KMI</t>
  </si>
  <si>
    <t>Midstream</t>
  </si>
  <si>
    <t>TC Energy</t>
  </si>
  <si>
    <t>TRP</t>
  </si>
  <si>
    <t>These 5 midstream stocks have LNG Exposure (terminals, regasification, and pipelines)</t>
  </si>
  <si>
    <t>Enbridge</t>
  </si>
  <si>
    <t>ENB</t>
  </si>
  <si>
    <t>Enterprise Product Partners</t>
  </si>
  <si>
    <t>EPD</t>
  </si>
  <si>
    <t>Energy Transfer</t>
  </si>
  <si>
    <t>ET</t>
  </si>
  <si>
    <t>Multiples</t>
  </si>
  <si>
    <t>Minimum</t>
  </si>
  <si>
    <t>Quartile 1</t>
  </si>
  <si>
    <t>Median</t>
  </si>
  <si>
    <t>Quartile 3</t>
  </si>
  <si>
    <t>Maximum</t>
  </si>
  <si>
    <t>Valuation</t>
  </si>
  <si>
    <t>Source: Bloomberg</t>
  </si>
  <si>
    <t>Football Field Analysis</t>
  </si>
  <si>
    <t>Min</t>
  </si>
  <si>
    <t>Spread</t>
  </si>
  <si>
    <t>Max</t>
  </si>
  <si>
    <t>Bull</t>
  </si>
  <si>
    <t>Bear</t>
  </si>
  <si>
    <t>Base</t>
  </si>
  <si>
    <t>EV / 2023E EBITDA</t>
  </si>
  <si>
    <t>EV / 2022E EBIT</t>
  </si>
  <si>
    <t>EV / 2023E EBIT</t>
  </si>
  <si>
    <t>Street</t>
  </si>
  <si>
    <t>52-Week Range</t>
  </si>
  <si>
    <t>Weight</t>
  </si>
  <si>
    <t>Base DCF</t>
  </si>
  <si>
    <t>Base SOTP</t>
  </si>
  <si>
    <t>Comps</t>
  </si>
  <si>
    <t>Total</t>
  </si>
  <si>
    <t>Share Price</t>
  </si>
  <si>
    <t>Upside</t>
  </si>
  <si>
    <t>Liquidity Information - From Q4 Earnings Presentation</t>
  </si>
  <si>
    <t>Cash &amp; Cash Equivalents</t>
  </si>
  <si>
    <t xml:space="preserve">Cash </t>
  </si>
  <si>
    <t>Cash from NFE share sale</t>
  </si>
  <si>
    <t>in millions</t>
  </si>
  <si>
    <t>NFE Shareholding</t>
  </si>
  <si>
    <t xml:space="preserve">Share price </t>
  </si>
  <si>
    <t>Shares owned</t>
  </si>
  <si>
    <t>CoolCo Shares</t>
  </si>
  <si>
    <t>Avenir Shares</t>
  </si>
  <si>
    <t>Total Cash &amp; Marketable Securities</t>
  </si>
  <si>
    <t>Quarterly</t>
  </si>
  <si>
    <t>Brent</t>
  </si>
  <si>
    <t>Q2-22</t>
  </si>
  <si>
    <t>Period</t>
  </si>
  <si>
    <t>Last Price</t>
  </si>
  <si>
    <t>Q3-22</t>
  </si>
  <si>
    <t>Average</t>
  </si>
  <si>
    <t>Q4-22</t>
  </si>
  <si>
    <t>Apr 2022</t>
  </si>
  <si>
    <t>Q1-23</t>
  </si>
  <si>
    <t>May 2022</t>
  </si>
  <si>
    <t>Q2-23</t>
  </si>
  <si>
    <t>Jun 2022</t>
  </si>
  <si>
    <t>Q3-23</t>
  </si>
  <si>
    <t>Jul 2022</t>
  </si>
  <si>
    <t>Q4-23</t>
  </si>
  <si>
    <t>Aug 2022</t>
  </si>
  <si>
    <t>Q1-24</t>
  </si>
  <si>
    <t>Sep 2022</t>
  </si>
  <si>
    <t>Q2-24</t>
  </si>
  <si>
    <t>Oct 2022</t>
  </si>
  <si>
    <t>Q3-24</t>
  </si>
  <si>
    <t>Nov 2022</t>
  </si>
  <si>
    <t>Q4-24</t>
  </si>
  <si>
    <t>Dec 2022</t>
  </si>
  <si>
    <t>Q1-25</t>
  </si>
  <si>
    <t>Jan 2023</t>
  </si>
  <si>
    <t>Q2-25</t>
  </si>
  <si>
    <t>Feb 2023</t>
  </si>
  <si>
    <t>Q3-25</t>
  </si>
  <si>
    <t>Mar 2023</t>
  </si>
  <si>
    <t>Q4-25</t>
  </si>
  <si>
    <t>Apr 2023</t>
  </si>
  <si>
    <t>Q1-26</t>
  </si>
  <si>
    <t>May 2023</t>
  </si>
  <si>
    <t>Q2-26</t>
  </si>
  <si>
    <t>Jun 2023</t>
  </si>
  <si>
    <t>Q3-26</t>
  </si>
  <si>
    <t>Jul 2023</t>
  </si>
  <si>
    <t>Q4-26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</si>
  <si>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</si>
  <si>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</si>
  <si>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</si>
  <si>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</si>
  <si>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</si>
  <si>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</si>
  <si>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</si>
  <si>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</si>
  <si>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</si>
  <si>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</si>
  <si>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</si>
  <si>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</si>
  <si>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</si>
  <si>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</si>
  <si>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</si>
  <si>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</si>
  <si>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Showing spot prices changing since the start of Russia Ukraine Conflict</t>
  </si>
  <si>
    <t>Dec 2024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</si>
  <si>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</si>
  <si>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</si>
  <si>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</si>
  <si>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</si>
  <si>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</si>
  <si>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</si>
  <si>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</si>
  <si>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</si>
  <si>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</si>
  <si>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</si>
  <si>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</si>
  <si>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</si>
  <si>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</si>
  <si>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</si>
  <si>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</si>
  <si>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</si>
  <si>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</si>
  <si>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</si>
  <si>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</si>
  <si>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</si>
  <si>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</si>
  <si>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Win 2027</t>
  </si>
  <si>
    <t>Sum 2027</t>
  </si>
  <si>
    <t>Win 2028</t>
  </si>
  <si>
    <t>Sum 2028</t>
  </si>
  <si>
    <t>Win 2029</t>
  </si>
  <si>
    <t>as a % of FLNG Revenue</t>
  </si>
  <si>
    <t>Estimated Spinoff Opening Balance Sheet</t>
  </si>
  <si>
    <t>Balance Sheet</t>
  </si>
  <si>
    <t>FY2020</t>
  </si>
  <si>
    <t>FY2021</t>
  </si>
  <si>
    <t>Post Transaction Estimated Balance Sheet</t>
  </si>
  <si>
    <t>(in Thousands of $)</t>
  </si>
  <si>
    <t>Audited</t>
  </si>
  <si>
    <t>Unaudited</t>
  </si>
  <si>
    <t>FLNG as a % of Revenue</t>
  </si>
  <si>
    <t>NFE Shares on 12/31</t>
  </si>
  <si>
    <t>Other Liquidity Comments</t>
  </si>
  <si>
    <t>Assets</t>
  </si>
  <si>
    <t xml:space="preserve">Total liquidity of $1.1bn </t>
  </si>
  <si>
    <t>Current assets:</t>
  </si>
  <si>
    <t>Value of NFE position on 12/31</t>
  </si>
  <si>
    <t>New $250m Credit Facility available for drawdown from 6/30/2022 - 6/29/2029 - Libor +450-550 - Secured by Hilli and Gimi</t>
  </si>
  <si>
    <t>Cash and cash equivalents</t>
  </si>
  <si>
    <t>Receive cash of 217m</t>
  </si>
  <si>
    <t>$623m in marketable securities between NFE, Avenier, and Coolco shares -&gt; higher since this report as Coolco and NFE have appreciated</t>
  </si>
  <si>
    <t>Restricted cash and short-term deposits</t>
  </si>
  <si>
    <t>Additional $200m corporate revolver secured by NFE shares</t>
  </si>
  <si>
    <t>Other current assets</t>
  </si>
  <si>
    <t>No debt due until 2025 - after Gimi is expected to contribute significant EBITDA</t>
  </si>
  <si>
    <t>Assets held for sale</t>
  </si>
  <si>
    <t>Annual debt amort of $47m per year until 2025 -&gt; Debt amortization ratio from now through 2025</t>
  </si>
  <si>
    <t>Amounts due from related parties</t>
  </si>
  <si>
    <t>Total current assets</t>
  </si>
  <si>
    <t>$300m cash added from proceeds from spinoff - $145m per ship</t>
  </si>
  <si>
    <t>Non-current assets</t>
  </si>
  <si>
    <t>Debt removed from each asset sold</t>
  </si>
  <si>
    <t>Restricted cash</t>
  </si>
  <si>
    <t>Each ship</t>
  </si>
  <si>
    <t>Investments in affiliates</t>
  </si>
  <si>
    <t>125m investment in affiliates here</t>
  </si>
  <si>
    <t>Asset under development</t>
  </si>
  <si>
    <t>Vessels and equipment, net</t>
  </si>
  <si>
    <t>1.38 transfers to coolco</t>
  </si>
  <si>
    <t>145m per ship sale</t>
  </si>
  <si>
    <t>Other non-current assets</t>
  </si>
  <si>
    <t>1.16bn sale and will record a loss between 210-230m</t>
  </si>
  <si>
    <t>Total assets</t>
  </si>
  <si>
    <t>LIABILITIES AND STOCKHOLDERS' EQUITY</t>
  </si>
  <si>
    <t>Current liabilities:</t>
  </si>
  <si>
    <t>UPDATED STATISTICS</t>
  </si>
  <si>
    <t>Current portion of long-term debt and short-term debt</t>
  </si>
  <si>
    <t>REFINANCED</t>
  </si>
  <si>
    <t>832.9m in debt removed</t>
  </si>
  <si>
    <t>cash &amp; marketable securities (1.3bn)</t>
  </si>
  <si>
    <t>Amounts due to related parties</t>
  </si>
  <si>
    <t>Net debt (.5bn)</t>
  </si>
  <si>
    <t>Other current liabilities</t>
  </si>
  <si>
    <t>Total current liabilities</t>
  </si>
  <si>
    <t>Debt Maturity Profile</t>
  </si>
  <si>
    <t>Non-current liabilities</t>
  </si>
  <si>
    <t>Long-term debt</t>
  </si>
  <si>
    <t>Debt will decrease by .8bn from the 8 vessels</t>
  </si>
  <si>
    <t>Other long-term liabilities</t>
  </si>
  <si>
    <t>Total liabilities</t>
  </si>
  <si>
    <t>Equity</t>
  </si>
  <si>
    <t>Stockholders' equity</t>
  </si>
  <si>
    <t>Non-controlling interests</t>
  </si>
  <si>
    <t>Total liabilities and stockholders' equity</t>
  </si>
  <si>
    <t>Drivers:</t>
  </si>
  <si>
    <t>Weighted Average Cost of Capital</t>
  </si>
  <si>
    <t>Risk free rate (U.S. 10-year T-Bill)</t>
  </si>
  <si>
    <t>Market Return</t>
  </si>
  <si>
    <t>Equity Risk Premium</t>
  </si>
  <si>
    <t>Beta (5 year vs. SPX)</t>
  </si>
  <si>
    <t>Cost of Equity</t>
  </si>
  <si>
    <t>Interest Coverage Ratio</t>
  </si>
  <si>
    <t>Credit Spread</t>
  </si>
  <si>
    <t>Cost of debt</t>
  </si>
  <si>
    <t>Tax rate</t>
  </si>
  <si>
    <t>find effective tax rate from bloomberg</t>
  </si>
  <si>
    <t>Cost of debt after taxes</t>
  </si>
  <si>
    <t>Stock price</t>
  </si>
  <si>
    <t>Diluted shares outstanding</t>
  </si>
  <si>
    <t>MV of equity</t>
  </si>
  <si>
    <t>E+D</t>
  </si>
  <si>
    <t>FIGURE THIS OUT</t>
  </si>
  <si>
    <t>Weight of equity</t>
  </si>
  <si>
    <t>Weight of debt</t>
  </si>
  <si>
    <t>Ebitda</t>
  </si>
  <si>
    <t>WACC</t>
  </si>
  <si>
    <t>Date</t>
  </si>
  <si>
    <t>FLNG1YTC FRNL Index  (L1)</t>
  </si>
  <si>
    <t>Henry Hub</t>
  </si>
  <si>
    <t>Netherlands TTF</t>
  </si>
  <si>
    <t>Brent 13%</t>
  </si>
  <si>
    <t>Tu</t>
  </si>
  <si>
    <t>Mo</t>
  </si>
  <si>
    <t>Fr</t>
  </si>
  <si>
    <t>Th</t>
  </si>
  <si>
    <t>We</t>
  </si>
  <si>
    <t>Gas &amp; Exploration</t>
  </si>
  <si>
    <t>FLNG tolling</t>
  </si>
  <si>
    <t>Shipping</t>
  </si>
  <si>
    <t>LNG Delivered to Asia</t>
  </si>
  <si>
    <t>Capex per MPTU</t>
  </si>
  <si>
    <t>mptu</t>
  </si>
  <si>
    <t>Cost in millions</t>
  </si>
  <si>
    <t>Hilli Episiyo</t>
  </si>
  <si>
    <t>Golar Gimi</t>
  </si>
  <si>
    <t>Coral FLNG</t>
  </si>
  <si>
    <t>PFLNG2</t>
  </si>
  <si>
    <t>PFLNG1</t>
  </si>
  <si>
    <t>Prelude FLNG</t>
  </si>
  <si>
    <t>Golar LNG Limited (NYSE: GNLG)</t>
  </si>
  <si>
    <t>Q32021</t>
  </si>
  <si>
    <t>Q42021</t>
  </si>
  <si>
    <t>Historical - pre coolco spinoff</t>
  </si>
  <si>
    <t>Time and voyage charter revenues</t>
  </si>
  <si>
    <t>Liquefaction services revenue</t>
  </si>
  <si>
    <t>Vessel and other management fees</t>
  </si>
  <si>
    <t>Total operating revenues</t>
  </si>
  <si>
    <t>Vessel operating expenses</t>
  </si>
  <si>
    <t>Voyage, charterhire and commission expenses</t>
  </si>
  <si>
    <t>Administrative expenses</t>
  </si>
  <si>
    <t>Depreciation and amortization</t>
  </si>
  <si>
    <t>Total operating expenses</t>
  </si>
  <si>
    <t>Other operating income/(loss)</t>
  </si>
  <si>
    <t>Realized and unrealized gain/(loss) on oil and gas derivative instruments</t>
  </si>
  <si>
    <t>Other operating gains</t>
  </si>
  <si>
    <t>Total other operating income/(losses)</t>
  </si>
  <si>
    <t>Operating Income</t>
  </si>
  <si>
    <t>Other non-operating (losses)/income</t>
  </si>
  <si>
    <t>Financial income/(expense)</t>
  </si>
  <si>
    <t>Interest income</t>
  </si>
  <si>
    <t>Interest expense</t>
  </si>
  <si>
    <t>Gains/(losses) on derivative instruments</t>
  </si>
  <si>
    <t>Other financial items, net</t>
  </si>
  <si>
    <t>Net financial expense</t>
  </si>
  <si>
    <t>Income/(loss) before income taxes, equity in net income of affiliates and noncontrolling interests</t>
  </si>
  <si>
    <t>Income taxes</t>
  </si>
  <si>
    <t>Equity in net income/(losses) of affiliates</t>
  </si>
  <si>
    <t>Net income/(loss) from continuing operations</t>
  </si>
  <si>
    <t>Net income/(loss) from discontinued operations</t>
  </si>
  <si>
    <t>Net income/(loss)</t>
  </si>
  <si>
    <t>Net income attributable to non-controlling interests</t>
  </si>
  <si>
    <t>Net income/(loss) attributable to Golar LNG Limited</t>
  </si>
  <si>
    <t>Cash Flows</t>
  </si>
  <si>
    <t>OPERATING ACTIVITIES</t>
  </si>
  <si>
    <t>Adjustments to reconcile net income/(loss) to net cash provided by operating activities:</t>
  </si>
  <si>
    <t>Amortization of deferred charges and guarantees, net</t>
  </si>
  <si>
    <t>Gain on disposal of long lived asset</t>
  </si>
  <si>
    <t>Deconsolidation of lessor VIE</t>
  </si>
  <si>
    <t>Equity in net losses of affiliates</t>
  </si>
  <si>
    <t>Net (income)/loss from discontinued operations</t>
  </si>
  <si>
    <t>Dry-docking expenditure</t>
  </si>
  <si>
    <t>Compensation cost related to employee stock awards</t>
  </si>
  <si>
    <t>Historical pre coolco spinoff</t>
  </si>
  <si>
    <t>Net foreign exchange losses/(gains)</t>
  </si>
  <si>
    <t>Change in fair value of investment in listed equity securities</t>
  </si>
  <si>
    <t>Change in fair value of derivative instruments</t>
  </si>
  <si>
    <t>Change in fair values of oil and gas derivative instruments</t>
  </si>
  <si>
    <t>Changes in assets and liabilities:</t>
  </si>
  <si>
    <t>Trade accounts receivable</t>
  </si>
  <si>
    <t>Inventories</t>
  </si>
  <si>
    <t>Other current and non-current assets</t>
  </si>
  <si>
    <t>Amounts due to/from related companies</t>
  </si>
  <si>
    <t>Trade accounts payable</t>
  </si>
  <si>
    <t>Accrued expenses</t>
  </si>
  <si>
    <t>Other current and non-current liabilities</t>
  </si>
  <si>
    <t>Net cash provided by operating activities</t>
  </si>
  <si>
    <t>INVESTING ACTIVITIES</t>
  </si>
  <si>
    <t>Additions to vessels and equipment</t>
  </si>
  <si>
    <t>—</t>
  </si>
  <si>
    <t>Additions to asset under development</t>
  </si>
  <si>
    <t>Additions to investments in affiliates</t>
  </si>
  <si>
    <t>Proceeds from subscription of equity interest in Gimi MS Corporation</t>
  </si>
  <si>
    <t>Dividends from listed equity securities</t>
  </si>
  <si>
    <t>Proceeds from disposal of long lived assets</t>
  </si>
  <si>
    <t>Short-term loan advanced to related parties</t>
  </si>
  <si>
    <t>Net cash used in continuing investing activities</t>
  </si>
  <si>
    <t>Dividends received</t>
  </si>
  <si>
    <t>Net proceeds from disposals of investments in affiliates</t>
  </si>
  <si>
    <t>Proceeds from repayment of short-term loan advanced to related parties</t>
  </si>
  <si>
    <t>Net cash (used in)/provided by discontinued investing activities</t>
  </si>
  <si>
    <t>FINANCING ACTIVITIES</t>
  </si>
  <si>
    <t>Proceeds from short-term and long-term debt</t>
  </si>
  <si>
    <t>Repayments of short-term and long-term debt</t>
  </si>
  <si>
    <t>Net proceeds from the issuance of equity</t>
  </si>
  <si>
    <t>Cash dividends paid</t>
  </si>
  <si>
    <t>Financing costs paid</t>
  </si>
  <si>
    <t>Purchase of treasury shares</t>
  </si>
  <si>
    <t>Net cash provided by/(used in) financing activities</t>
  </si>
  <si>
    <t>Net increase/(decrease) in cash, cash equivalents and restricted cash</t>
  </si>
  <si>
    <t>Cash, cash equivalents and restricted cash at beginning of period</t>
  </si>
  <si>
    <t>Cash, cash equivalents and restricted cash at end of period</t>
  </si>
  <si>
    <t>GLNG Analyst Sentiment</t>
  </si>
  <si>
    <t>Firm</t>
  </si>
  <si>
    <t>Analyst</t>
  </si>
  <si>
    <t>Rating</t>
  </si>
  <si>
    <t>Target Price</t>
  </si>
  <si>
    <t>Jefferies</t>
  </si>
  <si>
    <t>Randy Giveans</t>
  </si>
  <si>
    <t>Buy</t>
  </si>
  <si>
    <t>Wolfe Research</t>
  </si>
  <si>
    <t>Sam Margolin</t>
  </si>
  <si>
    <t>Evercore ISI</t>
  </si>
  <si>
    <t>Sean Morgan</t>
  </si>
  <si>
    <t>Stifel</t>
  </si>
  <si>
    <t>Ben Nolan</t>
  </si>
  <si>
    <t>Pareto Securities</t>
  </si>
  <si>
    <t>August Klemp</t>
  </si>
  <si>
    <t>Fearnley Securities</t>
  </si>
  <si>
    <t>Peder Nicolai</t>
  </si>
  <si>
    <t>BTIG</t>
  </si>
  <si>
    <t>Gregory Lewis</t>
  </si>
  <si>
    <t>DNB Markets</t>
  </si>
  <si>
    <t>Joergen Lian</t>
  </si>
  <si>
    <t>Clarksons Platou</t>
  </si>
  <si>
    <t>Omar Nokta</t>
  </si>
  <si>
    <t>B Riley Securities</t>
  </si>
  <si>
    <t>Liam Burke</t>
  </si>
  <si>
    <t>Webber Research</t>
  </si>
  <si>
    <t>Greg Wasikowski</t>
  </si>
  <si>
    <t>Hold</t>
  </si>
  <si>
    <t>Sell</t>
  </si>
  <si>
    <t>Q1</t>
  </si>
  <si>
    <t>Mean</t>
  </si>
  <si>
    <t>Med</t>
  </si>
  <si>
    <t>Q3</t>
  </si>
  <si>
    <t>CoolCo Analyst Sentiment</t>
  </si>
  <si>
    <t>Danske Bank</t>
  </si>
  <si>
    <t>Havard Lie</t>
  </si>
  <si>
    <t>ABG Sundal Collier</t>
  </si>
  <si>
    <t>Petter Haugen</t>
  </si>
  <si>
    <t>Eirik Haavaldsen</t>
  </si>
  <si>
    <t>Peter Jarlsby</t>
  </si>
  <si>
    <t>New Fortress Energy Analyst Sentiment</t>
  </si>
  <si>
    <t>Morgan Stanley</t>
  </si>
  <si>
    <t>Devin McDermott</t>
  </si>
  <si>
    <t>Jonathan Chappell</t>
  </si>
  <si>
    <t>Barclays</t>
  </si>
  <si>
    <t>Marc Solecitto</t>
  </si>
  <si>
    <t>Credit Suisse</t>
  </si>
  <si>
    <t>Spiro Dounis</t>
  </si>
  <si>
    <t>Johnson Rice</t>
  </si>
  <si>
    <t>Martin Malloy</t>
  </si>
  <si>
    <t>Adjusted EBITDA</t>
  </si>
  <si>
    <t>EU Natural Gas Suppliers</t>
  </si>
  <si>
    <t>Russia</t>
  </si>
  <si>
    <t>Norway</t>
  </si>
  <si>
    <t>Algeria</t>
  </si>
  <si>
    <t>Qatar</t>
  </si>
  <si>
    <t>Others</t>
  </si>
  <si>
    <t>RePowerEU Plan ot replace Russian Gas imports</t>
  </si>
  <si>
    <t>Invisible</t>
  </si>
  <si>
    <t>Final</t>
  </si>
  <si>
    <t>Plus</t>
  </si>
  <si>
    <t>Initial</t>
  </si>
  <si>
    <t>LNG Imports</t>
  </si>
  <si>
    <t>Pipeline Imports</t>
  </si>
  <si>
    <t>Biogas</t>
  </si>
  <si>
    <t>Demand Cuts</t>
  </si>
  <si>
    <t>CCGT/OCGT Rampdown</t>
  </si>
  <si>
    <t>Renewable Energy Storage</t>
  </si>
  <si>
    <t>Opportunity</t>
  </si>
  <si>
    <t>Current Russian Supply</t>
  </si>
  <si>
    <t>Country</t>
  </si>
  <si>
    <t>Sponsor</t>
  </si>
  <si>
    <t>MTPA</t>
  </si>
  <si>
    <t>Charter Year</t>
  </si>
  <si>
    <t>Mozambique</t>
  </si>
  <si>
    <t>Eni</t>
  </si>
  <si>
    <t>Indonesia</t>
  </si>
  <si>
    <t>BP</t>
  </si>
  <si>
    <t>Mauritania/Senegal</t>
  </si>
  <si>
    <t>BP/Kosmos/Golar</t>
  </si>
  <si>
    <t>Novatek</t>
  </si>
  <si>
    <t>Energy World Corp.</t>
  </si>
  <si>
    <t>Mexico</t>
  </si>
  <si>
    <t>Sempra/Total/Ienova</t>
  </si>
  <si>
    <t>Gazprom</t>
  </si>
  <si>
    <t>Qatar Petro.</t>
  </si>
  <si>
    <t>Canada</t>
  </si>
  <si>
    <t>Shell/Petronas</t>
  </si>
  <si>
    <t>United States</t>
  </si>
  <si>
    <t>Qatar Petro./Exxon</t>
  </si>
  <si>
    <t>Nigeria</t>
  </si>
  <si>
    <t>Shell/Nigeria LNG ltd.</t>
  </si>
  <si>
    <t>Australia</t>
  </si>
  <si>
    <t>Santos/Conoco/AusEX/SK</t>
  </si>
  <si>
    <t>Woodside</t>
  </si>
  <si>
    <t>Stated Policies</t>
  </si>
  <si>
    <t>World Energy Outlook 2021</t>
  </si>
  <si>
    <t>Total Energy (EJ)</t>
  </si>
  <si>
    <t>Remewable Energy Supply (EJ)</t>
  </si>
  <si>
    <t>Natural Gas Demand (bcm)</t>
  </si>
  <si>
    <t>Oil Demand (mb/d)</t>
  </si>
  <si>
    <t>Liquids (mb/d)</t>
  </si>
  <si>
    <t>Coal (Mtce)</t>
  </si>
  <si>
    <t>Nuclear</t>
  </si>
  <si>
    <t>ref2022.d011222a</t>
  </si>
  <si>
    <t>Report</t>
  </si>
  <si>
    <t>Annual Energy Outlook 2022</t>
  </si>
  <si>
    <t>Scenario</t>
  </si>
  <si>
    <t>ref2022</t>
  </si>
  <si>
    <t>Reference</t>
  </si>
  <si>
    <t>Datekey</t>
  </si>
  <si>
    <t>d011222a</t>
  </si>
  <si>
    <t>Release Date</t>
  </si>
  <si>
    <t xml:space="preserve"> March 2022</t>
  </si>
  <si>
    <t>SUP000</t>
  </si>
  <si>
    <t>1. Total Energy Supply, Disposition, and Price Summary</t>
  </si>
  <si>
    <t>(quadrillion Btu, unless otherwise noted)</t>
  </si>
  <si>
    <t>Annual</t>
  </si>
  <si>
    <t>Change</t>
  </si>
  <si>
    <t xml:space="preserve"> Supply, Disposition, and Prices</t>
  </si>
  <si>
    <t>2021–2050</t>
  </si>
  <si>
    <t>Production</t>
  </si>
  <si>
    <t>SUP000:ba_CrudeOilLease</t>
  </si>
  <si>
    <t xml:space="preserve">   Crude Oil and Lease Condensate</t>
  </si>
  <si>
    <t>SUP000:ba_NaturalGasPla</t>
  </si>
  <si>
    <t xml:space="preserve">   Natural Gas Plant Liquids</t>
  </si>
  <si>
    <t>SUP000:ba_DryNaturalGas</t>
  </si>
  <si>
    <t xml:space="preserve">   Dry Natural Gas</t>
  </si>
  <si>
    <t>SUP000:ba_Coal</t>
  </si>
  <si>
    <t xml:space="preserve">   Coal 1/</t>
  </si>
  <si>
    <t>SUP000:ba_NuclearPower</t>
  </si>
  <si>
    <t xml:space="preserve">   Nuclear / Uranium 2/</t>
  </si>
  <si>
    <t>SUP000:ba_Hydropower</t>
  </si>
  <si>
    <t xml:space="preserve">   Conventional Hydroelectric Power</t>
  </si>
  <si>
    <t>SUP000:ba_Biomass</t>
  </si>
  <si>
    <t xml:space="preserve">   Biomass 3/</t>
  </si>
  <si>
    <t>SUP000:ba_RenewableEner</t>
  </si>
  <si>
    <t xml:space="preserve">   Other Renewable Energy 4/</t>
  </si>
  <si>
    <t>SUP000:ba_Other</t>
  </si>
  <si>
    <t xml:space="preserve">   Other 5/</t>
  </si>
  <si>
    <t>SUP000:ba_Total</t>
  </si>
  <si>
    <t xml:space="preserve">       Total</t>
  </si>
  <si>
    <t>Consumption</t>
  </si>
  <si>
    <t>SUP000:fa_PetroleumProd</t>
  </si>
  <si>
    <t>Oil and Oil Products</t>
  </si>
  <si>
    <t>SUP000:fa_NaturalGas</t>
  </si>
  <si>
    <t xml:space="preserve">   Natural Gas</t>
  </si>
  <si>
    <t>SUP000:fa_Coal</t>
  </si>
  <si>
    <t>Coal</t>
  </si>
  <si>
    <t>SUP000:fa_NuclearPower</t>
  </si>
  <si>
    <t>Renewables</t>
  </si>
  <si>
    <t>SUP000:fa_Hydropower</t>
  </si>
  <si>
    <t>SUP000:fa_Biomass</t>
  </si>
  <si>
    <t xml:space="preserve">   Biomass 12/</t>
  </si>
  <si>
    <t>SUP000:fa_RenewableEner</t>
  </si>
  <si>
    <t>SUP000:fa_Other</t>
  </si>
  <si>
    <t xml:space="preserve">   Other</t>
  </si>
  <si>
    <t>SUP000:fa_Total</t>
  </si>
  <si>
    <t xml:space="preserve">     Total</t>
  </si>
  <si>
    <t>ORIGINAL REVENUE BUILD FOR HILLI AND GIMI</t>
  </si>
  <si>
    <t>Bull Oil price Case</t>
  </si>
  <si>
    <t>Sanaga Gas Field Cameroon</t>
  </si>
  <si>
    <t>The ttf derivative is really messing me up</t>
  </si>
  <si>
    <t>Net Operating Profit</t>
  </si>
  <si>
    <t>GIMI Operating Profit attributable to GLNG</t>
  </si>
  <si>
    <t>Duplicat Gimi for bull and base cases</t>
  </si>
  <si>
    <t>Depreciation for this company is going to be difficult for the time being as assets have been spun off -&gt; this will be adjusted once the firms annual report is released and new financial statements are provided</t>
  </si>
  <si>
    <t>D&amp;A is a pure estimate as financial statements are not provided for this firm</t>
  </si>
  <si>
    <t>Depreciation Policy</t>
  </si>
  <si>
    <t>LNG Carriers</t>
  </si>
  <si>
    <t>40 years</t>
  </si>
  <si>
    <t>20 Years</t>
  </si>
  <si>
    <t>% of revenue</t>
  </si>
  <si>
    <t>30 Years</t>
  </si>
  <si>
    <t>Capital Expenditures</t>
  </si>
  <si>
    <t xml:space="preserve">Additions to vessels &amp; Equipment </t>
  </si>
  <si>
    <t>Additions to vessels &amp; Equipment as a % of revenue</t>
  </si>
  <si>
    <t>Maintenance CapEx for units (average of the past 2 years additions to vessels)</t>
  </si>
  <si>
    <t>Remaining Capex for Gimi (413m)</t>
  </si>
  <si>
    <t>CapEx Bull</t>
  </si>
  <si>
    <t>UNITS CHARTER</t>
  </si>
  <si>
    <t>CapEx Base</t>
  </si>
  <si>
    <t>UNIT Charters</t>
  </si>
  <si>
    <t>Time to manufacture an FLNG</t>
  </si>
  <si>
    <t>Years</t>
  </si>
  <si>
    <t>CapEx Bear</t>
  </si>
  <si>
    <t>CapEx from Hilli/Gimi</t>
  </si>
  <si>
    <t>Capex per year for new unit</t>
  </si>
  <si>
    <t>Gimi Capex</t>
  </si>
  <si>
    <t xml:space="preserve">Per Quarter </t>
  </si>
  <si>
    <t>Bull: 2 new units announed matching the manufacturing cost of Gimi and Hilli</t>
  </si>
  <si>
    <t>Base: 1 new unit announced matching manufacturing costs of Gimi and Hilli</t>
  </si>
  <si>
    <t xml:space="preserve">Bear: No new unit is announced (very unlikely) </t>
  </si>
  <si>
    <t>Bull Case</t>
  </si>
  <si>
    <t>Base Case</t>
  </si>
  <si>
    <t>Multiple Method</t>
  </si>
  <si>
    <t>Terminal EBITDA</t>
  </si>
  <si>
    <t>2023 EV/EBITDA (minus 2x)</t>
  </si>
  <si>
    <t>Terminal Value</t>
  </si>
  <si>
    <t>PV of Terminal Value</t>
  </si>
  <si>
    <t>Enterprise Value</t>
  </si>
  <si>
    <t>Cash &amp; Marketable Securities</t>
  </si>
  <si>
    <t>Equity Value</t>
  </si>
  <si>
    <t>Diluted Shares Outstanding</t>
  </si>
  <si>
    <t>Sensitivity Table</t>
  </si>
  <si>
    <t>Base Case DCF</t>
  </si>
  <si>
    <t>DCF</t>
  </si>
  <si>
    <t>2023 EV/EBITDA (minus 3x)</t>
  </si>
  <si>
    <t>This DCF excludes impact of share price appreciation of NFE and CoolCo -&gt; included in the sensitivity tables</t>
  </si>
  <si>
    <t>2023 EV/EBITDA (minus 4x)</t>
  </si>
  <si>
    <t>GLNG Shares Base Case</t>
  </si>
  <si>
    <t xml:space="preserve">Debt excludes other LT liabilities and other Current liabilities </t>
  </si>
  <si>
    <t>Global LNG Capacity</t>
  </si>
  <si>
    <t>Currently Operational</t>
  </si>
  <si>
    <t>Under Construction</t>
  </si>
  <si>
    <t>Planned/Announced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</si>
</sst>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[$$-409]* #,##0.00_);_([$$-409]* \(#,##0.00\);_([$$-409]* &quot;-&quot;??_);_(@_)"/>
    <numFmt numFmtId="166" formatCode="0.0\x"/>
    <numFmt numFmtId="167" formatCode="0.00\x"/>
    <numFmt numFmtId="168" formatCode="&quot;$&quot;#,##0.00"/>
    <numFmt numFmtId="169" formatCode="0.0%"/>
    <numFmt numFmtId="170" formatCode="#,##0.0"/>
    <numFmt numFmtId="171" formatCode="0.0"/>
    <numFmt numFmtId="172" formatCode="0;\-0;&quot;-&quot;;@"/>
    <numFmt numFmtId="173" formatCode="_(&quot;$&quot;* #,##0.00_);_(&quot;$&quot;* \(#,##0.00\);_(&quot;$&quot;* &quot;-&quot;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Garamond"/>
      <family val="1"/>
    </font>
    <font>
      <b/>
      <sz val="11"/>
      <color rgb="FF000000"/>
      <name val="Garamond"/>
      <family val="1"/>
    </font>
    <font>
      <b/>
      <sz val="12"/>
      <color theme="0"/>
      <name val="Garamond"/>
      <family val="1"/>
    </font>
    <font>
      <sz val="12"/>
      <color theme="0"/>
      <name val="Garamond"/>
      <family val="1"/>
    </font>
    <font>
      <i/>
      <sz val="12"/>
      <color theme="1"/>
      <name val="Garamond"/>
      <family val="1"/>
    </font>
    <font>
      <sz val="10"/>
      <color theme="1"/>
      <name val="Garamond"/>
      <family val="1"/>
    </font>
    <font>
      <sz val="11"/>
      <color theme="1"/>
      <name val="Garamond"/>
      <family val="1"/>
    </font>
    <font>
      <b/>
      <sz val="16"/>
      <color theme="0"/>
      <name val="Garamond"/>
      <family val="1"/>
    </font>
    <font>
      <b/>
      <sz val="16"/>
      <color rgb="FF000000"/>
      <name val="Garamond"/>
      <family val="1"/>
    </font>
    <font>
      <b/>
      <sz val="11"/>
      <color theme="1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i/>
      <sz val="11"/>
      <color theme="1"/>
      <name val="Garamond"/>
      <family val="1"/>
    </font>
    <font>
      <b/>
      <sz val="11"/>
      <color theme="0"/>
      <name val="Garamond"/>
      <family val="1"/>
    </font>
    <font>
      <sz val="11"/>
      <color theme="0"/>
      <name val="Garamond"/>
      <family val="1"/>
    </font>
    <font>
      <sz val="12"/>
      <color rgb="FF000000"/>
      <name val="Garamond"/>
      <family val="1"/>
    </font>
    <font>
      <b/>
      <sz val="12"/>
      <color rgb="FFFFFFFF"/>
      <name val="Garamond"/>
      <family val="1"/>
    </font>
    <font>
      <b/>
      <i/>
      <sz val="11"/>
      <color theme="0"/>
      <name val="Garamond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9"/>
      <name val="Calibri"/>
      <family val="2"/>
    </font>
    <font>
      <sz val="12"/>
      <color rgb="FFFFFFFF"/>
      <name val="Garamond"/>
      <family val="1"/>
    </font>
    <font>
      <sz val="12"/>
      <name val="Garamond"/>
      <family val="1"/>
    </font>
    <font>
      <b/>
      <sz val="12"/>
      <color rgb="FF000000"/>
      <name val="Garamond"/>
      <family val="1"/>
    </font>
    <font>
      <sz val="11"/>
      <name val="Garamond"/>
      <family val="1"/>
    </font>
    <font>
      <b/>
      <sz val="11"/>
      <name val="Garamond"/>
      <family val="1"/>
    </font>
    <font>
      <b/>
      <i/>
      <sz val="12"/>
      <color theme="1"/>
      <name val="Garamond"/>
      <family val="1"/>
    </font>
    <font>
      <b/>
      <i/>
      <sz val="11"/>
      <color theme="1"/>
      <name val="Garamond"/>
      <family val="1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color indexed="30"/>
      <name val="Calibri"/>
      <family val="2"/>
    </font>
    <font>
      <b/>
      <sz val="9"/>
      <name val="Calibri"/>
    </font>
    <font>
      <sz val="9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762A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9" borderId="0"/>
    <xf numFmtId="0" fontId="30" fillId="0" borderId="0"/>
    <xf numFmtId="0" fontId="31" fillId="0" borderId="25">
      <alignment wrapText="1"/>
    </xf>
    <xf numFmtId="0" fontId="34" fillId="0" borderId="0">
      <alignment horizontal="left"/>
    </xf>
    <xf numFmtId="0" fontId="31" fillId="0" borderId="26">
      <alignment wrapText="1"/>
    </xf>
    <xf numFmtId="0" fontId="30" fillId="0" borderId="27">
      <alignment wrapText="1"/>
    </xf>
    <xf numFmtId="0" fontId="30" fillId="0" borderId="28">
      <alignment wrapText="1"/>
    </xf>
  </cellStyleXfs>
  <cellXfs count="371">
    <xf numFmtId="0" fontId="0" fillId="0" borderId="0" xfId="0"/>
    <xf numFmtId="164" fontId="7" fillId="2" borderId="0" xfId="1" applyNumberFormat="1" applyFont="1" applyFill="1" applyBorder="1" applyAlignment="1">
      <alignment vertical="center" wrapText="1"/>
    </xf>
    <xf numFmtId="0" fontId="8" fillId="2" borderId="0" xfId="0" applyFont="1" applyFill="1"/>
    <xf numFmtId="0" fontId="8" fillId="2" borderId="9" xfId="0" applyFont="1" applyFill="1" applyBorder="1"/>
    <xf numFmtId="0" fontId="8" fillId="2" borderId="10" xfId="0" applyFont="1" applyFill="1" applyBorder="1"/>
    <xf numFmtId="0" fontId="8" fillId="2" borderId="11" xfId="0" applyFont="1" applyFill="1" applyBorder="1"/>
    <xf numFmtId="0" fontId="8" fillId="2" borderId="12" xfId="0" applyFont="1" applyFill="1" applyBorder="1"/>
    <xf numFmtId="0" fontId="8" fillId="2" borderId="13" xfId="0" applyFont="1" applyFill="1" applyBorder="1"/>
    <xf numFmtId="0" fontId="8" fillId="0" borderId="0" xfId="0" applyFont="1"/>
    <xf numFmtId="0" fontId="13" fillId="2" borderId="7" xfId="0" applyFont="1" applyFill="1" applyBorder="1"/>
    <xf numFmtId="0" fontId="13" fillId="2" borderId="0" xfId="0" applyFont="1" applyFill="1"/>
    <xf numFmtId="0" fontId="13" fillId="2" borderId="8" xfId="0" applyFont="1" applyFill="1" applyBorder="1"/>
    <xf numFmtId="0" fontId="11" fillId="2" borderId="0" xfId="0" applyFont="1" applyFill="1"/>
    <xf numFmtId="164" fontId="8" fillId="2" borderId="2" xfId="0" applyNumberFormat="1" applyFont="1" applyFill="1" applyBorder="1"/>
    <xf numFmtId="164" fontId="2" fillId="2" borderId="0" xfId="0" applyNumberFormat="1" applyFont="1" applyFill="1"/>
    <xf numFmtId="164" fontId="7" fillId="2" borderId="2" xfId="1" applyNumberFormat="1" applyFont="1" applyFill="1" applyBorder="1" applyAlignment="1">
      <alignment vertical="center" wrapText="1"/>
    </xf>
    <xf numFmtId="0" fontId="8" fillId="2" borderId="0" xfId="0" applyFont="1" applyFill="1" applyAlignment="1">
      <alignment horizontal="right"/>
    </xf>
    <xf numFmtId="0" fontId="8" fillId="5" borderId="0" xfId="0" applyFont="1" applyFill="1"/>
    <xf numFmtId="0" fontId="14" fillId="2" borderId="0" xfId="0" applyFont="1" applyFill="1"/>
    <xf numFmtId="0" fontId="8" fillId="2" borderId="2" xfId="0" applyFont="1" applyFill="1" applyBorder="1"/>
    <xf numFmtId="3" fontId="8" fillId="2" borderId="0" xfId="0" applyNumberFormat="1" applyFont="1" applyFill="1"/>
    <xf numFmtId="3" fontId="11" fillId="2" borderId="2" xfId="0" applyNumberFormat="1" applyFont="1" applyFill="1" applyBorder="1"/>
    <xf numFmtId="0" fontId="8" fillId="7" borderId="0" xfId="0" applyFont="1" applyFill="1"/>
    <xf numFmtId="0" fontId="8" fillId="6" borderId="0" xfId="0" applyFont="1" applyFill="1"/>
    <xf numFmtId="0" fontId="15" fillId="6" borderId="0" xfId="0" applyFont="1" applyFill="1"/>
    <xf numFmtId="0" fontId="16" fillId="6" borderId="0" xfId="0" applyFont="1" applyFill="1"/>
    <xf numFmtId="0" fontId="14" fillId="5" borderId="0" xfId="0" applyFont="1" applyFill="1"/>
    <xf numFmtId="0" fontId="11" fillId="5" borderId="0" xfId="0" applyFont="1" applyFill="1"/>
    <xf numFmtId="0" fontId="8" fillId="5" borderId="7" xfId="0" applyFont="1" applyFill="1" applyBorder="1"/>
    <xf numFmtId="0" fontId="8" fillId="2" borderId="7" xfId="0" applyFont="1" applyFill="1" applyBorder="1"/>
    <xf numFmtId="0" fontId="11" fillId="5" borderId="7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8" fillId="2" borderId="8" xfId="0" applyFont="1" applyFill="1" applyBorder="1"/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18" fillId="6" borderId="1" xfId="0" applyFont="1" applyFill="1" applyBorder="1" applyAlignment="1">
      <alignment horizontal="centerContinuous"/>
    </xf>
    <xf numFmtId="0" fontId="18" fillId="6" borderId="2" xfId="0" applyFont="1" applyFill="1" applyBorder="1" applyAlignment="1">
      <alignment horizontal="centerContinuous"/>
    </xf>
    <xf numFmtId="0" fontId="18" fillId="6" borderId="3" xfId="0" applyFont="1" applyFill="1" applyBorder="1" applyAlignment="1">
      <alignment horizontal="centerContinuous"/>
    </xf>
    <xf numFmtId="0" fontId="18" fillId="6" borderId="4" xfId="0" applyFont="1" applyFill="1" applyBorder="1" applyAlignment="1">
      <alignment horizontal="center"/>
    </xf>
    <xf numFmtId="0" fontId="18" fillId="6" borderId="5" xfId="0" applyFont="1" applyFill="1" applyBorder="1" applyAlignment="1">
      <alignment horizontal="center"/>
    </xf>
    <xf numFmtId="0" fontId="18" fillId="6" borderId="6" xfId="0" applyFont="1" applyFill="1" applyBorder="1" applyAlignment="1">
      <alignment horizontal="center" wrapText="1"/>
    </xf>
    <xf numFmtId="165" fontId="13" fillId="2" borderId="0" xfId="0" applyNumberFormat="1" applyFont="1" applyFill="1"/>
    <xf numFmtId="14" fontId="13" fillId="2" borderId="8" xfId="0" applyNumberFormat="1" applyFont="1" applyFill="1" applyBorder="1"/>
    <xf numFmtId="0" fontId="13" fillId="2" borderId="1" xfId="0" applyFont="1" applyFill="1" applyBorder="1"/>
    <xf numFmtId="0" fontId="13" fillId="2" borderId="2" xfId="0" applyFont="1" applyFill="1" applyBorder="1" applyAlignment="1">
      <alignment horizontal="center"/>
    </xf>
    <xf numFmtId="0" fontId="13" fillId="2" borderId="2" xfId="0" applyFont="1" applyFill="1" applyBorder="1"/>
    <xf numFmtId="0" fontId="13" fillId="2" borderId="3" xfId="0" applyFont="1" applyFill="1" applyBorder="1"/>
    <xf numFmtId="0" fontId="13" fillId="2" borderId="0" xfId="0" applyFont="1" applyFill="1" applyAlignment="1">
      <alignment horizontal="center"/>
    </xf>
    <xf numFmtId="0" fontId="13" fillId="2" borderId="4" xfId="0" applyFont="1" applyFill="1" applyBorder="1"/>
    <xf numFmtId="0" fontId="13" fillId="2" borderId="5" xfId="0" applyFont="1" applyFill="1" applyBorder="1" applyAlignment="1">
      <alignment horizontal="center"/>
    </xf>
    <xf numFmtId="0" fontId="13" fillId="2" borderId="5" xfId="0" applyFont="1" applyFill="1" applyBorder="1"/>
    <xf numFmtId="0" fontId="13" fillId="2" borderId="6" xfId="0" applyFont="1" applyFill="1" applyBorder="1"/>
    <xf numFmtId="42" fontId="13" fillId="2" borderId="0" xfId="0" applyNumberFormat="1" applyFont="1" applyFill="1" applyAlignment="1">
      <alignment horizontal="center"/>
    </xf>
    <xf numFmtId="42" fontId="13" fillId="2" borderId="5" xfId="0" applyNumberFormat="1" applyFont="1" applyFill="1" applyBorder="1" applyAlignment="1">
      <alignment horizontal="center"/>
    </xf>
    <xf numFmtId="0" fontId="17" fillId="2" borderId="5" xfId="0" applyFont="1" applyFill="1" applyBorder="1"/>
    <xf numFmtId="0" fontId="17" fillId="2" borderId="6" xfId="0" applyFont="1" applyFill="1" applyBorder="1"/>
    <xf numFmtId="0" fontId="6" fillId="2" borderId="4" xfId="0" applyFont="1" applyFill="1" applyBorder="1"/>
    <xf numFmtId="0" fontId="6" fillId="2" borderId="7" xfId="0" applyFont="1" applyFill="1" applyBorder="1"/>
    <xf numFmtId="41" fontId="12" fillId="4" borderId="20" xfId="0" applyNumberFormat="1" applyFont="1" applyFill="1" applyBorder="1"/>
    <xf numFmtId="0" fontId="8" fillId="6" borderId="3" xfId="0" applyFont="1" applyFill="1" applyBorder="1"/>
    <xf numFmtId="3" fontId="12" fillId="4" borderId="20" xfId="0" applyNumberFormat="1" applyFont="1" applyFill="1" applyBorder="1"/>
    <xf numFmtId="10" fontId="8" fillId="2" borderId="8" xfId="0" applyNumberFormat="1" applyFont="1" applyFill="1" applyBorder="1"/>
    <xf numFmtId="0" fontId="8" fillId="2" borderId="0" xfId="0" applyFont="1" applyFill="1" applyAlignment="1">
      <alignment horizontal="center"/>
    </xf>
    <xf numFmtId="2" fontId="8" fillId="2" borderId="8" xfId="0" applyNumberFormat="1" applyFont="1" applyFill="1" applyBorder="1"/>
    <xf numFmtId="10" fontId="12" fillId="4" borderId="21" xfId="2" applyNumberFormat="1" applyFont="1" applyFill="1" applyBorder="1"/>
    <xf numFmtId="9" fontId="8" fillId="2" borderId="0" xfId="0" applyNumberFormat="1" applyFont="1" applyFill="1"/>
    <xf numFmtId="0" fontId="8" fillId="8" borderId="0" xfId="0" applyFont="1" applyFill="1"/>
    <xf numFmtId="3" fontId="8" fillId="2" borderId="8" xfId="0" applyNumberFormat="1" applyFont="1" applyFill="1" applyBorder="1"/>
    <xf numFmtId="0" fontId="11" fillId="2" borderId="4" xfId="0" applyFont="1" applyFill="1" applyBorder="1"/>
    <xf numFmtId="0" fontId="15" fillId="6" borderId="7" xfId="0" applyFont="1" applyFill="1" applyBorder="1"/>
    <xf numFmtId="9" fontId="8" fillId="2" borderId="0" xfId="2" applyFont="1" applyFill="1"/>
    <xf numFmtId="10" fontId="8" fillId="2" borderId="0" xfId="2" applyNumberFormat="1" applyFont="1" applyFill="1"/>
    <xf numFmtId="10" fontId="8" fillId="2" borderId="7" xfId="0" applyNumberFormat="1" applyFont="1" applyFill="1" applyBorder="1"/>
    <xf numFmtId="10" fontId="8" fillId="2" borderId="0" xfId="0" applyNumberFormat="1" applyFont="1" applyFill="1"/>
    <xf numFmtId="0" fontId="8" fillId="8" borderId="0" xfId="0" applyFont="1" applyFill="1" applyAlignment="1">
      <alignment horizontal="center"/>
    </xf>
    <xf numFmtId="0" fontId="8" fillId="8" borderId="7" xfId="0" applyFont="1" applyFill="1" applyBorder="1"/>
    <xf numFmtId="0" fontId="22" fillId="9" borderId="0" xfId="3"/>
    <xf numFmtId="0" fontId="17" fillId="2" borderId="0" xfId="0" applyFont="1" applyFill="1"/>
    <xf numFmtId="0" fontId="4" fillId="10" borderId="2" xfId="0" applyFont="1" applyFill="1" applyBorder="1"/>
    <xf numFmtId="0" fontId="4" fillId="2" borderId="0" xfId="0" applyFont="1" applyFill="1"/>
    <xf numFmtId="0" fontId="18" fillId="10" borderId="0" xfId="0" applyFont="1" applyFill="1"/>
    <xf numFmtId="0" fontId="23" fillId="2" borderId="0" xfId="0" applyFont="1" applyFill="1"/>
    <xf numFmtId="0" fontId="12" fillId="2" borderId="0" xfId="0" applyFont="1" applyFill="1" applyAlignment="1">
      <alignment horizontal="center"/>
    </xf>
    <xf numFmtId="0" fontId="12" fillId="2" borderId="7" xfId="0" applyFont="1" applyFill="1" applyBorder="1" applyAlignment="1">
      <alignment horizontal="center"/>
    </xf>
    <xf numFmtId="43" fontId="13" fillId="5" borderId="20" xfId="1" applyFont="1" applyFill="1" applyBorder="1"/>
    <xf numFmtId="43" fontId="13" fillId="5" borderId="22" xfId="1" applyFont="1" applyFill="1" applyBorder="1" applyAlignment="1">
      <alignment horizontal="center"/>
    </xf>
    <xf numFmtId="166" fontId="13" fillId="5" borderId="0" xfId="1" applyNumberFormat="1" applyFont="1" applyFill="1" applyBorder="1" applyAlignment="1">
      <alignment horizontal="center"/>
    </xf>
    <xf numFmtId="43" fontId="13" fillId="2" borderId="1" xfId="1" applyFont="1" applyFill="1" applyBorder="1"/>
    <xf numFmtId="43" fontId="13" fillId="2" borderId="2" xfId="1" applyFont="1" applyFill="1" applyBorder="1" applyAlignment="1">
      <alignment horizontal="center"/>
    </xf>
    <xf numFmtId="43" fontId="13" fillId="2" borderId="2" xfId="1" applyFont="1" applyFill="1" applyBorder="1"/>
    <xf numFmtId="164" fontId="13" fillId="2" borderId="2" xfId="1" applyNumberFormat="1" applyFont="1" applyFill="1" applyBorder="1"/>
    <xf numFmtId="166" fontId="13" fillId="2" borderId="2" xfId="1" applyNumberFormat="1" applyFont="1" applyFill="1" applyBorder="1" applyAlignment="1">
      <alignment horizontal="center"/>
    </xf>
    <xf numFmtId="166" fontId="13" fillId="2" borderId="2" xfId="1" applyNumberFormat="1" applyFont="1" applyFill="1" applyBorder="1"/>
    <xf numFmtId="43" fontId="13" fillId="2" borderId="0" xfId="1" applyFont="1" applyFill="1" applyBorder="1" applyAlignment="1">
      <alignment horizontal="center"/>
    </xf>
    <xf numFmtId="44" fontId="13" fillId="2" borderId="0" xfId="1" applyNumberFormat="1" applyFont="1" applyFill="1" applyBorder="1"/>
    <xf numFmtId="43" fontId="13" fillId="2" borderId="0" xfId="1" applyFont="1" applyFill="1" applyBorder="1"/>
    <xf numFmtId="37" fontId="13" fillId="2" borderId="0" xfId="0" applyNumberFormat="1" applyFont="1" applyFill="1"/>
    <xf numFmtId="164" fontId="13" fillId="2" borderId="0" xfId="1" applyNumberFormat="1" applyFont="1" applyFill="1" applyBorder="1"/>
    <xf numFmtId="166" fontId="13" fillId="2" borderId="0" xfId="1" applyNumberFormat="1" applyFont="1" applyFill="1" applyBorder="1" applyAlignment="1">
      <alignment horizontal="center"/>
    </xf>
    <xf numFmtId="166" fontId="13" fillId="2" borderId="0" xfId="1" applyNumberFormat="1" applyFont="1" applyFill="1" applyBorder="1"/>
    <xf numFmtId="2" fontId="13" fillId="2" borderId="0" xfId="0" applyNumberFormat="1" applyFont="1" applyFill="1"/>
    <xf numFmtId="0" fontId="13" fillId="2" borderId="0" xfId="1" applyNumberFormat="1" applyFont="1" applyFill="1" applyBorder="1"/>
    <xf numFmtId="0" fontId="17" fillId="2" borderId="0" xfId="0" applyFont="1" applyFill="1" applyAlignment="1">
      <alignment horizontal="center"/>
    </xf>
    <xf numFmtId="43" fontId="13" fillId="2" borderId="0" xfId="1" applyFont="1" applyFill="1" applyBorder="1" applyAlignment="1"/>
    <xf numFmtId="167" fontId="13" fillId="2" borderId="0" xfId="1" applyNumberFormat="1" applyFont="1" applyFill="1" applyBorder="1"/>
    <xf numFmtId="2" fontId="13" fillId="2" borderId="2" xfId="0" applyNumberFormat="1" applyFont="1" applyFill="1" applyBorder="1"/>
    <xf numFmtId="167" fontId="24" fillId="2" borderId="0" xfId="0" applyNumberFormat="1" applyFont="1" applyFill="1"/>
    <xf numFmtId="2" fontId="13" fillId="5" borderId="0" xfId="0" applyNumberFormat="1" applyFont="1" applyFill="1"/>
    <xf numFmtId="4" fontId="13" fillId="2" borderId="0" xfId="0" applyNumberFormat="1" applyFont="1" applyFill="1"/>
    <xf numFmtId="3" fontId="13" fillId="2" borderId="5" xfId="0" applyNumberFormat="1" applyFont="1" applyFill="1" applyBorder="1"/>
    <xf numFmtId="2" fontId="13" fillId="2" borderId="5" xfId="0" applyNumberFormat="1" applyFont="1" applyFill="1" applyBorder="1"/>
    <xf numFmtId="2" fontId="12" fillId="2" borderId="5" xfId="0" applyNumberFormat="1" applyFont="1" applyFill="1" applyBorder="1"/>
    <xf numFmtId="3" fontId="13" fillId="2" borderId="0" xfId="0" applyNumberFormat="1" applyFont="1" applyFill="1"/>
    <xf numFmtId="166" fontId="13" fillId="2" borderId="0" xfId="0" applyNumberFormat="1" applyFont="1" applyFill="1"/>
    <xf numFmtId="0" fontId="12" fillId="2" borderId="1" xfId="0" applyFont="1" applyFill="1" applyBorder="1"/>
    <xf numFmtId="167" fontId="24" fillId="2" borderId="2" xfId="0" applyNumberFormat="1" applyFont="1" applyFill="1" applyBorder="1"/>
    <xf numFmtId="0" fontId="12" fillId="2" borderId="2" xfId="0" applyFont="1" applyFill="1" applyBorder="1"/>
    <xf numFmtId="0" fontId="13" fillId="7" borderId="2" xfId="0" applyFont="1" applyFill="1" applyBorder="1"/>
    <xf numFmtId="43" fontId="13" fillId="2" borderId="0" xfId="0" applyNumberFormat="1" applyFont="1" applyFill="1"/>
    <xf numFmtId="43" fontId="13" fillId="7" borderId="0" xfId="0" applyNumberFormat="1" applyFont="1" applyFill="1"/>
    <xf numFmtId="43" fontId="13" fillId="7" borderId="2" xfId="0" applyNumberFormat="1" applyFont="1" applyFill="1" applyBorder="1"/>
    <xf numFmtId="0" fontId="17" fillId="2" borderId="2" xfId="0" applyFont="1" applyFill="1" applyBorder="1"/>
    <xf numFmtId="0" fontId="17" fillId="2" borderId="3" xfId="0" applyFont="1" applyFill="1" applyBorder="1"/>
    <xf numFmtId="166" fontId="13" fillId="7" borderId="0" xfId="0" applyNumberFormat="1" applyFont="1" applyFill="1"/>
    <xf numFmtId="0" fontId="17" fillId="2" borderId="8" xfId="0" applyFont="1" applyFill="1" applyBorder="1"/>
    <xf numFmtId="43" fontId="12" fillId="7" borderId="0" xfId="0" applyNumberFormat="1" applyFont="1" applyFill="1"/>
    <xf numFmtId="4" fontId="13" fillId="2" borderId="5" xfId="0" applyNumberFormat="1" applyFont="1" applyFill="1" applyBorder="1"/>
    <xf numFmtId="43" fontId="13" fillId="7" borderId="5" xfId="0" applyNumberFormat="1" applyFont="1" applyFill="1" applyBorder="1"/>
    <xf numFmtId="43" fontId="13" fillId="2" borderId="5" xfId="1" applyFont="1" applyFill="1" applyBorder="1"/>
    <xf numFmtId="43" fontId="13" fillId="2" borderId="5" xfId="1" applyFont="1" applyFill="1" applyBorder="1" applyAlignment="1"/>
    <xf numFmtId="164" fontId="13" fillId="2" borderId="5" xfId="1" applyNumberFormat="1" applyFont="1" applyFill="1" applyBorder="1"/>
    <xf numFmtId="167" fontId="13" fillId="2" borderId="5" xfId="1" applyNumberFormat="1" applyFont="1" applyFill="1" applyBorder="1"/>
    <xf numFmtId="167" fontId="13" fillId="7" borderId="5" xfId="1" applyNumberFormat="1" applyFont="1" applyFill="1" applyBorder="1"/>
    <xf numFmtId="43" fontId="12" fillId="2" borderId="0" xfId="1" applyFont="1" applyFill="1" applyBorder="1"/>
    <xf numFmtId="43" fontId="12" fillId="2" borderId="0" xfId="0" applyNumberFormat="1" applyFont="1" applyFill="1"/>
    <xf numFmtId="168" fontId="17" fillId="2" borderId="0" xfId="0" applyNumberFormat="1" applyFont="1" applyFill="1"/>
    <xf numFmtId="43" fontId="17" fillId="2" borderId="0" xfId="0" applyNumberFormat="1" applyFont="1" applyFill="1"/>
    <xf numFmtId="2" fontId="17" fillId="2" borderId="0" xfId="0" applyNumberFormat="1" applyFont="1" applyFill="1"/>
    <xf numFmtId="2" fontId="25" fillId="2" borderId="0" xfId="0" applyNumberFormat="1" applyFont="1" applyFill="1"/>
    <xf numFmtId="0" fontId="25" fillId="2" borderId="0" xfId="0" applyFont="1" applyFill="1"/>
    <xf numFmtId="9" fontId="17" fillId="2" borderId="0" xfId="0" applyNumberFormat="1" applyFont="1" applyFill="1"/>
    <xf numFmtId="166" fontId="13" fillId="11" borderId="0" xfId="1" applyNumberFormat="1" applyFont="1" applyFill="1" applyBorder="1" applyAlignment="1">
      <alignment horizontal="center"/>
    </xf>
    <xf numFmtId="43" fontId="17" fillId="2" borderId="0" xfId="2" applyNumberFormat="1" applyFont="1" applyFill="1" applyBorder="1"/>
    <xf numFmtId="0" fontId="8" fillId="3" borderId="0" xfId="0" applyFont="1" applyFill="1"/>
    <xf numFmtId="0" fontId="15" fillId="3" borderId="0" xfId="0" applyFont="1" applyFill="1"/>
    <xf numFmtId="0" fontId="15" fillId="3" borderId="1" xfId="0" applyFont="1" applyFill="1" applyBorder="1"/>
    <xf numFmtId="0" fontId="16" fillId="3" borderId="3" xfId="0" applyFont="1" applyFill="1" applyBorder="1"/>
    <xf numFmtId="0" fontId="14" fillId="2" borderId="0" xfId="0" applyFont="1" applyFill="1" applyAlignment="1">
      <alignment horizontal="left" indent="1"/>
    </xf>
    <xf numFmtId="0" fontId="11" fillId="0" borderId="0" xfId="0" applyFont="1"/>
    <xf numFmtId="0" fontId="15" fillId="2" borderId="0" xfId="0" applyFont="1" applyFill="1"/>
    <xf numFmtId="0" fontId="26" fillId="2" borderId="0" xfId="0" applyFont="1" applyFill="1"/>
    <xf numFmtId="0" fontId="27" fillId="2" borderId="0" xfId="0" applyFont="1" applyFill="1"/>
    <xf numFmtId="2" fontId="8" fillId="2" borderId="0" xfId="0" applyNumberFormat="1" applyFont="1" applyFill="1"/>
    <xf numFmtId="3" fontId="8" fillId="0" borderId="0" xfId="0" applyNumberFormat="1" applyFont="1"/>
    <xf numFmtId="10" fontId="8" fillId="0" borderId="0" xfId="0" applyNumberFormat="1" applyFont="1"/>
    <xf numFmtId="170" fontId="8" fillId="0" borderId="0" xfId="0" applyNumberFormat="1" applyFont="1"/>
    <xf numFmtId="0" fontId="8" fillId="0" borderId="7" xfId="0" applyFont="1" applyBorder="1"/>
    <xf numFmtId="3" fontId="8" fillId="0" borderId="7" xfId="0" applyNumberFormat="1" applyFont="1" applyBorder="1"/>
    <xf numFmtId="0" fontId="17" fillId="0" borderId="0" xfId="0" applyFont="1"/>
    <xf numFmtId="9" fontId="8" fillId="0" borderId="0" xfId="0" applyNumberFormat="1" applyFont="1"/>
    <xf numFmtId="0" fontId="8" fillId="11" borderId="0" xfId="0" applyFont="1" applyFill="1"/>
    <xf numFmtId="169" fontId="11" fillId="2" borderId="0" xfId="2" applyNumberFormat="1" applyFont="1" applyFill="1"/>
    <xf numFmtId="0" fontId="15" fillId="11" borderId="0" xfId="0" applyFont="1" applyFill="1"/>
    <xf numFmtId="0" fontId="27" fillId="11" borderId="0" xfId="0" applyFont="1" applyFill="1"/>
    <xf numFmtId="0" fontId="26" fillId="11" borderId="0" xfId="0" applyFont="1" applyFill="1"/>
    <xf numFmtId="2" fontId="8" fillId="11" borderId="0" xfId="0" applyNumberFormat="1" applyFont="1" applyFill="1"/>
    <xf numFmtId="3" fontId="8" fillId="11" borderId="0" xfId="0" applyNumberFormat="1" applyFont="1" applyFill="1"/>
    <xf numFmtId="0" fontId="14" fillId="11" borderId="0" xfId="0" applyFont="1" applyFill="1"/>
    <xf numFmtId="10" fontId="8" fillId="11" borderId="0" xfId="2" applyNumberFormat="1" applyFont="1" applyFill="1"/>
    <xf numFmtId="10" fontId="8" fillId="11" borderId="0" xfId="0" applyNumberFormat="1" applyFont="1" applyFill="1"/>
    <xf numFmtId="9" fontId="8" fillId="11" borderId="0" xfId="2" applyFont="1" applyFill="1"/>
    <xf numFmtId="169" fontId="8" fillId="0" borderId="0" xfId="2" applyNumberFormat="1" applyFont="1"/>
    <xf numFmtId="169" fontId="8" fillId="0" borderId="0" xfId="0" applyNumberFormat="1" applyFont="1"/>
    <xf numFmtId="4" fontId="8" fillId="0" borderId="0" xfId="0" applyNumberFormat="1" applyFont="1"/>
    <xf numFmtId="3" fontId="11" fillId="0" borderId="0" xfId="0" applyNumberFormat="1" applyFont="1"/>
    <xf numFmtId="166" fontId="8" fillId="0" borderId="0" xfId="0" applyNumberFormat="1" applyFont="1"/>
    <xf numFmtId="4" fontId="16" fillId="0" borderId="0" xfId="0" applyNumberFormat="1" applyFont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28" fillId="12" borderId="12" xfId="0" applyFont="1" applyFill="1" applyBorder="1"/>
    <xf numFmtId="0" fontId="28" fillId="12" borderId="0" xfId="0" applyFont="1" applyFill="1"/>
    <xf numFmtId="0" fontId="28" fillId="12" borderId="13" xfId="0" applyFont="1" applyFill="1" applyBorder="1"/>
    <xf numFmtId="0" fontId="13" fillId="0" borderId="12" xfId="0" applyFont="1" applyBorder="1"/>
    <xf numFmtId="0" fontId="13" fillId="0" borderId="0" xfId="0" applyFont="1"/>
    <xf numFmtId="0" fontId="13" fillId="0" borderId="13" xfId="0" applyFont="1" applyBorder="1"/>
    <xf numFmtId="44" fontId="13" fillId="0" borderId="0" xfId="0" applyNumberFormat="1" applyFont="1"/>
    <xf numFmtId="44" fontId="13" fillId="0" borderId="13" xfId="0" applyNumberFormat="1" applyFont="1" applyBorder="1"/>
    <xf numFmtId="0" fontId="13" fillId="0" borderId="17" xfId="0" applyFont="1" applyBorder="1"/>
    <xf numFmtId="44" fontId="13" fillId="0" borderId="18" xfId="0" applyNumberFormat="1" applyFont="1" applyBorder="1"/>
    <xf numFmtId="44" fontId="13" fillId="0" borderId="19" xfId="0" applyNumberFormat="1" applyFont="1" applyBorder="1"/>
    <xf numFmtId="4" fontId="13" fillId="0" borderId="0" xfId="0" applyNumberFormat="1" applyFont="1"/>
    <xf numFmtId="4" fontId="13" fillId="0" borderId="13" xfId="0" applyNumberFormat="1" applyFont="1" applyBorder="1"/>
    <xf numFmtId="44" fontId="17" fillId="0" borderId="0" xfId="0" applyNumberFormat="1" applyFont="1"/>
    <xf numFmtId="9" fontId="17" fillId="0" borderId="0" xfId="0" applyNumberFormat="1" applyFont="1"/>
    <xf numFmtId="10" fontId="25" fillId="0" borderId="0" xfId="2" applyNumberFormat="1" applyFont="1"/>
    <xf numFmtId="44" fontId="25" fillId="0" borderId="0" xfId="0" applyNumberFormat="1" applyFont="1"/>
    <xf numFmtId="171" fontId="8" fillId="0" borderId="0" xfId="0" applyNumberFormat="1" applyFont="1"/>
    <xf numFmtId="14" fontId="0" fillId="0" borderId="0" xfId="0" applyNumberFormat="1"/>
    <xf numFmtId="3" fontId="0" fillId="0" borderId="0" xfId="0" applyNumberFormat="1"/>
    <xf numFmtId="171" fontId="8" fillId="2" borderId="0" xfId="0" applyNumberFormat="1" applyFont="1" applyFill="1"/>
    <xf numFmtId="8" fontId="17" fillId="0" borderId="0" xfId="0" applyNumberFormat="1" applyFont="1"/>
    <xf numFmtId="44" fontId="8" fillId="2" borderId="0" xfId="0" applyNumberFormat="1" applyFont="1" applyFill="1"/>
    <xf numFmtId="1" fontId="8" fillId="2" borderId="0" xfId="0" applyNumberFormat="1" applyFont="1" applyFill="1"/>
    <xf numFmtId="169" fontId="17" fillId="0" borderId="0" xfId="0" applyNumberFormat="1" applyFont="1"/>
    <xf numFmtId="172" fontId="8" fillId="2" borderId="0" xfId="0" applyNumberFormat="1" applyFont="1" applyFill="1"/>
    <xf numFmtId="169" fontId="8" fillId="0" borderId="0" xfId="2" applyNumberFormat="1" applyFont="1" applyBorder="1"/>
    <xf numFmtId="3" fontId="8" fillId="0" borderId="2" xfId="0" applyNumberFormat="1" applyFont="1" applyBorder="1"/>
    <xf numFmtId="172" fontId="8" fillId="0" borderId="0" xfId="0" applyNumberFormat="1" applyFont="1"/>
    <xf numFmtId="0" fontId="14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8" fillId="0" borderId="7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3" fontId="8" fillId="0" borderId="2" xfId="0" applyNumberFormat="1" applyFont="1" applyBorder="1" applyAlignment="1">
      <alignment horizontal="center"/>
    </xf>
    <xf numFmtId="172" fontId="8" fillId="0" borderId="0" xfId="0" applyNumberFormat="1" applyFont="1" applyAlignment="1">
      <alignment horizontal="center"/>
    </xf>
    <xf numFmtId="3" fontId="8" fillId="2" borderId="7" xfId="0" applyNumberFormat="1" applyFont="1" applyFill="1" applyBorder="1"/>
    <xf numFmtId="3" fontId="8" fillId="2" borderId="2" xfId="0" applyNumberFormat="1" applyFont="1" applyFill="1" applyBorder="1"/>
    <xf numFmtId="10" fontId="8" fillId="2" borderId="4" xfId="0" applyNumberFormat="1" applyFont="1" applyFill="1" applyBorder="1"/>
    <xf numFmtId="172" fontId="8" fillId="2" borderId="2" xfId="0" applyNumberFormat="1" applyFont="1" applyFill="1" applyBorder="1"/>
    <xf numFmtId="3" fontId="11" fillId="2" borderId="0" xfId="0" applyNumberFormat="1" applyFont="1" applyFill="1"/>
    <xf numFmtId="172" fontId="11" fillId="2" borderId="2" xfId="0" applyNumberFormat="1" applyFont="1" applyFill="1" applyBorder="1"/>
    <xf numFmtId="173" fontId="8" fillId="2" borderId="0" xfId="0" applyNumberFormat="1" applyFont="1" applyFill="1" applyAlignment="1">
      <alignment horizontal="left"/>
    </xf>
    <xf numFmtId="3" fontId="8" fillId="2" borderId="1" xfId="0" applyNumberFormat="1" applyFont="1" applyFill="1" applyBorder="1"/>
    <xf numFmtId="173" fontId="8" fillId="2" borderId="0" xfId="0" applyNumberFormat="1" applyFont="1" applyFill="1"/>
    <xf numFmtId="0" fontId="14" fillId="0" borderId="0" xfId="0" applyFont="1"/>
    <xf numFmtId="3" fontId="11" fillId="0" borderId="2" xfId="0" applyNumberFormat="1" applyFont="1" applyBorder="1"/>
    <xf numFmtId="14" fontId="6" fillId="2" borderId="0" xfId="0" applyNumberFormat="1" applyFont="1" applyFill="1"/>
    <xf numFmtId="14" fontId="13" fillId="2" borderId="0" xfId="0" applyNumberFormat="1" applyFont="1" applyFill="1"/>
    <xf numFmtId="0" fontId="12" fillId="2" borderId="0" xfId="0" applyFont="1" applyFill="1"/>
    <xf numFmtId="0" fontId="12" fillId="2" borderId="8" xfId="0" applyFont="1" applyFill="1" applyBorder="1" applyAlignment="1">
      <alignment horizontal="center"/>
    </xf>
    <xf numFmtId="166" fontId="13" fillId="5" borderId="8" xfId="1" applyNumberFormat="1" applyFont="1" applyFill="1" applyBorder="1" applyAlignment="1">
      <alignment horizontal="center"/>
    </xf>
    <xf numFmtId="166" fontId="13" fillId="2" borderId="3" xfId="1" applyNumberFormat="1" applyFont="1" applyFill="1" applyBorder="1" applyAlignment="1">
      <alignment horizontal="center"/>
    </xf>
    <xf numFmtId="166" fontId="13" fillId="2" borderId="8" xfId="1" applyNumberFormat="1" applyFont="1" applyFill="1" applyBorder="1" applyAlignment="1">
      <alignment horizontal="center"/>
    </xf>
    <xf numFmtId="44" fontId="13" fillId="2" borderId="5" xfId="1" applyNumberFormat="1" applyFont="1" applyFill="1" applyBorder="1"/>
    <xf numFmtId="37" fontId="13" fillId="2" borderId="5" xfId="0" applyNumberFormat="1" applyFont="1" applyFill="1" applyBorder="1"/>
    <xf numFmtId="166" fontId="13" fillId="2" borderId="5" xfId="1" applyNumberFormat="1" applyFont="1" applyFill="1" applyBorder="1" applyAlignment="1">
      <alignment horizontal="center"/>
    </xf>
    <xf numFmtId="166" fontId="13" fillId="2" borderId="6" xfId="1" applyNumberFormat="1" applyFont="1" applyFill="1" applyBorder="1" applyAlignment="1">
      <alignment horizontal="center"/>
    </xf>
    <xf numFmtId="3" fontId="13" fillId="2" borderId="7" xfId="0" applyNumberFormat="1" applyFont="1" applyFill="1" applyBorder="1"/>
    <xf numFmtId="44" fontId="13" fillId="2" borderId="5" xfId="0" applyNumberFormat="1" applyFont="1" applyFill="1" applyBorder="1"/>
    <xf numFmtId="0" fontId="12" fillId="2" borderId="20" xfId="0" applyFont="1" applyFill="1" applyBorder="1"/>
    <xf numFmtId="43" fontId="13" fillId="2" borderId="22" xfId="1" applyFont="1" applyFill="1" applyBorder="1"/>
    <xf numFmtId="43" fontId="13" fillId="2" borderId="22" xfId="1" applyFont="1" applyFill="1" applyBorder="1" applyAlignment="1"/>
    <xf numFmtId="164" fontId="13" fillId="2" borderId="22" xfId="1" applyNumberFormat="1" applyFont="1" applyFill="1" applyBorder="1"/>
    <xf numFmtId="167" fontId="13" fillId="2" borderId="22" xfId="1" applyNumberFormat="1" applyFont="1" applyFill="1" applyBorder="1"/>
    <xf numFmtId="167" fontId="13" fillId="2" borderId="21" xfId="1" applyNumberFormat="1" applyFont="1" applyFill="1" applyBorder="1"/>
    <xf numFmtId="2" fontId="12" fillId="2" borderId="0" xfId="0" applyNumberFormat="1" applyFont="1" applyFill="1"/>
    <xf numFmtId="166" fontId="13" fillId="2" borderId="8" xfId="0" applyNumberFormat="1" applyFont="1" applyFill="1" applyBorder="1"/>
    <xf numFmtId="44" fontId="13" fillId="2" borderId="0" xfId="0" applyNumberFormat="1" applyFont="1" applyFill="1"/>
    <xf numFmtId="44" fontId="13" fillId="2" borderId="8" xfId="0" applyNumberFormat="1" applyFont="1" applyFill="1" applyBorder="1"/>
    <xf numFmtId="44" fontId="13" fillId="2" borderId="6" xfId="0" applyNumberFormat="1" applyFont="1" applyFill="1" applyBorder="1"/>
    <xf numFmtId="167" fontId="13" fillId="2" borderId="6" xfId="1" applyNumberFormat="1" applyFont="1" applyFill="1" applyBorder="1"/>
    <xf numFmtId="0" fontId="4" fillId="6" borderId="1" xfId="0" applyFont="1" applyFill="1" applyBorder="1"/>
    <xf numFmtId="0" fontId="4" fillId="6" borderId="2" xfId="0" applyFont="1" applyFill="1" applyBorder="1"/>
    <xf numFmtId="0" fontId="4" fillId="6" borderId="3" xfId="0" applyFont="1" applyFill="1" applyBorder="1"/>
    <xf numFmtId="0" fontId="23" fillId="6" borderId="7" xfId="0" applyFont="1" applyFill="1" applyBorder="1"/>
    <xf numFmtId="0" fontId="18" fillId="6" borderId="0" xfId="0" applyFont="1" applyFill="1"/>
    <xf numFmtId="0" fontId="18" fillId="6" borderId="8" xfId="0" applyFont="1" applyFill="1" applyBorder="1"/>
    <xf numFmtId="0" fontId="16" fillId="6" borderId="2" xfId="0" applyFont="1" applyFill="1" applyBorder="1"/>
    <xf numFmtId="0" fontId="16" fillId="6" borderId="3" xfId="0" applyFont="1" applyFill="1" applyBorder="1"/>
    <xf numFmtId="164" fontId="2" fillId="2" borderId="8" xfId="0" applyNumberFormat="1" applyFont="1" applyFill="1" applyBorder="1"/>
    <xf numFmtId="0" fontId="11" fillId="0" borderId="4" xfId="0" applyFont="1" applyBorder="1"/>
    <xf numFmtId="0" fontId="8" fillId="0" borderId="5" xfId="0" applyFont="1" applyBorder="1"/>
    <xf numFmtId="164" fontId="3" fillId="2" borderId="6" xfId="0" applyNumberFormat="1" applyFont="1" applyFill="1" applyBorder="1"/>
    <xf numFmtId="9" fontId="11" fillId="6" borderId="1" xfId="2" applyFont="1" applyFill="1" applyBorder="1"/>
    <xf numFmtId="9" fontId="11" fillId="6" borderId="2" xfId="2" applyFont="1" applyFill="1" applyBorder="1"/>
    <xf numFmtId="9" fontId="19" fillId="6" borderId="3" xfId="2" applyFont="1" applyFill="1" applyBorder="1"/>
    <xf numFmtId="44" fontId="8" fillId="0" borderId="0" xfId="0" applyNumberFormat="1" applyFont="1"/>
    <xf numFmtId="0" fontId="8" fillId="0" borderId="8" xfId="0" applyFont="1" applyBorder="1" applyAlignment="1">
      <alignment horizontal="center"/>
    </xf>
    <xf numFmtId="0" fontId="8" fillId="0" borderId="4" xfId="0" applyFont="1" applyBorder="1"/>
    <xf numFmtId="44" fontId="8" fillId="0" borderId="5" xfId="0" applyNumberFormat="1" applyFont="1" applyBorder="1"/>
    <xf numFmtId="0" fontId="8" fillId="0" borderId="6" xfId="0" applyFont="1" applyBorder="1" applyAlignment="1">
      <alignment horizontal="center"/>
    </xf>
    <xf numFmtId="10" fontId="8" fillId="2" borderId="8" xfId="2" applyNumberFormat="1" applyFont="1" applyFill="1" applyBorder="1"/>
    <xf numFmtId="10" fontId="8" fillId="2" borderId="7" xfId="2" applyNumberFormat="1" applyFont="1" applyFill="1" applyBorder="1"/>
    <xf numFmtId="0" fontId="15" fillId="0" borderId="0" xfId="0" applyFont="1"/>
    <xf numFmtId="3" fontId="11" fillId="0" borderId="0" xfId="0" applyNumberFormat="1" applyFont="1" applyAlignment="1">
      <alignment horizontal="center"/>
    </xf>
    <xf numFmtId="3" fontId="11" fillId="0" borderId="1" xfId="0" applyNumberFormat="1" applyFont="1" applyBorder="1" applyAlignment="1">
      <alignment horizontal="center"/>
    </xf>
    <xf numFmtId="3" fontId="11" fillId="0" borderId="2" xfId="0" applyNumberFormat="1" applyFont="1" applyBorder="1" applyAlignment="1">
      <alignment horizontal="center"/>
    </xf>
    <xf numFmtId="172" fontId="11" fillId="0" borderId="2" xfId="0" applyNumberFormat="1" applyFont="1" applyBorder="1" applyAlignment="1">
      <alignment horizontal="center"/>
    </xf>
    <xf numFmtId="3" fontId="8" fillId="0" borderId="8" xfId="0" applyNumberFormat="1" applyFont="1" applyBorder="1"/>
    <xf numFmtId="44" fontId="11" fillId="0" borderId="6" xfId="0" applyNumberFormat="1" applyFont="1" applyBorder="1"/>
    <xf numFmtId="0" fontId="15" fillId="6" borderId="8" xfId="0" applyFont="1" applyFill="1" applyBorder="1"/>
    <xf numFmtId="10" fontId="8" fillId="0" borderId="7" xfId="0" applyNumberFormat="1" applyFont="1" applyBorder="1"/>
    <xf numFmtId="10" fontId="8" fillId="0" borderId="8" xfId="0" applyNumberFormat="1" applyFont="1" applyBorder="1"/>
    <xf numFmtId="0" fontId="8" fillId="0" borderId="8" xfId="0" applyFont="1" applyBorder="1"/>
    <xf numFmtId="8" fontId="8" fillId="0" borderId="4" xfId="0" applyNumberFormat="1" applyFont="1" applyBorder="1"/>
    <xf numFmtId="8" fontId="8" fillId="0" borderId="5" xfId="0" applyNumberFormat="1" applyFont="1" applyBorder="1"/>
    <xf numFmtId="8" fontId="8" fillId="0" borderId="6" xfId="0" applyNumberFormat="1" applyFont="1" applyBorder="1"/>
    <xf numFmtId="0" fontId="4" fillId="3" borderId="1" xfId="0" applyFont="1" applyFill="1" applyBorder="1"/>
    <xf numFmtId="0" fontId="4" fillId="3" borderId="2" xfId="0" applyFont="1" applyFill="1" applyBorder="1"/>
    <xf numFmtId="0" fontId="4" fillId="3" borderId="3" xfId="0" applyFont="1" applyFill="1" applyBorder="1"/>
    <xf numFmtId="0" fontId="5" fillId="3" borderId="7" xfId="0" applyFont="1" applyFill="1" applyBorder="1"/>
    <xf numFmtId="0" fontId="5" fillId="3" borderId="0" xfId="0" applyFont="1" applyFill="1"/>
    <xf numFmtId="0" fontId="5" fillId="3" borderId="8" xfId="0" applyFont="1" applyFill="1" applyBorder="1"/>
    <xf numFmtId="0" fontId="6" fillId="2" borderId="0" xfId="0" applyFont="1" applyFill="1"/>
    <xf numFmtId="0" fontId="6" fillId="2" borderId="8" xfId="0" applyFont="1" applyFill="1" applyBorder="1"/>
    <xf numFmtId="0" fontId="3" fillId="5" borderId="7" xfId="0" applyFont="1" applyFill="1" applyBorder="1"/>
    <xf numFmtId="0" fontId="3" fillId="5" borderId="0" xfId="0" applyFont="1" applyFill="1"/>
    <xf numFmtId="0" fontId="8" fillId="5" borderId="8" xfId="0" applyFont="1" applyFill="1" applyBorder="1"/>
    <xf numFmtId="0" fontId="14" fillId="2" borderId="7" xfId="0" applyFont="1" applyFill="1" applyBorder="1"/>
    <xf numFmtId="0" fontId="8" fillId="2" borderId="7" xfId="0" applyFont="1" applyFill="1" applyBorder="1" applyAlignment="1">
      <alignment horizontal="left" indent="1"/>
    </xf>
    <xf numFmtId="0" fontId="11" fillId="2" borderId="7" xfId="0" applyFont="1" applyFill="1" applyBorder="1"/>
    <xf numFmtId="3" fontId="11" fillId="2" borderId="3" xfId="0" applyNumberFormat="1" applyFont="1" applyFill="1" applyBorder="1"/>
    <xf numFmtId="0" fontId="8" fillId="2" borderId="7" xfId="0" applyFont="1" applyFill="1" applyBorder="1" applyAlignment="1">
      <alignment horizontal="left"/>
    </xf>
    <xf numFmtId="0" fontId="8" fillId="2" borderId="3" xfId="0" applyFont="1" applyFill="1" applyBorder="1"/>
    <xf numFmtId="3" fontId="11" fillId="2" borderId="5" xfId="0" applyNumberFormat="1" applyFont="1" applyFill="1" applyBorder="1"/>
    <xf numFmtId="3" fontId="11" fillId="2" borderId="6" xfId="0" applyNumberFormat="1" applyFont="1" applyFill="1" applyBorder="1"/>
    <xf numFmtId="0" fontId="4" fillId="3" borderId="7" xfId="0" applyFont="1" applyFill="1" applyBorder="1"/>
    <xf numFmtId="0" fontId="4" fillId="3" borderId="0" xfId="0" applyFont="1" applyFill="1"/>
    <xf numFmtId="0" fontId="4" fillId="3" borderId="8" xfId="0" applyFont="1" applyFill="1" applyBorder="1"/>
    <xf numFmtId="0" fontId="2" fillId="2" borderId="7" xfId="0" applyFont="1" applyFill="1" applyBorder="1"/>
    <xf numFmtId="164" fontId="8" fillId="2" borderId="0" xfId="0" applyNumberFormat="1" applyFont="1" applyFill="1"/>
    <xf numFmtId="164" fontId="8" fillId="2" borderId="8" xfId="0" applyNumberFormat="1" applyFont="1" applyFill="1" applyBorder="1"/>
    <xf numFmtId="164" fontId="8" fillId="2" borderId="3" xfId="0" applyNumberFormat="1" applyFont="1" applyFill="1" applyBorder="1"/>
    <xf numFmtId="164" fontId="8" fillId="2" borderId="5" xfId="0" applyNumberFormat="1" applyFont="1" applyFill="1" applyBorder="1"/>
    <xf numFmtId="164" fontId="8" fillId="2" borderId="6" xfId="0" applyNumberFormat="1" applyFont="1" applyFill="1" applyBorder="1"/>
    <xf numFmtId="0" fontId="3" fillId="2" borderId="7" xfId="0" applyFont="1" applyFill="1" applyBorder="1"/>
    <xf numFmtId="3" fontId="3" fillId="2" borderId="0" xfId="0" applyNumberFormat="1" applyFont="1" applyFill="1"/>
    <xf numFmtId="0" fontId="8" fillId="2" borderId="7" xfId="0" applyFont="1" applyFill="1" applyBorder="1" applyAlignment="1">
      <alignment horizontal="left" indent="2"/>
    </xf>
    <xf numFmtId="0" fontId="29" fillId="2" borderId="7" xfId="0" applyFont="1" applyFill="1" applyBorder="1" applyAlignment="1">
      <alignment horizontal="left" indent="1"/>
    </xf>
    <xf numFmtId="0" fontId="11" fillId="5" borderId="23" xfId="0" applyFont="1" applyFill="1" applyBorder="1"/>
    <xf numFmtId="3" fontId="11" fillId="5" borderId="15" xfId="0" applyNumberFormat="1" applyFont="1" applyFill="1" applyBorder="1"/>
    <xf numFmtId="3" fontId="11" fillId="5" borderId="24" xfId="0" applyNumberFormat="1" applyFont="1" applyFill="1" applyBorder="1"/>
    <xf numFmtId="0" fontId="11" fillId="8" borderId="4" xfId="0" applyFont="1" applyFill="1" applyBorder="1"/>
    <xf numFmtId="3" fontId="11" fillId="8" borderId="5" xfId="0" applyNumberFormat="1" applyFont="1" applyFill="1" applyBorder="1"/>
    <xf numFmtId="3" fontId="11" fillId="8" borderId="6" xfId="0" applyNumberFormat="1" applyFont="1" applyFill="1" applyBorder="1"/>
    <xf numFmtId="0" fontId="15" fillId="6" borderId="1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171" fontId="8" fillId="2" borderId="0" xfId="0" applyNumberFormat="1" applyFont="1" applyFill="1" applyAlignment="1">
      <alignment horizontal="center"/>
    </xf>
    <xf numFmtId="0" fontId="11" fillId="2" borderId="5" xfId="0" applyFont="1" applyFill="1" applyBorder="1" applyAlignment="1">
      <alignment horizontal="center"/>
    </xf>
    <xf numFmtId="171" fontId="8" fillId="2" borderId="8" xfId="0" applyNumberFormat="1" applyFont="1" applyFill="1" applyBorder="1"/>
    <xf numFmtId="169" fontId="8" fillId="2" borderId="0" xfId="2" applyNumberFormat="1" applyFont="1" applyFill="1"/>
    <xf numFmtId="0" fontId="30" fillId="0" borderId="0" xfId="4"/>
    <xf numFmtId="0" fontId="31" fillId="0" borderId="25" xfId="5">
      <alignment wrapText="1"/>
    </xf>
    <xf numFmtId="0" fontId="32" fillId="0" borderId="0" xfId="0" applyFont="1"/>
    <xf numFmtId="0" fontId="33" fillId="0" borderId="0" xfId="0" applyFont="1"/>
    <xf numFmtId="0" fontId="34" fillId="0" borderId="0" xfId="6">
      <alignment horizontal="left"/>
    </xf>
    <xf numFmtId="0" fontId="35" fillId="0" borderId="0" xfId="0" applyFont="1" applyAlignment="1">
      <alignment horizontal="right"/>
    </xf>
    <xf numFmtId="0" fontId="0" fillId="0" borderId="0" xfId="0" applyAlignment="1">
      <alignment horizontal="left"/>
    </xf>
    <xf numFmtId="0" fontId="31" fillId="0" borderId="25" xfId="5" applyAlignment="1">
      <alignment horizontal="right"/>
    </xf>
    <xf numFmtId="0" fontId="31" fillId="0" borderId="26" xfId="7">
      <alignment wrapText="1"/>
    </xf>
    <xf numFmtId="0" fontId="0" fillId="0" borderId="27" xfId="8" applyFont="1">
      <alignment wrapText="1"/>
    </xf>
    <xf numFmtId="4" fontId="0" fillId="0" borderId="27" xfId="8" applyNumberFormat="1" applyFont="1" applyAlignment="1">
      <alignment horizontal="right" wrapText="1"/>
    </xf>
    <xf numFmtId="169" fontId="0" fillId="0" borderId="27" xfId="8" applyNumberFormat="1" applyFont="1" applyAlignment="1">
      <alignment horizontal="right" wrapText="1"/>
    </xf>
    <xf numFmtId="4" fontId="31" fillId="0" borderId="26" xfId="7" applyNumberFormat="1" applyAlignment="1">
      <alignment horizontal="right" wrapText="1"/>
    </xf>
    <xf numFmtId="169" fontId="31" fillId="0" borderId="26" xfId="7" applyNumberFormat="1" applyAlignment="1">
      <alignment horizontal="right" wrapText="1"/>
    </xf>
    <xf numFmtId="0" fontId="36" fillId="0" borderId="0" xfId="0" applyFont="1"/>
    <xf numFmtId="169" fontId="0" fillId="0" borderId="0" xfId="2" applyNumberFormat="1" applyFont="1"/>
    <xf numFmtId="0" fontId="8" fillId="2" borderId="17" xfId="0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9" fillId="6" borderId="15" xfId="0" applyFont="1" applyFill="1" applyBorder="1" applyAlignment="1">
      <alignment horizontal="center"/>
    </xf>
    <xf numFmtId="0" fontId="9" fillId="6" borderId="16" xfId="0" applyFont="1" applyFill="1" applyBorder="1" applyAlignment="1">
      <alignment horizontal="center"/>
    </xf>
    <xf numFmtId="0" fontId="10" fillId="5" borderId="14" xfId="0" applyFont="1" applyFill="1" applyBorder="1" applyAlignment="1">
      <alignment horizontal="center"/>
    </xf>
    <xf numFmtId="0" fontId="10" fillId="5" borderId="15" xfId="0" applyFont="1" applyFill="1" applyBorder="1" applyAlignment="1">
      <alignment horizontal="center"/>
    </xf>
    <xf numFmtId="0" fontId="10" fillId="5" borderId="16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13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0" fillId="0" borderId="0" xfId="0" applyAlignment="1"/>
    <xf numFmtId="44" fontId="15" fillId="6" borderId="0" xfId="0" applyNumberFormat="1" applyFont="1" applyFill="1"/>
  </cellXfs>
  <cellStyles count="10">
    <cellStyle name="blp_column_header" xfId="3" xr:uid="{7FEBC4A5-B6BC-40EE-8235-EF3E5E773FEB}"/>
    <cellStyle name="Body: normal cell" xfId="8" xr:uid="{16C81A1B-1D67-42E1-AD0A-48FD82A98064}"/>
    <cellStyle name="Comma" xfId="1" builtinId="3"/>
    <cellStyle name="Font: Calibri, 9pt regular" xfId="4" xr:uid="{439E7B9B-A58B-4F92-8D3E-07A60A01BA1C}"/>
    <cellStyle name="Footnotes: top row" xfId="9" xr:uid="{4F64279E-4870-47E2-8D06-4EA0274DA003}"/>
    <cellStyle name="Header: bottom row" xfId="5" xr:uid="{A7025748-082D-46F8-B39A-9546AC923DBD}"/>
    <cellStyle name="Normal" xfId="0" builtinId="0"/>
    <cellStyle name="Parent row" xfId="7" xr:uid="{0B12E604-219C-4B22-B997-0A6D62CA5D96}"/>
    <cellStyle name="Percent" xfId="2" builtinId="5"/>
    <cellStyle name="Table title" xfId="6" xr:uid="{97F1F78F-4E73-4692-8B65-F629B4496373}"/>
  </cellStyles>
  <dxfs count="0"/>
  <tableStyles count="0" defaultTableStyle="TableStyleMedium2" defaultPivotStyle="PivotStyleLight16"/>
  <colors>
    <mruColors>
      <color rgb="FF3762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
<Relationships xmlns="http://schemas.openxmlformats.org/package/2006/relationships"><Relationship Target="commentsmeta1" Type="http://customschemas.google.com/relationships/workbookmetadata" Id="rId1"></Relationship></Relationships>
</file>

<file path=xl/_rels/comments2.xml.rels><?xml version="1.0" encoding="UTF-8" standalone="yes"?>
<Relationships xmlns="http://schemas.openxmlformats.org/package/2006/relationships"><Relationship Target="commentsmeta2" Type="http://customschemas.google.com/relationships/workbookmetadata" Id="rId1"></Relationship></Relationships>
</file>

<file path=xl/_rels/comments3.xml.rels><?xml version="1.0" encoding="UTF-8" standalone="yes"?>
<Relationships xmlns="http://schemas.openxmlformats.org/package/2006/relationships"><Relationship Target="commentsmeta3" Type="http://customschemas.google.com/relationships/workbookmetadata" Id="rId1"></Relationship></Relationships>
</file>

<file path=xl/_rels/comments4.xml.rels><?xml version="1.0" encoding="UTF-8" standalone="yes"?>
<Relationships xmlns="http://schemas.openxmlformats.org/package/2006/relationships"><Relationship Target="commentsmeta4" Type="http://customschemas.google.com/relationships/workbookmetadata" Id="rId1"></Relationship></Relationships>
</file>

<file path=xl/_rels/comments5.xml.rels><?xml version="1.0" encoding="UTF-8" standalone="yes"?>
<Relationships xmlns="http://schemas.openxmlformats.org/package/2006/relationships"><Relationship Target="commentsmeta5" Type="http://customschemas.google.com/relationships/workbookmetadata" Id="rId1"></Relationship></Relationships>
</file>

<file path=xl/_rels/workbook.xml.rels><?xml version="1.0" encoding="UTF-8" standalone="yes"?>
<Relationships xmlns="http://schemas.openxmlformats.org/package/2006/relationships"><Relationship Type="http://schemas.openxmlformats.org/officeDocument/2006/relationships/worksheet" Target="worksheets/sheet8.xml" Id="rId8"></Relationship><Relationship Type="http://schemas.openxmlformats.org/officeDocument/2006/relationships/worksheet" Target="worksheets/sheet13.xml" Id="rId13"></Relationship><Relationship Type="http://schemas.openxmlformats.org/officeDocument/2006/relationships/worksheet" Target="worksheets/sheet18.xml" Id="rId18"></Relationship><Relationship Type="http://schemas.openxmlformats.org/officeDocument/2006/relationships/customXml" Target="../customXml/item1.xml" Id="rId26"></Relationship><Relationship Type="http://schemas.openxmlformats.org/officeDocument/2006/relationships/worksheet" Target="worksheets/sheet3.xml" Id="rId3"></Relationship><Relationship Type="http://schemas.openxmlformats.org/officeDocument/2006/relationships/externalLink" Target="externalLinks/externalLink1.xml" Id="rId21"></Relationship><Relationship Type="http://schemas.openxmlformats.org/officeDocument/2006/relationships/worksheet" Target="worksheets/sheet7.xml" Id="rId7"></Relationship><Relationship Type="http://schemas.openxmlformats.org/officeDocument/2006/relationships/worksheet" Target="worksheets/sheet12.xml" Id="rId12"></Relationship><Relationship Type="http://schemas.openxmlformats.org/officeDocument/2006/relationships/worksheet" Target="worksheets/sheet17.xml" Id="rId17"></Relationship><Relationship Type="http://schemas.openxmlformats.org/officeDocument/2006/relationships/calcChain" Target="calcChain.xml" Id="rId25"></Relationship><Relationship Type="http://schemas.openxmlformats.org/officeDocument/2006/relationships/worksheet" Target="worksheets/sheet2.xml" Id="rId2"></Relationship><Relationship Type="http://schemas.openxmlformats.org/officeDocument/2006/relationships/worksheet" Target="worksheets/sheet16.xml" Id="rId16"></Relationship><Relationship Type="http://schemas.openxmlformats.org/officeDocument/2006/relationships/worksheet" Target="worksheets/sheet20.xml" Id="rId20"></Relationship><Relationship Type="http://schemas.openxmlformats.org/officeDocument/2006/relationships/worksheet" Target="worksheets/sheet1.xml" Id="rId1"></Relationship><Relationship Type="http://schemas.openxmlformats.org/officeDocument/2006/relationships/worksheet" Target="worksheets/sheet6.xml" Id="rId6"></Relationship><Relationship Type="http://schemas.openxmlformats.org/officeDocument/2006/relationships/worksheet" Target="worksheets/sheet11.xml" Id="rId11"></Relationship><Relationship Type="http://schemas.openxmlformats.org/officeDocument/2006/relationships/sharedStrings" Target="sharedStrings.xml" Id="rId24"></Relationship><Relationship Type="http://schemas.openxmlformats.org/officeDocument/2006/relationships/worksheet" Target="worksheets/sheet5.xml" Id="rId5"></Relationship><Relationship Type="http://schemas.openxmlformats.org/officeDocument/2006/relationships/worksheet" Target="worksheets/sheet15.xml" Id="rId15"></Relationship><Relationship Type="http://schemas.openxmlformats.org/officeDocument/2006/relationships/styles" Target="styles.xml" Id="rId23"></Relationship><Relationship Type="http://schemas.openxmlformats.org/officeDocument/2006/relationships/customXml" Target="../customXml/item3.xml" Id="rId28"></Relationship><Relationship Type="http://schemas.openxmlformats.org/officeDocument/2006/relationships/worksheet" Target="worksheets/sheet10.xml" Id="rId10"></Relationship><Relationship Type="http://schemas.openxmlformats.org/officeDocument/2006/relationships/worksheet" Target="worksheets/sheet19.xml" Id="rId19"></Relationship><Relationship Type="http://schemas.openxmlformats.org/officeDocument/2006/relationships/worksheet" Target="worksheets/sheet4.xml" Id="rId4"></Relationship><Relationship Type="http://schemas.openxmlformats.org/officeDocument/2006/relationships/worksheet" Target="worksheets/sheet9.xml" Id="rId9"></Relationship><Relationship Type="http://schemas.openxmlformats.org/officeDocument/2006/relationships/worksheet" Target="worksheets/sheet14.xml" Id="rId14"></Relationship><Relationship Type="http://schemas.openxmlformats.org/officeDocument/2006/relationships/theme" Target="theme/theme1.xml" Id="rId22"></Relationship><Relationship Type="http://schemas.openxmlformats.org/officeDocument/2006/relationships/customXml" Target="../customXml/item2.xml" Id="rId27"></Relationship><Relationship Target="metadata" Type="http://customschemas.google.com/relationships/workbookmetadata" Id="rId29"></Relationship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Bull!$F$178:$F$185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Appreciate 30%</c:v>
                </c:pt>
                <c:pt idx="3">
                  <c:v>CoolCo Shares Appreciate 30%</c:v>
                </c:pt>
                <c:pt idx="4">
                  <c:v>Avenier LNG Shares Appreciate 30%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Bull!$G$178:$G$185</c:f>
              <c:numCache>
                <c:formatCode>General</c:formatCode>
                <c:ptCount val="8"/>
                <c:pt idx="1">
                  <c:v>40.817383182268983</c:v>
                </c:pt>
                <c:pt idx="2">
                  <c:v>45.529892225204229</c:v>
                </c:pt>
                <c:pt idx="3">
                  <c:v>51.482023999819447</c:v>
                </c:pt>
                <c:pt idx="4">
                  <c:v>53.062027748389383</c:v>
                </c:pt>
                <c:pt idx="5">
                  <c:v>53.638617090113222</c:v>
                </c:pt>
                <c:pt idx="6">
                  <c:v>15.30179406882503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9-4638-872C-EC65E922A4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Bull!$F$178:$F$185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Appreciate 30%</c:v>
                </c:pt>
                <c:pt idx="3">
                  <c:v>CoolCo Shares Appreciate 30%</c:v>
                </c:pt>
                <c:pt idx="4">
                  <c:v>Avenier LNG Shares Appreciate 30%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Bull!$H$178:$H$185</c:f>
              <c:numCache>
                <c:formatCode>General</c:formatCode>
                <c:ptCount val="8"/>
                <c:pt idx="6">
                  <c:v>15.30179406882503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9-4638-872C-EC65E922A4B5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Bull!$F$178:$F$185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Appreciate 30%</c:v>
                </c:pt>
                <c:pt idx="3">
                  <c:v>CoolCo Shares Appreciate 30%</c:v>
                </c:pt>
                <c:pt idx="4">
                  <c:v>Avenier LNG Shares Appreciate 30%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Bull!$I$178:$I$185</c:f>
              <c:numCache>
                <c:formatCode>_("$"* #,##0.00_);_("$"* \(#,##0.00\);_("$"* "-"??_);_(@_)</c:formatCode>
                <c:ptCount val="8"/>
                <c:pt idx="1">
                  <c:v>4.7125090429352445</c:v>
                </c:pt>
                <c:pt idx="2">
                  <c:v>5.9521317746152187</c:v>
                </c:pt>
                <c:pt idx="3">
                  <c:v>1.5800037485699381</c:v>
                </c:pt>
                <c:pt idx="4">
                  <c:v>0.57658934172384169</c:v>
                </c:pt>
                <c:pt idx="5">
                  <c:v>3.6960855238707802</c:v>
                </c:pt>
                <c:pt idx="6" formatCode="General">
                  <c:v>15.30179406882503</c:v>
                </c:pt>
                <c:pt idx="7">
                  <c:v>42.032908545158975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9-4638-872C-EC65E922A4B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Bull!$F$178:$F$185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Appreciate 30%</c:v>
                </c:pt>
                <c:pt idx="3">
                  <c:v>CoolCo Shares Appreciate 30%</c:v>
                </c:pt>
                <c:pt idx="4">
                  <c:v>Avenier LNG Shares Appreciate 30%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Bull!$J$178:$J$185</c:f>
              <c:numCache>
                <c:formatCode>General</c:formatCode>
                <c:ptCount val="8"/>
                <c:pt idx="0" formatCode="_(&quot;$&quot;* #,##0.00_);_(&quot;$&quot;* \(#,##0.00\);_(&quot;$&quot;* &quot;-&quot;??_);_(@_)">
                  <c:v>40.817383182268983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99-4638-872C-EC65E922A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642896"/>
        <c:axId val="1516813152"/>
      </c:barChart>
      <c:catAx>
        <c:axId val="14056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6813152"/>
        <c:crosses val="autoZero"/>
        <c:auto val="1"/>
        <c:lblAlgn val="ctr"/>
        <c:lblOffset val="100"/>
        <c:noMultiLvlLbl val="0"/>
      </c:catAx>
      <c:valAx>
        <c:axId val="1516813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642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r>
              <a:rPr lang="en-US"/>
              <a:t>LNG Tanker Spot Rates (165cbm)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'Shipping Spot'!$A$2:$A$1092</c:f>
              <c:numCache>
                <c:formatCode>m/d/yyyy</c:formatCode>
                <c:ptCount val="1091"/>
                <c:pt idx="0">
                  <c:v>44678</c:v>
                </c:pt>
                <c:pt idx="1">
                  <c:v>44677</c:v>
                </c:pt>
                <c:pt idx="2">
                  <c:v>44676</c:v>
                </c:pt>
                <c:pt idx="3">
                  <c:v>44673</c:v>
                </c:pt>
                <c:pt idx="4">
                  <c:v>44672</c:v>
                </c:pt>
                <c:pt idx="5">
                  <c:v>44671</c:v>
                </c:pt>
                <c:pt idx="6">
                  <c:v>44670</c:v>
                </c:pt>
                <c:pt idx="7">
                  <c:v>44669</c:v>
                </c:pt>
                <c:pt idx="8">
                  <c:v>44665</c:v>
                </c:pt>
                <c:pt idx="9">
                  <c:v>44664</c:v>
                </c:pt>
                <c:pt idx="10">
                  <c:v>44663</c:v>
                </c:pt>
                <c:pt idx="11">
                  <c:v>44662</c:v>
                </c:pt>
                <c:pt idx="12">
                  <c:v>44659</c:v>
                </c:pt>
                <c:pt idx="13">
                  <c:v>44658</c:v>
                </c:pt>
                <c:pt idx="14">
                  <c:v>44657</c:v>
                </c:pt>
                <c:pt idx="15">
                  <c:v>44656</c:v>
                </c:pt>
                <c:pt idx="16">
                  <c:v>44655</c:v>
                </c:pt>
                <c:pt idx="17">
                  <c:v>44652</c:v>
                </c:pt>
                <c:pt idx="18">
                  <c:v>44651</c:v>
                </c:pt>
                <c:pt idx="19">
                  <c:v>44650</c:v>
                </c:pt>
                <c:pt idx="20">
                  <c:v>44649</c:v>
                </c:pt>
                <c:pt idx="21">
                  <c:v>44648</c:v>
                </c:pt>
                <c:pt idx="22">
                  <c:v>44645</c:v>
                </c:pt>
                <c:pt idx="23">
                  <c:v>44644</c:v>
                </c:pt>
                <c:pt idx="24">
                  <c:v>44643</c:v>
                </c:pt>
                <c:pt idx="25">
                  <c:v>44642</c:v>
                </c:pt>
                <c:pt idx="26">
                  <c:v>44641</c:v>
                </c:pt>
                <c:pt idx="27">
                  <c:v>44638</c:v>
                </c:pt>
                <c:pt idx="28">
                  <c:v>44637</c:v>
                </c:pt>
                <c:pt idx="29">
                  <c:v>44636</c:v>
                </c:pt>
                <c:pt idx="30">
                  <c:v>44635</c:v>
                </c:pt>
                <c:pt idx="31">
                  <c:v>44634</c:v>
                </c:pt>
                <c:pt idx="32">
                  <c:v>44631</c:v>
                </c:pt>
                <c:pt idx="33">
                  <c:v>44630</c:v>
                </c:pt>
                <c:pt idx="34">
                  <c:v>44629</c:v>
                </c:pt>
                <c:pt idx="35">
                  <c:v>44628</c:v>
                </c:pt>
                <c:pt idx="36">
                  <c:v>44627</c:v>
                </c:pt>
                <c:pt idx="37">
                  <c:v>44624</c:v>
                </c:pt>
                <c:pt idx="38">
                  <c:v>44623</c:v>
                </c:pt>
                <c:pt idx="39">
                  <c:v>44622</c:v>
                </c:pt>
                <c:pt idx="40">
                  <c:v>44621</c:v>
                </c:pt>
                <c:pt idx="41">
                  <c:v>44620</c:v>
                </c:pt>
                <c:pt idx="42">
                  <c:v>44617</c:v>
                </c:pt>
                <c:pt idx="43">
                  <c:v>44616</c:v>
                </c:pt>
                <c:pt idx="44">
                  <c:v>44615</c:v>
                </c:pt>
                <c:pt idx="45">
                  <c:v>44614</c:v>
                </c:pt>
                <c:pt idx="46">
                  <c:v>44610</c:v>
                </c:pt>
                <c:pt idx="47">
                  <c:v>44609</c:v>
                </c:pt>
                <c:pt idx="48">
                  <c:v>44608</c:v>
                </c:pt>
                <c:pt idx="49">
                  <c:v>44607</c:v>
                </c:pt>
                <c:pt idx="50">
                  <c:v>44606</c:v>
                </c:pt>
                <c:pt idx="51">
                  <c:v>44603</c:v>
                </c:pt>
                <c:pt idx="52">
                  <c:v>44602</c:v>
                </c:pt>
                <c:pt idx="53">
                  <c:v>44601</c:v>
                </c:pt>
                <c:pt idx="54">
                  <c:v>44600</c:v>
                </c:pt>
                <c:pt idx="55">
                  <c:v>44599</c:v>
                </c:pt>
                <c:pt idx="56">
                  <c:v>44596</c:v>
                </c:pt>
                <c:pt idx="57">
                  <c:v>44595</c:v>
                </c:pt>
                <c:pt idx="58">
                  <c:v>44594</c:v>
                </c:pt>
                <c:pt idx="59">
                  <c:v>44593</c:v>
                </c:pt>
                <c:pt idx="60">
                  <c:v>44592</c:v>
                </c:pt>
                <c:pt idx="61">
                  <c:v>44589</c:v>
                </c:pt>
                <c:pt idx="62">
                  <c:v>44588</c:v>
                </c:pt>
                <c:pt idx="63">
                  <c:v>44587</c:v>
                </c:pt>
                <c:pt idx="64">
                  <c:v>44586</c:v>
                </c:pt>
                <c:pt idx="65">
                  <c:v>44585</c:v>
                </c:pt>
                <c:pt idx="66">
                  <c:v>44582</c:v>
                </c:pt>
                <c:pt idx="67">
                  <c:v>44581</c:v>
                </c:pt>
                <c:pt idx="68">
                  <c:v>44580</c:v>
                </c:pt>
                <c:pt idx="69">
                  <c:v>44579</c:v>
                </c:pt>
                <c:pt idx="70">
                  <c:v>44575</c:v>
                </c:pt>
                <c:pt idx="71">
                  <c:v>44574</c:v>
                </c:pt>
                <c:pt idx="72">
                  <c:v>44573</c:v>
                </c:pt>
                <c:pt idx="73">
                  <c:v>44572</c:v>
                </c:pt>
                <c:pt idx="74">
                  <c:v>44571</c:v>
                </c:pt>
                <c:pt idx="75">
                  <c:v>44568</c:v>
                </c:pt>
                <c:pt idx="76">
                  <c:v>44567</c:v>
                </c:pt>
                <c:pt idx="77">
                  <c:v>44566</c:v>
                </c:pt>
                <c:pt idx="78">
                  <c:v>44565</c:v>
                </c:pt>
                <c:pt idx="79">
                  <c:v>44564</c:v>
                </c:pt>
                <c:pt idx="80">
                  <c:v>44561</c:v>
                </c:pt>
                <c:pt idx="81">
                  <c:v>44560</c:v>
                </c:pt>
                <c:pt idx="82">
                  <c:v>44559</c:v>
                </c:pt>
                <c:pt idx="83">
                  <c:v>44558</c:v>
                </c:pt>
                <c:pt idx="84">
                  <c:v>44557</c:v>
                </c:pt>
                <c:pt idx="85">
                  <c:v>44553</c:v>
                </c:pt>
                <c:pt idx="86">
                  <c:v>44552</c:v>
                </c:pt>
                <c:pt idx="87">
                  <c:v>44551</c:v>
                </c:pt>
                <c:pt idx="88">
                  <c:v>44550</c:v>
                </c:pt>
                <c:pt idx="89">
                  <c:v>44547</c:v>
                </c:pt>
                <c:pt idx="90">
                  <c:v>44546</c:v>
                </c:pt>
                <c:pt idx="91">
                  <c:v>44545</c:v>
                </c:pt>
                <c:pt idx="92">
                  <c:v>44544</c:v>
                </c:pt>
                <c:pt idx="93">
                  <c:v>44543</c:v>
                </c:pt>
                <c:pt idx="94">
                  <c:v>44540</c:v>
                </c:pt>
                <c:pt idx="95">
                  <c:v>44539</c:v>
                </c:pt>
                <c:pt idx="96">
                  <c:v>44538</c:v>
                </c:pt>
                <c:pt idx="97">
                  <c:v>44537</c:v>
                </c:pt>
                <c:pt idx="98">
                  <c:v>44536</c:v>
                </c:pt>
                <c:pt idx="99">
                  <c:v>44533</c:v>
                </c:pt>
                <c:pt idx="100">
                  <c:v>44532</c:v>
                </c:pt>
                <c:pt idx="101">
                  <c:v>44531</c:v>
                </c:pt>
                <c:pt idx="102">
                  <c:v>44530</c:v>
                </c:pt>
                <c:pt idx="103">
                  <c:v>44529</c:v>
                </c:pt>
                <c:pt idx="104">
                  <c:v>44526</c:v>
                </c:pt>
                <c:pt idx="105">
                  <c:v>44524</c:v>
                </c:pt>
                <c:pt idx="106">
                  <c:v>44523</c:v>
                </c:pt>
                <c:pt idx="107">
                  <c:v>44522</c:v>
                </c:pt>
                <c:pt idx="108">
                  <c:v>44519</c:v>
                </c:pt>
                <c:pt idx="109">
                  <c:v>44518</c:v>
                </c:pt>
                <c:pt idx="110">
                  <c:v>44517</c:v>
                </c:pt>
                <c:pt idx="111">
                  <c:v>44516</c:v>
                </c:pt>
                <c:pt idx="112">
                  <c:v>44515</c:v>
                </c:pt>
                <c:pt idx="113">
                  <c:v>44512</c:v>
                </c:pt>
                <c:pt idx="114">
                  <c:v>44511</c:v>
                </c:pt>
                <c:pt idx="115">
                  <c:v>44510</c:v>
                </c:pt>
                <c:pt idx="116">
                  <c:v>44509</c:v>
                </c:pt>
                <c:pt idx="117">
                  <c:v>44508</c:v>
                </c:pt>
                <c:pt idx="118">
                  <c:v>44505</c:v>
                </c:pt>
                <c:pt idx="119">
                  <c:v>44504</c:v>
                </c:pt>
                <c:pt idx="120">
                  <c:v>44503</c:v>
                </c:pt>
                <c:pt idx="121">
                  <c:v>44502</c:v>
                </c:pt>
                <c:pt idx="122">
                  <c:v>44501</c:v>
                </c:pt>
                <c:pt idx="123">
                  <c:v>44498</c:v>
                </c:pt>
                <c:pt idx="124">
                  <c:v>44497</c:v>
                </c:pt>
                <c:pt idx="125">
                  <c:v>44496</c:v>
                </c:pt>
                <c:pt idx="126">
                  <c:v>44495</c:v>
                </c:pt>
                <c:pt idx="127">
                  <c:v>44494</c:v>
                </c:pt>
                <c:pt idx="128">
                  <c:v>44491</c:v>
                </c:pt>
                <c:pt idx="129">
                  <c:v>44490</c:v>
                </c:pt>
                <c:pt idx="130">
                  <c:v>44489</c:v>
                </c:pt>
                <c:pt idx="131">
                  <c:v>44488</c:v>
                </c:pt>
                <c:pt idx="132">
                  <c:v>44487</c:v>
                </c:pt>
                <c:pt idx="133">
                  <c:v>44484</c:v>
                </c:pt>
                <c:pt idx="134">
                  <c:v>44483</c:v>
                </c:pt>
                <c:pt idx="135">
                  <c:v>44482</c:v>
                </c:pt>
                <c:pt idx="136">
                  <c:v>44481</c:v>
                </c:pt>
                <c:pt idx="137">
                  <c:v>44480</c:v>
                </c:pt>
                <c:pt idx="138">
                  <c:v>44477</c:v>
                </c:pt>
                <c:pt idx="139">
                  <c:v>44476</c:v>
                </c:pt>
                <c:pt idx="140">
                  <c:v>44475</c:v>
                </c:pt>
                <c:pt idx="141">
                  <c:v>44474</c:v>
                </c:pt>
                <c:pt idx="142">
                  <c:v>44473</c:v>
                </c:pt>
                <c:pt idx="143">
                  <c:v>44470</c:v>
                </c:pt>
                <c:pt idx="144">
                  <c:v>44469</c:v>
                </c:pt>
                <c:pt idx="145">
                  <c:v>44468</c:v>
                </c:pt>
                <c:pt idx="146">
                  <c:v>44467</c:v>
                </c:pt>
                <c:pt idx="147">
                  <c:v>44466</c:v>
                </c:pt>
                <c:pt idx="148">
                  <c:v>44463</c:v>
                </c:pt>
                <c:pt idx="149">
                  <c:v>44462</c:v>
                </c:pt>
                <c:pt idx="150">
                  <c:v>44461</c:v>
                </c:pt>
                <c:pt idx="151">
                  <c:v>44460</c:v>
                </c:pt>
                <c:pt idx="152">
                  <c:v>44459</c:v>
                </c:pt>
                <c:pt idx="153">
                  <c:v>44456</c:v>
                </c:pt>
                <c:pt idx="154">
                  <c:v>44455</c:v>
                </c:pt>
                <c:pt idx="155">
                  <c:v>44454</c:v>
                </c:pt>
                <c:pt idx="156">
                  <c:v>44453</c:v>
                </c:pt>
                <c:pt idx="157">
                  <c:v>44452</c:v>
                </c:pt>
                <c:pt idx="158">
                  <c:v>44449</c:v>
                </c:pt>
                <c:pt idx="159">
                  <c:v>44448</c:v>
                </c:pt>
                <c:pt idx="160">
                  <c:v>44447</c:v>
                </c:pt>
                <c:pt idx="161">
                  <c:v>44446</c:v>
                </c:pt>
                <c:pt idx="162">
                  <c:v>44442</c:v>
                </c:pt>
                <c:pt idx="163">
                  <c:v>44441</c:v>
                </c:pt>
                <c:pt idx="164">
                  <c:v>44440</c:v>
                </c:pt>
                <c:pt idx="165">
                  <c:v>44439</c:v>
                </c:pt>
                <c:pt idx="166">
                  <c:v>44438</c:v>
                </c:pt>
                <c:pt idx="167">
                  <c:v>44435</c:v>
                </c:pt>
                <c:pt idx="168">
                  <c:v>44434</c:v>
                </c:pt>
                <c:pt idx="169">
                  <c:v>44433</c:v>
                </c:pt>
                <c:pt idx="170">
                  <c:v>44432</c:v>
                </c:pt>
                <c:pt idx="171">
                  <c:v>44431</c:v>
                </c:pt>
                <c:pt idx="172">
                  <c:v>44428</c:v>
                </c:pt>
                <c:pt idx="173">
                  <c:v>44427</c:v>
                </c:pt>
                <c:pt idx="174">
                  <c:v>44426</c:v>
                </c:pt>
                <c:pt idx="175">
                  <c:v>44425</c:v>
                </c:pt>
                <c:pt idx="176">
                  <c:v>44424</c:v>
                </c:pt>
                <c:pt idx="177">
                  <c:v>44421</c:v>
                </c:pt>
                <c:pt idx="178">
                  <c:v>44420</c:v>
                </c:pt>
                <c:pt idx="179">
                  <c:v>44419</c:v>
                </c:pt>
                <c:pt idx="180">
                  <c:v>44418</c:v>
                </c:pt>
                <c:pt idx="181">
                  <c:v>44417</c:v>
                </c:pt>
                <c:pt idx="182">
                  <c:v>44414</c:v>
                </c:pt>
                <c:pt idx="183">
                  <c:v>44413</c:v>
                </c:pt>
                <c:pt idx="184">
                  <c:v>44412</c:v>
                </c:pt>
                <c:pt idx="185">
                  <c:v>44411</c:v>
                </c:pt>
                <c:pt idx="186">
                  <c:v>44410</c:v>
                </c:pt>
                <c:pt idx="187">
                  <c:v>44407</c:v>
                </c:pt>
                <c:pt idx="188">
                  <c:v>44406</c:v>
                </c:pt>
                <c:pt idx="189">
                  <c:v>44405</c:v>
                </c:pt>
                <c:pt idx="190">
                  <c:v>44404</c:v>
                </c:pt>
                <c:pt idx="191">
                  <c:v>44403</c:v>
                </c:pt>
                <c:pt idx="192">
                  <c:v>44400</c:v>
                </c:pt>
                <c:pt idx="193">
                  <c:v>44399</c:v>
                </c:pt>
                <c:pt idx="194">
                  <c:v>44398</c:v>
                </c:pt>
                <c:pt idx="195">
                  <c:v>44397</c:v>
                </c:pt>
                <c:pt idx="196">
                  <c:v>44396</c:v>
                </c:pt>
                <c:pt idx="197">
                  <c:v>44393</c:v>
                </c:pt>
                <c:pt idx="198">
                  <c:v>44392</c:v>
                </c:pt>
                <c:pt idx="199">
                  <c:v>44391</c:v>
                </c:pt>
                <c:pt idx="200">
                  <c:v>44390</c:v>
                </c:pt>
                <c:pt idx="201">
                  <c:v>44389</c:v>
                </c:pt>
                <c:pt idx="202">
                  <c:v>44386</c:v>
                </c:pt>
                <c:pt idx="203">
                  <c:v>44385</c:v>
                </c:pt>
                <c:pt idx="204">
                  <c:v>44384</c:v>
                </c:pt>
                <c:pt idx="205">
                  <c:v>44383</c:v>
                </c:pt>
                <c:pt idx="206">
                  <c:v>44379</c:v>
                </c:pt>
                <c:pt idx="207">
                  <c:v>44378</c:v>
                </c:pt>
                <c:pt idx="208">
                  <c:v>44377</c:v>
                </c:pt>
                <c:pt idx="209">
                  <c:v>44376</c:v>
                </c:pt>
                <c:pt idx="210">
                  <c:v>44375</c:v>
                </c:pt>
                <c:pt idx="211">
                  <c:v>44372</c:v>
                </c:pt>
                <c:pt idx="212">
                  <c:v>44371</c:v>
                </c:pt>
                <c:pt idx="213">
                  <c:v>44370</c:v>
                </c:pt>
                <c:pt idx="214">
                  <c:v>44369</c:v>
                </c:pt>
                <c:pt idx="215">
                  <c:v>44368</c:v>
                </c:pt>
                <c:pt idx="216">
                  <c:v>44365</c:v>
                </c:pt>
                <c:pt idx="217">
                  <c:v>44364</c:v>
                </c:pt>
                <c:pt idx="218">
                  <c:v>44363</c:v>
                </c:pt>
                <c:pt idx="219">
                  <c:v>44362</c:v>
                </c:pt>
                <c:pt idx="220">
                  <c:v>44361</c:v>
                </c:pt>
                <c:pt idx="221">
                  <c:v>44358</c:v>
                </c:pt>
                <c:pt idx="222">
                  <c:v>44357</c:v>
                </c:pt>
                <c:pt idx="223">
                  <c:v>44356</c:v>
                </c:pt>
                <c:pt idx="224">
                  <c:v>44355</c:v>
                </c:pt>
                <c:pt idx="225">
                  <c:v>44354</c:v>
                </c:pt>
                <c:pt idx="226">
                  <c:v>44351</c:v>
                </c:pt>
                <c:pt idx="227">
                  <c:v>44350</c:v>
                </c:pt>
                <c:pt idx="228">
                  <c:v>44349</c:v>
                </c:pt>
                <c:pt idx="229">
                  <c:v>44348</c:v>
                </c:pt>
                <c:pt idx="230">
                  <c:v>44344</c:v>
                </c:pt>
                <c:pt idx="231">
                  <c:v>44343</c:v>
                </c:pt>
                <c:pt idx="232">
                  <c:v>44342</c:v>
                </c:pt>
                <c:pt idx="233">
                  <c:v>44341</c:v>
                </c:pt>
                <c:pt idx="234">
                  <c:v>44340</c:v>
                </c:pt>
                <c:pt idx="235">
                  <c:v>44337</c:v>
                </c:pt>
                <c:pt idx="236">
                  <c:v>44336</c:v>
                </c:pt>
                <c:pt idx="237">
                  <c:v>44335</c:v>
                </c:pt>
                <c:pt idx="238">
                  <c:v>44334</c:v>
                </c:pt>
                <c:pt idx="239">
                  <c:v>44333</c:v>
                </c:pt>
                <c:pt idx="240">
                  <c:v>44330</c:v>
                </c:pt>
                <c:pt idx="241">
                  <c:v>44329</c:v>
                </c:pt>
                <c:pt idx="242">
                  <c:v>44328</c:v>
                </c:pt>
                <c:pt idx="243">
                  <c:v>44327</c:v>
                </c:pt>
                <c:pt idx="244">
                  <c:v>44326</c:v>
                </c:pt>
                <c:pt idx="245">
                  <c:v>44323</c:v>
                </c:pt>
                <c:pt idx="246">
                  <c:v>44322</c:v>
                </c:pt>
                <c:pt idx="247">
                  <c:v>44321</c:v>
                </c:pt>
                <c:pt idx="248">
                  <c:v>44320</c:v>
                </c:pt>
                <c:pt idx="249">
                  <c:v>44319</c:v>
                </c:pt>
                <c:pt idx="250">
                  <c:v>44316</c:v>
                </c:pt>
                <c:pt idx="251">
                  <c:v>44315</c:v>
                </c:pt>
                <c:pt idx="252">
                  <c:v>44314</c:v>
                </c:pt>
                <c:pt idx="253">
                  <c:v>44313</c:v>
                </c:pt>
                <c:pt idx="254">
                  <c:v>44312</c:v>
                </c:pt>
                <c:pt idx="255">
                  <c:v>44309</c:v>
                </c:pt>
                <c:pt idx="256">
                  <c:v>44308</c:v>
                </c:pt>
                <c:pt idx="257">
                  <c:v>44307</c:v>
                </c:pt>
                <c:pt idx="258">
                  <c:v>44306</c:v>
                </c:pt>
                <c:pt idx="259">
                  <c:v>44305</c:v>
                </c:pt>
                <c:pt idx="260">
                  <c:v>44302</c:v>
                </c:pt>
                <c:pt idx="261">
                  <c:v>44301</c:v>
                </c:pt>
                <c:pt idx="262">
                  <c:v>44300</c:v>
                </c:pt>
                <c:pt idx="263">
                  <c:v>44299</c:v>
                </c:pt>
                <c:pt idx="264">
                  <c:v>44298</c:v>
                </c:pt>
                <c:pt idx="265">
                  <c:v>44295</c:v>
                </c:pt>
                <c:pt idx="266">
                  <c:v>44294</c:v>
                </c:pt>
                <c:pt idx="267">
                  <c:v>44293</c:v>
                </c:pt>
                <c:pt idx="268">
                  <c:v>44292</c:v>
                </c:pt>
                <c:pt idx="269">
                  <c:v>44291</c:v>
                </c:pt>
                <c:pt idx="270">
                  <c:v>44287</c:v>
                </c:pt>
                <c:pt idx="271">
                  <c:v>44286</c:v>
                </c:pt>
                <c:pt idx="272">
                  <c:v>44285</c:v>
                </c:pt>
                <c:pt idx="273">
                  <c:v>44284</c:v>
                </c:pt>
                <c:pt idx="274">
                  <c:v>44281</c:v>
                </c:pt>
                <c:pt idx="275">
                  <c:v>44280</c:v>
                </c:pt>
                <c:pt idx="276">
                  <c:v>44279</c:v>
                </c:pt>
                <c:pt idx="277">
                  <c:v>44278</c:v>
                </c:pt>
                <c:pt idx="278">
                  <c:v>44277</c:v>
                </c:pt>
                <c:pt idx="279">
                  <c:v>44274</c:v>
                </c:pt>
                <c:pt idx="280">
                  <c:v>44273</c:v>
                </c:pt>
                <c:pt idx="281">
                  <c:v>44272</c:v>
                </c:pt>
                <c:pt idx="282">
                  <c:v>44271</c:v>
                </c:pt>
                <c:pt idx="283">
                  <c:v>44270</c:v>
                </c:pt>
                <c:pt idx="284">
                  <c:v>44267</c:v>
                </c:pt>
                <c:pt idx="285">
                  <c:v>44266</c:v>
                </c:pt>
                <c:pt idx="286">
                  <c:v>44265</c:v>
                </c:pt>
                <c:pt idx="287">
                  <c:v>44264</c:v>
                </c:pt>
                <c:pt idx="288">
                  <c:v>44263</c:v>
                </c:pt>
                <c:pt idx="289">
                  <c:v>44260</c:v>
                </c:pt>
                <c:pt idx="290">
                  <c:v>44259</c:v>
                </c:pt>
                <c:pt idx="291">
                  <c:v>44258</c:v>
                </c:pt>
                <c:pt idx="292">
                  <c:v>44257</c:v>
                </c:pt>
                <c:pt idx="293">
                  <c:v>44256</c:v>
                </c:pt>
                <c:pt idx="294">
                  <c:v>44253</c:v>
                </c:pt>
                <c:pt idx="295">
                  <c:v>44252</c:v>
                </c:pt>
                <c:pt idx="296">
                  <c:v>44251</c:v>
                </c:pt>
                <c:pt idx="297">
                  <c:v>44250</c:v>
                </c:pt>
                <c:pt idx="298">
                  <c:v>44249</c:v>
                </c:pt>
                <c:pt idx="299">
                  <c:v>44246</c:v>
                </c:pt>
                <c:pt idx="300">
                  <c:v>44245</c:v>
                </c:pt>
                <c:pt idx="301">
                  <c:v>44244</c:v>
                </c:pt>
                <c:pt idx="302">
                  <c:v>44243</c:v>
                </c:pt>
                <c:pt idx="303">
                  <c:v>44239</c:v>
                </c:pt>
                <c:pt idx="304">
                  <c:v>44238</c:v>
                </c:pt>
                <c:pt idx="305">
                  <c:v>44237</c:v>
                </c:pt>
                <c:pt idx="306">
                  <c:v>44236</c:v>
                </c:pt>
                <c:pt idx="307">
                  <c:v>44235</c:v>
                </c:pt>
                <c:pt idx="308">
                  <c:v>44232</c:v>
                </c:pt>
                <c:pt idx="309">
                  <c:v>44231</c:v>
                </c:pt>
                <c:pt idx="310">
                  <c:v>44230</c:v>
                </c:pt>
                <c:pt idx="311">
                  <c:v>44229</c:v>
                </c:pt>
                <c:pt idx="312">
                  <c:v>44228</c:v>
                </c:pt>
                <c:pt idx="313">
                  <c:v>44225</c:v>
                </c:pt>
                <c:pt idx="314">
                  <c:v>44224</c:v>
                </c:pt>
                <c:pt idx="315">
                  <c:v>44223</c:v>
                </c:pt>
                <c:pt idx="316">
                  <c:v>44222</c:v>
                </c:pt>
                <c:pt idx="317">
                  <c:v>44221</c:v>
                </c:pt>
                <c:pt idx="318">
                  <c:v>44218</c:v>
                </c:pt>
                <c:pt idx="319">
                  <c:v>44217</c:v>
                </c:pt>
                <c:pt idx="320">
                  <c:v>44216</c:v>
                </c:pt>
                <c:pt idx="321">
                  <c:v>44215</c:v>
                </c:pt>
                <c:pt idx="322">
                  <c:v>44211</c:v>
                </c:pt>
                <c:pt idx="323">
                  <c:v>44210</c:v>
                </c:pt>
                <c:pt idx="324">
                  <c:v>44209</c:v>
                </c:pt>
                <c:pt idx="325">
                  <c:v>44208</c:v>
                </c:pt>
                <c:pt idx="326">
                  <c:v>44207</c:v>
                </c:pt>
                <c:pt idx="327">
                  <c:v>44204</c:v>
                </c:pt>
                <c:pt idx="328">
                  <c:v>44203</c:v>
                </c:pt>
                <c:pt idx="329">
                  <c:v>44202</c:v>
                </c:pt>
                <c:pt idx="330">
                  <c:v>44201</c:v>
                </c:pt>
                <c:pt idx="331">
                  <c:v>44200</c:v>
                </c:pt>
                <c:pt idx="332">
                  <c:v>44196</c:v>
                </c:pt>
                <c:pt idx="333">
                  <c:v>44195</c:v>
                </c:pt>
                <c:pt idx="334">
                  <c:v>44194</c:v>
                </c:pt>
                <c:pt idx="335">
                  <c:v>44193</c:v>
                </c:pt>
                <c:pt idx="336">
                  <c:v>44189</c:v>
                </c:pt>
                <c:pt idx="337">
                  <c:v>44188</c:v>
                </c:pt>
                <c:pt idx="338">
                  <c:v>44187</c:v>
                </c:pt>
                <c:pt idx="339">
                  <c:v>44186</c:v>
                </c:pt>
                <c:pt idx="340">
                  <c:v>44183</c:v>
                </c:pt>
                <c:pt idx="341">
                  <c:v>44182</c:v>
                </c:pt>
                <c:pt idx="342">
                  <c:v>44181</c:v>
                </c:pt>
                <c:pt idx="343">
                  <c:v>44180</c:v>
                </c:pt>
                <c:pt idx="344">
                  <c:v>44179</c:v>
                </c:pt>
                <c:pt idx="345">
                  <c:v>44176</c:v>
                </c:pt>
                <c:pt idx="346">
                  <c:v>44175</c:v>
                </c:pt>
                <c:pt idx="347">
                  <c:v>44174</c:v>
                </c:pt>
                <c:pt idx="348">
                  <c:v>44173</c:v>
                </c:pt>
                <c:pt idx="349">
                  <c:v>44172</c:v>
                </c:pt>
                <c:pt idx="350">
                  <c:v>44169</c:v>
                </c:pt>
                <c:pt idx="351">
                  <c:v>44168</c:v>
                </c:pt>
                <c:pt idx="352">
                  <c:v>44167</c:v>
                </c:pt>
                <c:pt idx="353">
                  <c:v>44166</c:v>
                </c:pt>
                <c:pt idx="354">
                  <c:v>44165</c:v>
                </c:pt>
                <c:pt idx="355">
                  <c:v>44162</c:v>
                </c:pt>
                <c:pt idx="356">
                  <c:v>44160</c:v>
                </c:pt>
                <c:pt idx="357">
                  <c:v>44159</c:v>
                </c:pt>
                <c:pt idx="358">
                  <c:v>44158</c:v>
                </c:pt>
                <c:pt idx="359">
                  <c:v>44155</c:v>
                </c:pt>
                <c:pt idx="360">
                  <c:v>44154</c:v>
                </c:pt>
                <c:pt idx="361">
                  <c:v>44153</c:v>
                </c:pt>
                <c:pt idx="362">
                  <c:v>44152</c:v>
                </c:pt>
                <c:pt idx="363">
                  <c:v>44151</c:v>
                </c:pt>
                <c:pt idx="364">
                  <c:v>44148</c:v>
                </c:pt>
                <c:pt idx="365">
                  <c:v>44147</c:v>
                </c:pt>
                <c:pt idx="366">
                  <c:v>44146</c:v>
                </c:pt>
                <c:pt idx="367">
                  <c:v>44145</c:v>
                </c:pt>
                <c:pt idx="368">
                  <c:v>44144</c:v>
                </c:pt>
                <c:pt idx="369">
                  <c:v>44141</c:v>
                </c:pt>
                <c:pt idx="370">
                  <c:v>44140</c:v>
                </c:pt>
                <c:pt idx="371">
                  <c:v>44139</c:v>
                </c:pt>
                <c:pt idx="372">
                  <c:v>44138</c:v>
                </c:pt>
                <c:pt idx="373">
                  <c:v>44137</c:v>
                </c:pt>
                <c:pt idx="374">
                  <c:v>44134</c:v>
                </c:pt>
                <c:pt idx="375">
                  <c:v>44133</c:v>
                </c:pt>
                <c:pt idx="376">
                  <c:v>44132</c:v>
                </c:pt>
                <c:pt idx="377">
                  <c:v>44131</c:v>
                </c:pt>
                <c:pt idx="378">
                  <c:v>44130</c:v>
                </c:pt>
                <c:pt idx="379">
                  <c:v>44127</c:v>
                </c:pt>
                <c:pt idx="380">
                  <c:v>44126</c:v>
                </c:pt>
                <c:pt idx="381">
                  <c:v>44125</c:v>
                </c:pt>
                <c:pt idx="382">
                  <c:v>44124</c:v>
                </c:pt>
                <c:pt idx="383">
                  <c:v>44123</c:v>
                </c:pt>
                <c:pt idx="384">
                  <c:v>44120</c:v>
                </c:pt>
                <c:pt idx="385">
                  <c:v>44119</c:v>
                </c:pt>
                <c:pt idx="386">
                  <c:v>44118</c:v>
                </c:pt>
                <c:pt idx="387">
                  <c:v>44117</c:v>
                </c:pt>
                <c:pt idx="388">
                  <c:v>44116</c:v>
                </c:pt>
                <c:pt idx="389">
                  <c:v>44113</c:v>
                </c:pt>
                <c:pt idx="390">
                  <c:v>44112</c:v>
                </c:pt>
                <c:pt idx="391">
                  <c:v>44111</c:v>
                </c:pt>
                <c:pt idx="392">
                  <c:v>44110</c:v>
                </c:pt>
                <c:pt idx="393">
                  <c:v>44109</c:v>
                </c:pt>
                <c:pt idx="394">
                  <c:v>44106</c:v>
                </c:pt>
                <c:pt idx="395">
                  <c:v>44105</c:v>
                </c:pt>
                <c:pt idx="396">
                  <c:v>44104</c:v>
                </c:pt>
                <c:pt idx="397">
                  <c:v>44103</c:v>
                </c:pt>
                <c:pt idx="398">
                  <c:v>44102</c:v>
                </c:pt>
                <c:pt idx="399">
                  <c:v>44099</c:v>
                </c:pt>
                <c:pt idx="400">
                  <c:v>44098</c:v>
                </c:pt>
                <c:pt idx="401">
                  <c:v>44097</c:v>
                </c:pt>
                <c:pt idx="402">
                  <c:v>44096</c:v>
                </c:pt>
                <c:pt idx="403">
                  <c:v>44095</c:v>
                </c:pt>
                <c:pt idx="404">
                  <c:v>44092</c:v>
                </c:pt>
                <c:pt idx="405">
                  <c:v>44091</c:v>
                </c:pt>
                <c:pt idx="406">
                  <c:v>44090</c:v>
                </c:pt>
                <c:pt idx="407">
                  <c:v>44089</c:v>
                </c:pt>
                <c:pt idx="408">
                  <c:v>44088</c:v>
                </c:pt>
                <c:pt idx="409">
                  <c:v>44085</c:v>
                </c:pt>
                <c:pt idx="410">
                  <c:v>44084</c:v>
                </c:pt>
                <c:pt idx="411">
                  <c:v>44083</c:v>
                </c:pt>
                <c:pt idx="412">
                  <c:v>44082</c:v>
                </c:pt>
                <c:pt idx="413">
                  <c:v>44078</c:v>
                </c:pt>
                <c:pt idx="414">
                  <c:v>44077</c:v>
                </c:pt>
                <c:pt idx="415">
                  <c:v>44076</c:v>
                </c:pt>
                <c:pt idx="416">
                  <c:v>44075</c:v>
                </c:pt>
                <c:pt idx="417">
                  <c:v>44074</c:v>
                </c:pt>
                <c:pt idx="418">
                  <c:v>44071</c:v>
                </c:pt>
                <c:pt idx="419">
                  <c:v>44070</c:v>
                </c:pt>
                <c:pt idx="420">
                  <c:v>44069</c:v>
                </c:pt>
                <c:pt idx="421">
                  <c:v>44068</c:v>
                </c:pt>
                <c:pt idx="422">
                  <c:v>44067</c:v>
                </c:pt>
                <c:pt idx="423">
                  <c:v>44064</c:v>
                </c:pt>
                <c:pt idx="424">
                  <c:v>44063</c:v>
                </c:pt>
                <c:pt idx="425">
                  <c:v>44062</c:v>
                </c:pt>
                <c:pt idx="426">
                  <c:v>44061</c:v>
                </c:pt>
                <c:pt idx="427">
                  <c:v>44060</c:v>
                </c:pt>
                <c:pt idx="428">
                  <c:v>44057</c:v>
                </c:pt>
                <c:pt idx="429">
                  <c:v>44056</c:v>
                </c:pt>
                <c:pt idx="430">
                  <c:v>44055</c:v>
                </c:pt>
                <c:pt idx="431">
                  <c:v>44054</c:v>
                </c:pt>
                <c:pt idx="432">
                  <c:v>44053</c:v>
                </c:pt>
                <c:pt idx="433">
                  <c:v>44050</c:v>
                </c:pt>
                <c:pt idx="434">
                  <c:v>44049</c:v>
                </c:pt>
                <c:pt idx="435">
                  <c:v>44048</c:v>
                </c:pt>
                <c:pt idx="436">
                  <c:v>44047</c:v>
                </c:pt>
                <c:pt idx="437">
                  <c:v>44046</c:v>
                </c:pt>
                <c:pt idx="438">
                  <c:v>44043</c:v>
                </c:pt>
                <c:pt idx="439">
                  <c:v>44042</c:v>
                </c:pt>
                <c:pt idx="440">
                  <c:v>44041</c:v>
                </c:pt>
                <c:pt idx="441">
                  <c:v>44040</c:v>
                </c:pt>
                <c:pt idx="442">
                  <c:v>44039</c:v>
                </c:pt>
                <c:pt idx="443">
                  <c:v>44036</c:v>
                </c:pt>
                <c:pt idx="444">
                  <c:v>44035</c:v>
                </c:pt>
                <c:pt idx="445">
                  <c:v>44034</c:v>
                </c:pt>
                <c:pt idx="446">
                  <c:v>44033</c:v>
                </c:pt>
                <c:pt idx="447">
                  <c:v>44032</c:v>
                </c:pt>
                <c:pt idx="448">
                  <c:v>44029</c:v>
                </c:pt>
                <c:pt idx="449">
                  <c:v>44028</c:v>
                </c:pt>
                <c:pt idx="450">
                  <c:v>44027</c:v>
                </c:pt>
                <c:pt idx="451">
                  <c:v>44026</c:v>
                </c:pt>
                <c:pt idx="452">
                  <c:v>44025</c:v>
                </c:pt>
                <c:pt idx="453">
                  <c:v>44022</c:v>
                </c:pt>
                <c:pt idx="454">
                  <c:v>44021</c:v>
                </c:pt>
                <c:pt idx="455">
                  <c:v>44020</c:v>
                </c:pt>
                <c:pt idx="456">
                  <c:v>44019</c:v>
                </c:pt>
                <c:pt idx="457">
                  <c:v>44018</c:v>
                </c:pt>
                <c:pt idx="458">
                  <c:v>44014</c:v>
                </c:pt>
                <c:pt idx="459">
                  <c:v>44013</c:v>
                </c:pt>
                <c:pt idx="460">
                  <c:v>44012</c:v>
                </c:pt>
                <c:pt idx="461">
                  <c:v>44011</c:v>
                </c:pt>
                <c:pt idx="462">
                  <c:v>44008</c:v>
                </c:pt>
                <c:pt idx="463">
                  <c:v>44007</c:v>
                </c:pt>
                <c:pt idx="464">
                  <c:v>44006</c:v>
                </c:pt>
                <c:pt idx="465">
                  <c:v>44005</c:v>
                </c:pt>
                <c:pt idx="466">
                  <c:v>44004</c:v>
                </c:pt>
                <c:pt idx="467">
                  <c:v>44001</c:v>
                </c:pt>
                <c:pt idx="468">
                  <c:v>44000</c:v>
                </c:pt>
                <c:pt idx="469">
                  <c:v>43999</c:v>
                </c:pt>
                <c:pt idx="470">
                  <c:v>43998</c:v>
                </c:pt>
                <c:pt idx="471">
                  <c:v>43997</c:v>
                </c:pt>
                <c:pt idx="472">
                  <c:v>43994</c:v>
                </c:pt>
                <c:pt idx="473">
                  <c:v>43993</c:v>
                </c:pt>
                <c:pt idx="474">
                  <c:v>43992</c:v>
                </c:pt>
                <c:pt idx="475">
                  <c:v>43991</c:v>
                </c:pt>
                <c:pt idx="476">
                  <c:v>43990</c:v>
                </c:pt>
                <c:pt idx="477">
                  <c:v>43987</c:v>
                </c:pt>
                <c:pt idx="478">
                  <c:v>43986</c:v>
                </c:pt>
                <c:pt idx="479">
                  <c:v>43985</c:v>
                </c:pt>
                <c:pt idx="480">
                  <c:v>43984</c:v>
                </c:pt>
                <c:pt idx="481">
                  <c:v>43983</c:v>
                </c:pt>
                <c:pt idx="482">
                  <c:v>43980</c:v>
                </c:pt>
                <c:pt idx="483">
                  <c:v>43979</c:v>
                </c:pt>
                <c:pt idx="484">
                  <c:v>43978</c:v>
                </c:pt>
                <c:pt idx="485">
                  <c:v>43977</c:v>
                </c:pt>
                <c:pt idx="486">
                  <c:v>43973</c:v>
                </c:pt>
                <c:pt idx="487">
                  <c:v>43972</c:v>
                </c:pt>
                <c:pt idx="488">
                  <c:v>43971</c:v>
                </c:pt>
                <c:pt idx="489">
                  <c:v>43970</c:v>
                </c:pt>
                <c:pt idx="490">
                  <c:v>43969</c:v>
                </c:pt>
                <c:pt idx="491">
                  <c:v>43966</c:v>
                </c:pt>
                <c:pt idx="492">
                  <c:v>43965</c:v>
                </c:pt>
                <c:pt idx="493">
                  <c:v>43964</c:v>
                </c:pt>
                <c:pt idx="494">
                  <c:v>43963</c:v>
                </c:pt>
                <c:pt idx="495">
                  <c:v>43962</c:v>
                </c:pt>
                <c:pt idx="496">
                  <c:v>43959</c:v>
                </c:pt>
                <c:pt idx="497">
                  <c:v>43958</c:v>
                </c:pt>
                <c:pt idx="498">
                  <c:v>43957</c:v>
                </c:pt>
                <c:pt idx="499">
                  <c:v>43956</c:v>
                </c:pt>
                <c:pt idx="500">
                  <c:v>43955</c:v>
                </c:pt>
                <c:pt idx="501">
                  <c:v>43952</c:v>
                </c:pt>
                <c:pt idx="502">
                  <c:v>43951</c:v>
                </c:pt>
                <c:pt idx="503">
                  <c:v>43950</c:v>
                </c:pt>
                <c:pt idx="504">
                  <c:v>43949</c:v>
                </c:pt>
                <c:pt idx="505">
                  <c:v>43948</c:v>
                </c:pt>
                <c:pt idx="506">
                  <c:v>43945</c:v>
                </c:pt>
                <c:pt idx="507">
                  <c:v>43944</c:v>
                </c:pt>
                <c:pt idx="508">
                  <c:v>43943</c:v>
                </c:pt>
                <c:pt idx="509">
                  <c:v>43942</c:v>
                </c:pt>
                <c:pt idx="510">
                  <c:v>43941</c:v>
                </c:pt>
                <c:pt idx="511">
                  <c:v>43938</c:v>
                </c:pt>
                <c:pt idx="512">
                  <c:v>43937</c:v>
                </c:pt>
                <c:pt idx="513">
                  <c:v>43936</c:v>
                </c:pt>
                <c:pt idx="514">
                  <c:v>43935</c:v>
                </c:pt>
                <c:pt idx="515">
                  <c:v>43934</c:v>
                </c:pt>
                <c:pt idx="516">
                  <c:v>43930</c:v>
                </c:pt>
                <c:pt idx="517">
                  <c:v>43929</c:v>
                </c:pt>
                <c:pt idx="518">
                  <c:v>43928</c:v>
                </c:pt>
                <c:pt idx="519">
                  <c:v>43927</c:v>
                </c:pt>
                <c:pt idx="520">
                  <c:v>43924</c:v>
                </c:pt>
                <c:pt idx="521">
                  <c:v>43923</c:v>
                </c:pt>
                <c:pt idx="522">
                  <c:v>43922</c:v>
                </c:pt>
                <c:pt idx="523">
                  <c:v>43921</c:v>
                </c:pt>
                <c:pt idx="524">
                  <c:v>43920</c:v>
                </c:pt>
                <c:pt idx="525">
                  <c:v>43917</c:v>
                </c:pt>
                <c:pt idx="526">
                  <c:v>43916</c:v>
                </c:pt>
                <c:pt idx="527">
                  <c:v>43915</c:v>
                </c:pt>
                <c:pt idx="528">
                  <c:v>43914</c:v>
                </c:pt>
                <c:pt idx="529">
                  <c:v>43913</c:v>
                </c:pt>
                <c:pt idx="530">
                  <c:v>43910</c:v>
                </c:pt>
                <c:pt idx="531">
                  <c:v>43909</c:v>
                </c:pt>
                <c:pt idx="532">
                  <c:v>43908</c:v>
                </c:pt>
                <c:pt idx="533">
                  <c:v>43907</c:v>
                </c:pt>
                <c:pt idx="534">
                  <c:v>43906</c:v>
                </c:pt>
                <c:pt idx="535">
                  <c:v>43903</c:v>
                </c:pt>
                <c:pt idx="536">
                  <c:v>43902</c:v>
                </c:pt>
                <c:pt idx="537">
                  <c:v>43901</c:v>
                </c:pt>
                <c:pt idx="538">
                  <c:v>43900</c:v>
                </c:pt>
                <c:pt idx="539">
                  <c:v>43899</c:v>
                </c:pt>
                <c:pt idx="540">
                  <c:v>43896</c:v>
                </c:pt>
                <c:pt idx="541">
                  <c:v>43895</c:v>
                </c:pt>
                <c:pt idx="542">
                  <c:v>43894</c:v>
                </c:pt>
                <c:pt idx="543">
                  <c:v>43893</c:v>
                </c:pt>
                <c:pt idx="544">
                  <c:v>43892</c:v>
                </c:pt>
                <c:pt idx="545">
                  <c:v>43889</c:v>
                </c:pt>
                <c:pt idx="546">
                  <c:v>43888</c:v>
                </c:pt>
                <c:pt idx="547">
                  <c:v>43887</c:v>
                </c:pt>
                <c:pt idx="548">
                  <c:v>43886</c:v>
                </c:pt>
                <c:pt idx="549">
                  <c:v>43885</c:v>
                </c:pt>
                <c:pt idx="550">
                  <c:v>43882</c:v>
                </c:pt>
                <c:pt idx="551">
                  <c:v>43881</c:v>
                </c:pt>
                <c:pt idx="552">
                  <c:v>43880</c:v>
                </c:pt>
                <c:pt idx="553">
                  <c:v>43879</c:v>
                </c:pt>
                <c:pt idx="554">
                  <c:v>43875</c:v>
                </c:pt>
                <c:pt idx="555">
                  <c:v>43874</c:v>
                </c:pt>
                <c:pt idx="556">
                  <c:v>43873</c:v>
                </c:pt>
                <c:pt idx="557">
                  <c:v>43872</c:v>
                </c:pt>
                <c:pt idx="558">
                  <c:v>43871</c:v>
                </c:pt>
                <c:pt idx="559">
                  <c:v>43868</c:v>
                </c:pt>
                <c:pt idx="560">
                  <c:v>43867</c:v>
                </c:pt>
                <c:pt idx="561">
                  <c:v>43866</c:v>
                </c:pt>
                <c:pt idx="562">
                  <c:v>43865</c:v>
                </c:pt>
                <c:pt idx="563">
                  <c:v>43864</c:v>
                </c:pt>
                <c:pt idx="564">
                  <c:v>43861</c:v>
                </c:pt>
                <c:pt idx="565">
                  <c:v>43860</c:v>
                </c:pt>
                <c:pt idx="566">
                  <c:v>43859</c:v>
                </c:pt>
                <c:pt idx="567">
                  <c:v>43858</c:v>
                </c:pt>
                <c:pt idx="568">
                  <c:v>43857</c:v>
                </c:pt>
                <c:pt idx="569">
                  <c:v>43854</c:v>
                </c:pt>
                <c:pt idx="570">
                  <c:v>43853</c:v>
                </c:pt>
                <c:pt idx="571">
                  <c:v>43852</c:v>
                </c:pt>
                <c:pt idx="572">
                  <c:v>43851</c:v>
                </c:pt>
                <c:pt idx="573">
                  <c:v>43847</c:v>
                </c:pt>
                <c:pt idx="574">
                  <c:v>43846</c:v>
                </c:pt>
                <c:pt idx="575">
                  <c:v>43845</c:v>
                </c:pt>
                <c:pt idx="576">
                  <c:v>43844</c:v>
                </c:pt>
                <c:pt idx="577">
                  <c:v>43843</c:v>
                </c:pt>
                <c:pt idx="578">
                  <c:v>43840</c:v>
                </c:pt>
                <c:pt idx="579">
                  <c:v>43839</c:v>
                </c:pt>
                <c:pt idx="580">
                  <c:v>43838</c:v>
                </c:pt>
                <c:pt idx="581">
                  <c:v>43837</c:v>
                </c:pt>
                <c:pt idx="582">
                  <c:v>43836</c:v>
                </c:pt>
                <c:pt idx="583">
                  <c:v>43833</c:v>
                </c:pt>
                <c:pt idx="584">
                  <c:v>43832</c:v>
                </c:pt>
                <c:pt idx="585">
                  <c:v>43831</c:v>
                </c:pt>
                <c:pt idx="586">
                  <c:v>43830</c:v>
                </c:pt>
                <c:pt idx="587">
                  <c:v>43829</c:v>
                </c:pt>
                <c:pt idx="588">
                  <c:v>43826</c:v>
                </c:pt>
                <c:pt idx="589">
                  <c:v>43825</c:v>
                </c:pt>
                <c:pt idx="590">
                  <c:v>43823</c:v>
                </c:pt>
                <c:pt idx="591">
                  <c:v>43822</c:v>
                </c:pt>
                <c:pt idx="592">
                  <c:v>43819</c:v>
                </c:pt>
                <c:pt idx="593">
                  <c:v>43818</c:v>
                </c:pt>
                <c:pt idx="594">
                  <c:v>43817</c:v>
                </c:pt>
                <c:pt idx="595">
                  <c:v>43816</c:v>
                </c:pt>
                <c:pt idx="596">
                  <c:v>43815</c:v>
                </c:pt>
                <c:pt idx="597">
                  <c:v>43812</c:v>
                </c:pt>
                <c:pt idx="598">
                  <c:v>43811</c:v>
                </c:pt>
                <c:pt idx="599">
                  <c:v>43810</c:v>
                </c:pt>
                <c:pt idx="600">
                  <c:v>43809</c:v>
                </c:pt>
                <c:pt idx="601">
                  <c:v>43808</c:v>
                </c:pt>
                <c:pt idx="602">
                  <c:v>43805</c:v>
                </c:pt>
                <c:pt idx="603">
                  <c:v>43804</c:v>
                </c:pt>
                <c:pt idx="604">
                  <c:v>43803</c:v>
                </c:pt>
                <c:pt idx="605">
                  <c:v>43802</c:v>
                </c:pt>
                <c:pt idx="606">
                  <c:v>43801</c:v>
                </c:pt>
                <c:pt idx="607">
                  <c:v>43798</c:v>
                </c:pt>
                <c:pt idx="608">
                  <c:v>43796</c:v>
                </c:pt>
                <c:pt idx="609">
                  <c:v>43795</c:v>
                </c:pt>
                <c:pt idx="610">
                  <c:v>43794</c:v>
                </c:pt>
                <c:pt idx="611">
                  <c:v>43791</c:v>
                </c:pt>
                <c:pt idx="612">
                  <c:v>43790</c:v>
                </c:pt>
                <c:pt idx="613">
                  <c:v>43789</c:v>
                </c:pt>
                <c:pt idx="614">
                  <c:v>43788</c:v>
                </c:pt>
                <c:pt idx="615">
                  <c:v>43787</c:v>
                </c:pt>
                <c:pt idx="616">
                  <c:v>43784</c:v>
                </c:pt>
                <c:pt idx="617">
                  <c:v>43783</c:v>
                </c:pt>
                <c:pt idx="618">
                  <c:v>43782</c:v>
                </c:pt>
                <c:pt idx="619">
                  <c:v>43781</c:v>
                </c:pt>
                <c:pt idx="620">
                  <c:v>43780</c:v>
                </c:pt>
                <c:pt idx="621">
                  <c:v>43777</c:v>
                </c:pt>
                <c:pt idx="622">
                  <c:v>43776</c:v>
                </c:pt>
                <c:pt idx="623">
                  <c:v>43775</c:v>
                </c:pt>
                <c:pt idx="624">
                  <c:v>43774</c:v>
                </c:pt>
                <c:pt idx="625">
                  <c:v>43773</c:v>
                </c:pt>
                <c:pt idx="626">
                  <c:v>43770</c:v>
                </c:pt>
                <c:pt idx="627">
                  <c:v>43769</c:v>
                </c:pt>
                <c:pt idx="628">
                  <c:v>43768</c:v>
                </c:pt>
                <c:pt idx="629">
                  <c:v>43767</c:v>
                </c:pt>
                <c:pt idx="630">
                  <c:v>43766</c:v>
                </c:pt>
                <c:pt idx="631">
                  <c:v>43763</c:v>
                </c:pt>
                <c:pt idx="632">
                  <c:v>43762</c:v>
                </c:pt>
                <c:pt idx="633">
                  <c:v>43761</c:v>
                </c:pt>
                <c:pt idx="634">
                  <c:v>43760</c:v>
                </c:pt>
                <c:pt idx="635">
                  <c:v>43759</c:v>
                </c:pt>
                <c:pt idx="636">
                  <c:v>43756</c:v>
                </c:pt>
                <c:pt idx="637">
                  <c:v>43755</c:v>
                </c:pt>
                <c:pt idx="638">
                  <c:v>43754</c:v>
                </c:pt>
                <c:pt idx="639">
                  <c:v>43753</c:v>
                </c:pt>
                <c:pt idx="640">
                  <c:v>43752</c:v>
                </c:pt>
                <c:pt idx="641">
                  <c:v>43749</c:v>
                </c:pt>
                <c:pt idx="642">
                  <c:v>43748</c:v>
                </c:pt>
                <c:pt idx="643">
                  <c:v>43747</c:v>
                </c:pt>
                <c:pt idx="644">
                  <c:v>43746</c:v>
                </c:pt>
                <c:pt idx="645">
                  <c:v>43745</c:v>
                </c:pt>
                <c:pt idx="646">
                  <c:v>43742</c:v>
                </c:pt>
                <c:pt idx="647">
                  <c:v>43741</c:v>
                </c:pt>
                <c:pt idx="648">
                  <c:v>43740</c:v>
                </c:pt>
                <c:pt idx="649">
                  <c:v>43739</c:v>
                </c:pt>
                <c:pt idx="650">
                  <c:v>43738</c:v>
                </c:pt>
                <c:pt idx="651">
                  <c:v>43735</c:v>
                </c:pt>
                <c:pt idx="652">
                  <c:v>43734</c:v>
                </c:pt>
                <c:pt idx="653">
                  <c:v>43733</c:v>
                </c:pt>
                <c:pt idx="654">
                  <c:v>43732</c:v>
                </c:pt>
                <c:pt idx="655">
                  <c:v>43731</c:v>
                </c:pt>
                <c:pt idx="656">
                  <c:v>43728</c:v>
                </c:pt>
                <c:pt idx="657">
                  <c:v>43727</c:v>
                </c:pt>
                <c:pt idx="658">
                  <c:v>43726</c:v>
                </c:pt>
                <c:pt idx="659">
                  <c:v>43725</c:v>
                </c:pt>
                <c:pt idx="660">
                  <c:v>43724</c:v>
                </c:pt>
                <c:pt idx="661">
                  <c:v>43721</c:v>
                </c:pt>
                <c:pt idx="662">
                  <c:v>43720</c:v>
                </c:pt>
                <c:pt idx="663">
                  <c:v>43719</c:v>
                </c:pt>
                <c:pt idx="664">
                  <c:v>43718</c:v>
                </c:pt>
                <c:pt idx="665">
                  <c:v>43717</c:v>
                </c:pt>
                <c:pt idx="666">
                  <c:v>43714</c:v>
                </c:pt>
                <c:pt idx="667">
                  <c:v>43713</c:v>
                </c:pt>
                <c:pt idx="668">
                  <c:v>43712</c:v>
                </c:pt>
                <c:pt idx="669">
                  <c:v>43711</c:v>
                </c:pt>
                <c:pt idx="670">
                  <c:v>43707</c:v>
                </c:pt>
                <c:pt idx="671">
                  <c:v>43706</c:v>
                </c:pt>
                <c:pt idx="672">
                  <c:v>43705</c:v>
                </c:pt>
                <c:pt idx="673">
                  <c:v>43704</c:v>
                </c:pt>
                <c:pt idx="674">
                  <c:v>43703</c:v>
                </c:pt>
                <c:pt idx="675">
                  <c:v>43700</c:v>
                </c:pt>
                <c:pt idx="676">
                  <c:v>43699</c:v>
                </c:pt>
                <c:pt idx="677">
                  <c:v>43698</c:v>
                </c:pt>
                <c:pt idx="678">
                  <c:v>43697</c:v>
                </c:pt>
                <c:pt idx="679">
                  <c:v>43696</c:v>
                </c:pt>
                <c:pt idx="680">
                  <c:v>43693</c:v>
                </c:pt>
                <c:pt idx="681">
                  <c:v>43692</c:v>
                </c:pt>
                <c:pt idx="682">
                  <c:v>43691</c:v>
                </c:pt>
                <c:pt idx="683">
                  <c:v>43690</c:v>
                </c:pt>
                <c:pt idx="684">
                  <c:v>43689</c:v>
                </c:pt>
                <c:pt idx="685">
                  <c:v>43686</c:v>
                </c:pt>
                <c:pt idx="686">
                  <c:v>43685</c:v>
                </c:pt>
                <c:pt idx="687">
                  <c:v>43684</c:v>
                </c:pt>
                <c:pt idx="688">
                  <c:v>43683</c:v>
                </c:pt>
                <c:pt idx="689">
                  <c:v>43682</c:v>
                </c:pt>
                <c:pt idx="690">
                  <c:v>43679</c:v>
                </c:pt>
                <c:pt idx="691">
                  <c:v>43678</c:v>
                </c:pt>
                <c:pt idx="692">
                  <c:v>43677</c:v>
                </c:pt>
                <c:pt idx="693">
                  <c:v>43676</c:v>
                </c:pt>
                <c:pt idx="694">
                  <c:v>43675</c:v>
                </c:pt>
                <c:pt idx="695">
                  <c:v>43672</c:v>
                </c:pt>
                <c:pt idx="696">
                  <c:v>43671</c:v>
                </c:pt>
                <c:pt idx="697">
                  <c:v>43670</c:v>
                </c:pt>
                <c:pt idx="698">
                  <c:v>43669</c:v>
                </c:pt>
                <c:pt idx="699">
                  <c:v>43668</c:v>
                </c:pt>
                <c:pt idx="700">
                  <c:v>43665</c:v>
                </c:pt>
                <c:pt idx="701">
                  <c:v>43664</c:v>
                </c:pt>
                <c:pt idx="702">
                  <c:v>43663</c:v>
                </c:pt>
                <c:pt idx="703">
                  <c:v>43662</c:v>
                </c:pt>
                <c:pt idx="704">
                  <c:v>43661</c:v>
                </c:pt>
                <c:pt idx="705">
                  <c:v>43658</c:v>
                </c:pt>
                <c:pt idx="706">
                  <c:v>43657</c:v>
                </c:pt>
                <c:pt idx="707">
                  <c:v>43656</c:v>
                </c:pt>
                <c:pt idx="708">
                  <c:v>43655</c:v>
                </c:pt>
                <c:pt idx="709">
                  <c:v>43654</c:v>
                </c:pt>
                <c:pt idx="710">
                  <c:v>43651</c:v>
                </c:pt>
                <c:pt idx="711">
                  <c:v>43649</c:v>
                </c:pt>
                <c:pt idx="712">
                  <c:v>43648</c:v>
                </c:pt>
                <c:pt idx="713">
                  <c:v>43647</c:v>
                </c:pt>
                <c:pt idx="714">
                  <c:v>43644</c:v>
                </c:pt>
                <c:pt idx="715">
                  <c:v>43643</c:v>
                </c:pt>
                <c:pt idx="716">
                  <c:v>43642</c:v>
                </c:pt>
                <c:pt idx="717">
                  <c:v>43641</c:v>
                </c:pt>
                <c:pt idx="718">
                  <c:v>43640</c:v>
                </c:pt>
                <c:pt idx="719">
                  <c:v>43637</c:v>
                </c:pt>
                <c:pt idx="720">
                  <c:v>43636</c:v>
                </c:pt>
                <c:pt idx="721">
                  <c:v>43635</c:v>
                </c:pt>
                <c:pt idx="722">
                  <c:v>43634</c:v>
                </c:pt>
                <c:pt idx="723">
                  <c:v>43633</c:v>
                </c:pt>
                <c:pt idx="724">
                  <c:v>43630</c:v>
                </c:pt>
                <c:pt idx="725">
                  <c:v>43629</c:v>
                </c:pt>
                <c:pt idx="726">
                  <c:v>43628</c:v>
                </c:pt>
                <c:pt idx="727">
                  <c:v>43627</c:v>
                </c:pt>
                <c:pt idx="728">
                  <c:v>43626</c:v>
                </c:pt>
                <c:pt idx="729">
                  <c:v>43623</c:v>
                </c:pt>
                <c:pt idx="730">
                  <c:v>43622</c:v>
                </c:pt>
                <c:pt idx="731">
                  <c:v>43621</c:v>
                </c:pt>
                <c:pt idx="732">
                  <c:v>43620</c:v>
                </c:pt>
                <c:pt idx="733">
                  <c:v>43619</c:v>
                </c:pt>
                <c:pt idx="734">
                  <c:v>43616</c:v>
                </c:pt>
                <c:pt idx="735">
                  <c:v>43615</c:v>
                </c:pt>
                <c:pt idx="736">
                  <c:v>43614</c:v>
                </c:pt>
                <c:pt idx="737">
                  <c:v>43613</c:v>
                </c:pt>
                <c:pt idx="738">
                  <c:v>43612</c:v>
                </c:pt>
                <c:pt idx="739">
                  <c:v>43609</c:v>
                </c:pt>
                <c:pt idx="740">
                  <c:v>43608</c:v>
                </c:pt>
                <c:pt idx="741">
                  <c:v>43607</c:v>
                </c:pt>
                <c:pt idx="742">
                  <c:v>43606</c:v>
                </c:pt>
                <c:pt idx="743">
                  <c:v>43605</c:v>
                </c:pt>
                <c:pt idx="744">
                  <c:v>43602</c:v>
                </c:pt>
                <c:pt idx="745">
                  <c:v>43601</c:v>
                </c:pt>
                <c:pt idx="746">
                  <c:v>43600</c:v>
                </c:pt>
                <c:pt idx="747">
                  <c:v>43599</c:v>
                </c:pt>
                <c:pt idx="748">
                  <c:v>43598</c:v>
                </c:pt>
                <c:pt idx="749">
                  <c:v>43595</c:v>
                </c:pt>
                <c:pt idx="750">
                  <c:v>43594</c:v>
                </c:pt>
                <c:pt idx="751">
                  <c:v>43593</c:v>
                </c:pt>
                <c:pt idx="752">
                  <c:v>43592</c:v>
                </c:pt>
                <c:pt idx="753">
                  <c:v>43591</c:v>
                </c:pt>
                <c:pt idx="754">
                  <c:v>43588</c:v>
                </c:pt>
                <c:pt idx="755">
                  <c:v>43587</c:v>
                </c:pt>
                <c:pt idx="756">
                  <c:v>43586</c:v>
                </c:pt>
                <c:pt idx="757">
                  <c:v>43585</c:v>
                </c:pt>
                <c:pt idx="758">
                  <c:v>43584</c:v>
                </c:pt>
                <c:pt idx="759">
                  <c:v>43581</c:v>
                </c:pt>
                <c:pt idx="760">
                  <c:v>43580</c:v>
                </c:pt>
                <c:pt idx="761">
                  <c:v>43579</c:v>
                </c:pt>
                <c:pt idx="762">
                  <c:v>43578</c:v>
                </c:pt>
                <c:pt idx="763">
                  <c:v>43577</c:v>
                </c:pt>
                <c:pt idx="764">
                  <c:v>43573</c:v>
                </c:pt>
                <c:pt idx="765">
                  <c:v>43572</c:v>
                </c:pt>
                <c:pt idx="766">
                  <c:v>43571</c:v>
                </c:pt>
                <c:pt idx="767">
                  <c:v>43570</c:v>
                </c:pt>
                <c:pt idx="768">
                  <c:v>43567</c:v>
                </c:pt>
                <c:pt idx="769">
                  <c:v>43566</c:v>
                </c:pt>
                <c:pt idx="770">
                  <c:v>43565</c:v>
                </c:pt>
                <c:pt idx="771">
                  <c:v>43564</c:v>
                </c:pt>
                <c:pt idx="772">
                  <c:v>43563</c:v>
                </c:pt>
                <c:pt idx="773">
                  <c:v>43560</c:v>
                </c:pt>
                <c:pt idx="774">
                  <c:v>43559</c:v>
                </c:pt>
                <c:pt idx="775">
                  <c:v>43558</c:v>
                </c:pt>
                <c:pt idx="776">
                  <c:v>43557</c:v>
                </c:pt>
                <c:pt idx="777">
                  <c:v>43556</c:v>
                </c:pt>
                <c:pt idx="778">
                  <c:v>43553</c:v>
                </c:pt>
                <c:pt idx="779">
                  <c:v>43552</c:v>
                </c:pt>
                <c:pt idx="780">
                  <c:v>43551</c:v>
                </c:pt>
                <c:pt idx="781">
                  <c:v>43550</c:v>
                </c:pt>
                <c:pt idx="782">
                  <c:v>43549</c:v>
                </c:pt>
                <c:pt idx="783">
                  <c:v>43546</c:v>
                </c:pt>
                <c:pt idx="784">
                  <c:v>43545</c:v>
                </c:pt>
                <c:pt idx="785">
                  <c:v>43544</c:v>
                </c:pt>
                <c:pt idx="786">
                  <c:v>43543</c:v>
                </c:pt>
                <c:pt idx="787">
                  <c:v>43542</c:v>
                </c:pt>
                <c:pt idx="788">
                  <c:v>43539</c:v>
                </c:pt>
                <c:pt idx="789">
                  <c:v>43538</c:v>
                </c:pt>
                <c:pt idx="790">
                  <c:v>43537</c:v>
                </c:pt>
                <c:pt idx="791">
                  <c:v>43536</c:v>
                </c:pt>
                <c:pt idx="792">
                  <c:v>43535</c:v>
                </c:pt>
                <c:pt idx="793">
                  <c:v>43532</c:v>
                </c:pt>
                <c:pt idx="794">
                  <c:v>43531</c:v>
                </c:pt>
                <c:pt idx="795">
                  <c:v>43530</c:v>
                </c:pt>
                <c:pt idx="796">
                  <c:v>43529</c:v>
                </c:pt>
                <c:pt idx="797">
                  <c:v>43528</c:v>
                </c:pt>
                <c:pt idx="798">
                  <c:v>43525</c:v>
                </c:pt>
                <c:pt idx="799">
                  <c:v>43524</c:v>
                </c:pt>
                <c:pt idx="800">
                  <c:v>43523</c:v>
                </c:pt>
                <c:pt idx="801">
                  <c:v>43522</c:v>
                </c:pt>
                <c:pt idx="802">
                  <c:v>43521</c:v>
                </c:pt>
                <c:pt idx="803">
                  <c:v>43518</c:v>
                </c:pt>
                <c:pt idx="804">
                  <c:v>43517</c:v>
                </c:pt>
                <c:pt idx="805">
                  <c:v>43516</c:v>
                </c:pt>
                <c:pt idx="806">
                  <c:v>43515</c:v>
                </c:pt>
                <c:pt idx="807">
                  <c:v>43514</c:v>
                </c:pt>
                <c:pt idx="808">
                  <c:v>43511</c:v>
                </c:pt>
                <c:pt idx="809">
                  <c:v>43510</c:v>
                </c:pt>
                <c:pt idx="810">
                  <c:v>43509</c:v>
                </c:pt>
                <c:pt idx="811">
                  <c:v>43508</c:v>
                </c:pt>
                <c:pt idx="812">
                  <c:v>43507</c:v>
                </c:pt>
                <c:pt idx="813">
                  <c:v>43504</c:v>
                </c:pt>
                <c:pt idx="814">
                  <c:v>43503</c:v>
                </c:pt>
                <c:pt idx="815">
                  <c:v>43502</c:v>
                </c:pt>
                <c:pt idx="816">
                  <c:v>43501</c:v>
                </c:pt>
                <c:pt idx="817">
                  <c:v>43500</c:v>
                </c:pt>
                <c:pt idx="818">
                  <c:v>43497</c:v>
                </c:pt>
                <c:pt idx="819">
                  <c:v>43496</c:v>
                </c:pt>
                <c:pt idx="820">
                  <c:v>43495</c:v>
                </c:pt>
                <c:pt idx="821">
                  <c:v>43494</c:v>
                </c:pt>
                <c:pt idx="822">
                  <c:v>43493</c:v>
                </c:pt>
                <c:pt idx="823">
                  <c:v>43490</c:v>
                </c:pt>
                <c:pt idx="824">
                  <c:v>43489</c:v>
                </c:pt>
                <c:pt idx="825">
                  <c:v>43488</c:v>
                </c:pt>
                <c:pt idx="826">
                  <c:v>43487</c:v>
                </c:pt>
                <c:pt idx="827">
                  <c:v>43486</c:v>
                </c:pt>
                <c:pt idx="828">
                  <c:v>43483</c:v>
                </c:pt>
                <c:pt idx="829">
                  <c:v>43482</c:v>
                </c:pt>
                <c:pt idx="830">
                  <c:v>43481</c:v>
                </c:pt>
                <c:pt idx="831">
                  <c:v>43480</c:v>
                </c:pt>
                <c:pt idx="832">
                  <c:v>43479</c:v>
                </c:pt>
                <c:pt idx="833">
                  <c:v>43476</c:v>
                </c:pt>
                <c:pt idx="834">
                  <c:v>43475</c:v>
                </c:pt>
                <c:pt idx="835">
                  <c:v>43474</c:v>
                </c:pt>
                <c:pt idx="836">
                  <c:v>43473</c:v>
                </c:pt>
                <c:pt idx="837">
                  <c:v>43472</c:v>
                </c:pt>
                <c:pt idx="838">
                  <c:v>43469</c:v>
                </c:pt>
                <c:pt idx="839">
                  <c:v>43468</c:v>
                </c:pt>
                <c:pt idx="840">
                  <c:v>43467</c:v>
                </c:pt>
                <c:pt idx="841">
                  <c:v>43465</c:v>
                </c:pt>
                <c:pt idx="842">
                  <c:v>43462</c:v>
                </c:pt>
                <c:pt idx="843">
                  <c:v>43461</c:v>
                </c:pt>
                <c:pt idx="844">
                  <c:v>43460</c:v>
                </c:pt>
                <c:pt idx="845">
                  <c:v>43458</c:v>
                </c:pt>
                <c:pt idx="846">
                  <c:v>43455</c:v>
                </c:pt>
                <c:pt idx="847">
                  <c:v>43454</c:v>
                </c:pt>
                <c:pt idx="848">
                  <c:v>43453</c:v>
                </c:pt>
                <c:pt idx="849">
                  <c:v>43452</c:v>
                </c:pt>
                <c:pt idx="850">
                  <c:v>43451</c:v>
                </c:pt>
                <c:pt idx="851">
                  <c:v>43448</c:v>
                </c:pt>
                <c:pt idx="852">
                  <c:v>43447</c:v>
                </c:pt>
                <c:pt idx="853">
                  <c:v>43446</c:v>
                </c:pt>
                <c:pt idx="854">
                  <c:v>43445</c:v>
                </c:pt>
                <c:pt idx="855">
                  <c:v>43444</c:v>
                </c:pt>
                <c:pt idx="856">
                  <c:v>43441</c:v>
                </c:pt>
                <c:pt idx="857">
                  <c:v>43440</c:v>
                </c:pt>
                <c:pt idx="858">
                  <c:v>43439</c:v>
                </c:pt>
                <c:pt idx="859">
                  <c:v>43438</c:v>
                </c:pt>
                <c:pt idx="860">
                  <c:v>43437</c:v>
                </c:pt>
                <c:pt idx="861">
                  <c:v>43434</c:v>
                </c:pt>
                <c:pt idx="862">
                  <c:v>43433</c:v>
                </c:pt>
                <c:pt idx="863">
                  <c:v>43432</c:v>
                </c:pt>
                <c:pt idx="864">
                  <c:v>43431</c:v>
                </c:pt>
                <c:pt idx="865">
                  <c:v>43430</c:v>
                </c:pt>
                <c:pt idx="866">
                  <c:v>43427</c:v>
                </c:pt>
                <c:pt idx="867">
                  <c:v>43425</c:v>
                </c:pt>
                <c:pt idx="868">
                  <c:v>43424</c:v>
                </c:pt>
                <c:pt idx="869">
                  <c:v>43423</c:v>
                </c:pt>
                <c:pt idx="870">
                  <c:v>43420</c:v>
                </c:pt>
                <c:pt idx="871">
                  <c:v>43419</c:v>
                </c:pt>
                <c:pt idx="872">
                  <c:v>43418</c:v>
                </c:pt>
                <c:pt idx="873">
                  <c:v>43417</c:v>
                </c:pt>
                <c:pt idx="874">
                  <c:v>43416</c:v>
                </c:pt>
                <c:pt idx="875">
                  <c:v>43413</c:v>
                </c:pt>
                <c:pt idx="876">
                  <c:v>43412</c:v>
                </c:pt>
                <c:pt idx="877">
                  <c:v>43411</c:v>
                </c:pt>
                <c:pt idx="878">
                  <c:v>43410</c:v>
                </c:pt>
                <c:pt idx="879">
                  <c:v>43409</c:v>
                </c:pt>
                <c:pt idx="880">
                  <c:v>43406</c:v>
                </c:pt>
                <c:pt idx="881">
                  <c:v>43405</c:v>
                </c:pt>
                <c:pt idx="882">
                  <c:v>43404</c:v>
                </c:pt>
                <c:pt idx="883">
                  <c:v>43403</c:v>
                </c:pt>
                <c:pt idx="884">
                  <c:v>43402</c:v>
                </c:pt>
                <c:pt idx="885">
                  <c:v>43399</c:v>
                </c:pt>
                <c:pt idx="886">
                  <c:v>43398</c:v>
                </c:pt>
                <c:pt idx="887">
                  <c:v>43397</c:v>
                </c:pt>
                <c:pt idx="888">
                  <c:v>43396</c:v>
                </c:pt>
                <c:pt idx="889">
                  <c:v>43395</c:v>
                </c:pt>
                <c:pt idx="890">
                  <c:v>43392</c:v>
                </c:pt>
                <c:pt idx="891">
                  <c:v>43391</c:v>
                </c:pt>
                <c:pt idx="892">
                  <c:v>43390</c:v>
                </c:pt>
                <c:pt idx="893">
                  <c:v>43389</c:v>
                </c:pt>
                <c:pt idx="894">
                  <c:v>43388</c:v>
                </c:pt>
                <c:pt idx="895">
                  <c:v>43385</c:v>
                </c:pt>
                <c:pt idx="896">
                  <c:v>43384</c:v>
                </c:pt>
                <c:pt idx="897">
                  <c:v>43383</c:v>
                </c:pt>
                <c:pt idx="898">
                  <c:v>43382</c:v>
                </c:pt>
                <c:pt idx="899">
                  <c:v>43381</c:v>
                </c:pt>
                <c:pt idx="900">
                  <c:v>43378</c:v>
                </c:pt>
                <c:pt idx="901">
                  <c:v>43377</c:v>
                </c:pt>
                <c:pt idx="902">
                  <c:v>43376</c:v>
                </c:pt>
                <c:pt idx="903">
                  <c:v>43375</c:v>
                </c:pt>
                <c:pt idx="904">
                  <c:v>43374</c:v>
                </c:pt>
                <c:pt idx="905">
                  <c:v>43371</c:v>
                </c:pt>
                <c:pt idx="906">
                  <c:v>43370</c:v>
                </c:pt>
                <c:pt idx="907">
                  <c:v>43369</c:v>
                </c:pt>
                <c:pt idx="908">
                  <c:v>43368</c:v>
                </c:pt>
                <c:pt idx="909">
                  <c:v>43367</c:v>
                </c:pt>
                <c:pt idx="910">
                  <c:v>43364</c:v>
                </c:pt>
                <c:pt idx="911">
                  <c:v>43363</c:v>
                </c:pt>
                <c:pt idx="912">
                  <c:v>43362</c:v>
                </c:pt>
                <c:pt idx="913">
                  <c:v>43361</c:v>
                </c:pt>
                <c:pt idx="914">
                  <c:v>43360</c:v>
                </c:pt>
                <c:pt idx="915">
                  <c:v>43357</c:v>
                </c:pt>
                <c:pt idx="916">
                  <c:v>43356</c:v>
                </c:pt>
                <c:pt idx="917">
                  <c:v>43355</c:v>
                </c:pt>
                <c:pt idx="918">
                  <c:v>43354</c:v>
                </c:pt>
                <c:pt idx="919">
                  <c:v>43353</c:v>
                </c:pt>
                <c:pt idx="920">
                  <c:v>43350</c:v>
                </c:pt>
                <c:pt idx="921">
                  <c:v>43349</c:v>
                </c:pt>
                <c:pt idx="922">
                  <c:v>43348</c:v>
                </c:pt>
                <c:pt idx="923">
                  <c:v>43347</c:v>
                </c:pt>
                <c:pt idx="924">
                  <c:v>43343</c:v>
                </c:pt>
                <c:pt idx="925">
                  <c:v>43342</c:v>
                </c:pt>
                <c:pt idx="926">
                  <c:v>43341</c:v>
                </c:pt>
                <c:pt idx="927">
                  <c:v>43340</c:v>
                </c:pt>
                <c:pt idx="928">
                  <c:v>43339</c:v>
                </c:pt>
                <c:pt idx="929">
                  <c:v>43336</c:v>
                </c:pt>
                <c:pt idx="930">
                  <c:v>43335</c:v>
                </c:pt>
                <c:pt idx="931">
                  <c:v>43334</c:v>
                </c:pt>
                <c:pt idx="932">
                  <c:v>43333</c:v>
                </c:pt>
                <c:pt idx="933">
                  <c:v>43332</c:v>
                </c:pt>
                <c:pt idx="934">
                  <c:v>43329</c:v>
                </c:pt>
                <c:pt idx="935">
                  <c:v>43328</c:v>
                </c:pt>
                <c:pt idx="936">
                  <c:v>43327</c:v>
                </c:pt>
                <c:pt idx="937">
                  <c:v>43326</c:v>
                </c:pt>
                <c:pt idx="938">
                  <c:v>43325</c:v>
                </c:pt>
                <c:pt idx="939">
                  <c:v>43322</c:v>
                </c:pt>
                <c:pt idx="940">
                  <c:v>43321</c:v>
                </c:pt>
                <c:pt idx="941">
                  <c:v>43320</c:v>
                </c:pt>
                <c:pt idx="942">
                  <c:v>43319</c:v>
                </c:pt>
                <c:pt idx="943">
                  <c:v>43318</c:v>
                </c:pt>
                <c:pt idx="944">
                  <c:v>43315</c:v>
                </c:pt>
                <c:pt idx="945">
                  <c:v>43314</c:v>
                </c:pt>
                <c:pt idx="946">
                  <c:v>43313</c:v>
                </c:pt>
                <c:pt idx="947">
                  <c:v>43312</c:v>
                </c:pt>
                <c:pt idx="948">
                  <c:v>43311</c:v>
                </c:pt>
                <c:pt idx="949">
                  <c:v>43308</c:v>
                </c:pt>
                <c:pt idx="950">
                  <c:v>43307</c:v>
                </c:pt>
                <c:pt idx="951">
                  <c:v>43306</c:v>
                </c:pt>
                <c:pt idx="952">
                  <c:v>43305</c:v>
                </c:pt>
                <c:pt idx="953">
                  <c:v>43304</c:v>
                </c:pt>
                <c:pt idx="954">
                  <c:v>43301</c:v>
                </c:pt>
                <c:pt idx="955">
                  <c:v>43300</c:v>
                </c:pt>
                <c:pt idx="956">
                  <c:v>43299</c:v>
                </c:pt>
                <c:pt idx="957">
                  <c:v>43298</c:v>
                </c:pt>
                <c:pt idx="958">
                  <c:v>43297</c:v>
                </c:pt>
                <c:pt idx="959">
                  <c:v>43294</c:v>
                </c:pt>
                <c:pt idx="960">
                  <c:v>43293</c:v>
                </c:pt>
                <c:pt idx="961">
                  <c:v>43292</c:v>
                </c:pt>
                <c:pt idx="962">
                  <c:v>43291</c:v>
                </c:pt>
                <c:pt idx="963">
                  <c:v>43290</c:v>
                </c:pt>
                <c:pt idx="964">
                  <c:v>43287</c:v>
                </c:pt>
                <c:pt idx="965">
                  <c:v>43286</c:v>
                </c:pt>
                <c:pt idx="966">
                  <c:v>43284</c:v>
                </c:pt>
                <c:pt idx="967">
                  <c:v>43283</c:v>
                </c:pt>
                <c:pt idx="968">
                  <c:v>43280</c:v>
                </c:pt>
                <c:pt idx="969">
                  <c:v>43279</c:v>
                </c:pt>
                <c:pt idx="970">
                  <c:v>43278</c:v>
                </c:pt>
                <c:pt idx="971">
                  <c:v>43277</c:v>
                </c:pt>
                <c:pt idx="972">
                  <c:v>43276</c:v>
                </c:pt>
                <c:pt idx="973">
                  <c:v>43273</c:v>
                </c:pt>
                <c:pt idx="974">
                  <c:v>43272</c:v>
                </c:pt>
                <c:pt idx="975">
                  <c:v>43271</c:v>
                </c:pt>
                <c:pt idx="976">
                  <c:v>43270</c:v>
                </c:pt>
                <c:pt idx="977">
                  <c:v>43269</c:v>
                </c:pt>
                <c:pt idx="978">
                  <c:v>43266</c:v>
                </c:pt>
                <c:pt idx="979">
                  <c:v>43265</c:v>
                </c:pt>
                <c:pt idx="980">
                  <c:v>43264</c:v>
                </c:pt>
                <c:pt idx="981">
                  <c:v>43263</c:v>
                </c:pt>
                <c:pt idx="982">
                  <c:v>43262</c:v>
                </c:pt>
                <c:pt idx="983">
                  <c:v>43259</c:v>
                </c:pt>
                <c:pt idx="984">
                  <c:v>43258</c:v>
                </c:pt>
                <c:pt idx="985">
                  <c:v>43257</c:v>
                </c:pt>
                <c:pt idx="986">
                  <c:v>43256</c:v>
                </c:pt>
                <c:pt idx="987">
                  <c:v>43255</c:v>
                </c:pt>
                <c:pt idx="988">
                  <c:v>43252</c:v>
                </c:pt>
                <c:pt idx="989">
                  <c:v>43251</c:v>
                </c:pt>
                <c:pt idx="990">
                  <c:v>43250</c:v>
                </c:pt>
                <c:pt idx="991">
                  <c:v>43249</c:v>
                </c:pt>
                <c:pt idx="992">
                  <c:v>43245</c:v>
                </c:pt>
                <c:pt idx="993">
                  <c:v>43244</c:v>
                </c:pt>
                <c:pt idx="994">
                  <c:v>43243</c:v>
                </c:pt>
                <c:pt idx="995">
                  <c:v>43242</c:v>
                </c:pt>
                <c:pt idx="996">
                  <c:v>43241</c:v>
                </c:pt>
                <c:pt idx="997">
                  <c:v>43238</c:v>
                </c:pt>
                <c:pt idx="998">
                  <c:v>43237</c:v>
                </c:pt>
                <c:pt idx="999">
                  <c:v>43236</c:v>
                </c:pt>
                <c:pt idx="1000">
                  <c:v>43235</c:v>
                </c:pt>
                <c:pt idx="1001">
                  <c:v>43234</c:v>
                </c:pt>
                <c:pt idx="1002">
                  <c:v>43231</c:v>
                </c:pt>
                <c:pt idx="1003">
                  <c:v>43230</c:v>
                </c:pt>
                <c:pt idx="1004">
                  <c:v>43229</c:v>
                </c:pt>
                <c:pt idx="1005">
                  <c:v>43228</c:v>
                </c:pt>
                <c:pt idx="1006">
                  <c:v>43227</c:v>
                </c:pt>
                <c:pt idx="1007">
                  <c:v>43224</c:v>
                </c:pt>
                <c:pt idx="1008">
                  <c:v>43223</c:v>
                </c:pt>
                <c:pt idx="1009">
                  <c:v>43222</c:v>
                </c:pt>
                <c:pt idx="1010">
                  <c:v>43221</c:v>
                </c:pt>
                <c:pt idx="1011">
                  <c:v>43220</c:v>
                </c:pt>
                <c:pt idx="1012">
                  <c:v>43217</c:v>
                </c:pt>
                <c:pt idx="1013">
                  <c:v>43216</c:v>
                </c:pt>
                <c:pt idx="1014">
                  <c:v>43215</c:v>
                </c:pt>
                <c:pt idx="1015">
                  <c:v>43214</c:v>
                </c:pt>
                <c:pt idx="1016">
                  <c:v>43213</c:v>
                </c:pt>
                <c:pt idx="1017">
                  <c:v>43210</c:v>
                </c:pt>
                <c:pt idx="1018">
                  <c:v>43209</c:v>
                </c:pt>
                <c:pt idx="1019">
                  <c:v>43208</c:v>
                </c:pt>
                <c:pt idx="1020">
                  <c:v>43207</c:v>
                </c:pt>
                <c:pt idx="1021">
                  <c:v>43206</c:v>
                </c:pt>
                <c:pt idx="1022">
                  <c:v>43203</c:v>
                </c:pt>
                <c:pt idx="1023">
                  <c:v>43202</c:v>
                </c:pt>
                <c:pt idx="1024">
                  <c:v>43201</c:v>
                </c:pt>
                <c:pt idx="1025">
                  <c:v>43200</c:v>
                </c:pt>
                <c:pt idx="1026">
                  <c:v>43199</c:v>
                </c:pt>
                <c:pt idx="1027">
                  <c:v>43196</c:v>
                </c:pt>
                <c:pt idx="1028">
                  <c:v>43195</c:v>
                </c:pt>
                <c:pt idx="1029">
                  <c:v>43194</c:v>
                </c:pt>
                <c:pt idx="1030">
                  <c:v>43193</c:v>
                </c:pt>
                <c:pt idx="1031">
                  <c:v>43192</c:v>
                </c:pt>
                <c:pt idx="1032">
                  <c:v>43189</c:v>
                </c:pt>
                <c:pt idx="1033">
                  <c:v>43188</c:v>
                </c:pt>
                <c:pt idx="1034">
                  <c:v>43187</c:v>
                </c:pt>
                <c:pt idx="1035">
                  <c:v>43186</c:v>
                </c:pt>
                <c:pt idx="1036">
                  <c:v>43185</c:v>
                </c:pt>
                <c:pt idx="1037">
                  <c:v>43182</c:v>
                </c:pt>
                <c:pt idx="1038">
                  <c:v>43181</c:v>
                </c:pt>
                <c:pt idx="1039">
                  <c:v>43180</c:v>
                </c:pt>
                <c:pt idx="1040">
                  <c:v>43179</c:v>
                </c:pt>
                <c:pt idx="1041">
                  <c:v>43178</c:v>
                </c:pt>
                <c:pt idx="1042">
                  <c:v>43175</c:v>
                </c:pt>
                <c:pt idx="1043">
                  <c:v>43174</c:v>
                </c:pt>
                <c:pt idx="1044">
                  <c:v>43173</c:v>
                </c:pt>
                <c:pt idx="1045">
                  <c:v>43172</c:v>
                </c:pt>
                <c:pt idx="1046">
                  <c:v>43171</c:v>
                </c:pt>
                <c:pt idx="1047">
                  <c:v>43168</c:v>
                </c:pt>
                <c:pt idx="1048">
                  <c:v>43167</c:v>
                </c:pt>
                <c:pt idx="1049">
                  <c:v>43166</c:v>
                </c:pt>
                <c:pt idx="1050">
                  <c:v>43165</c:v>
                </c:pt>
                <c:pt idx="1051">
                  <c:v>43164</c:v>
                </c:pt>
                <c:pt idx="1052">
                  <c:v>43161</c:v>
                </c:pt>
                <c:pt idx="1053">
                  <c:v>43160</c:v>
                </c:pt>
                <c:pt idx="1054">
                  <c:v>43159</c:v>
                </c:pt>
                <c:pt idx="1055">
                  <c:v>43158</c:v>
                </c:pt>
                <c:pt idx="1056">
                  <c:v>43157</c:v>
                </c:pt>
                <c:pt idx="1057">
                  <c:v>43154</c:v>
                </c:pt>
                <c:pt idx="1058">
                  <c:v>43153</c:v>
                </c:pt>
                <c:pt idx="1059">
                  <c:v>43152</c:v>
                </c:pt>
                <c:pt idx="1060">
                  <c:v>43151</c:v>
                </c:pt>
                <c:pt idx="1061">
                  <c:v>43147</c:v>
                </c:pt>
                <c:pt idx="1062">
                  <c:v>43146</c:v>
                </c:pt>
                <c:pt idx="1063">
                  <c:v>43145</c:v>
                </c:pt>
                <c:pt idx="1064">
                  <c:v>43144</c:v>
                </c:pt>
                <c:pt idx="1065">
                  <c:v>43143</c:v>
                </c:pt>
                <c:pt idx="1066">
                  <c:v>43140</c:v>
                </c:pt>
                <c:pt idx="1067">
                  <c:v>43139</c:v>
                </c:pt>
                <c:pt idx="1068">
                  <c:v>43138</c:v>
                </c:pt>
                <c:pt idx="1069">
                  <c:v>43137</c:v>
                </c:pt>
                <c:pt idx="1070">
                  <c:v>43136</c:v>
                </c:pt>
                <c:pt idx="1071">
                  <c:v>43133</c:v>
                </c:pt>
                <c:pt idx="1072">
                  <c:v>43132</c:v>
                </c:pt>
                <c:pt idx="1073">
                  <c:v>43131</c:v>
                </c:pt>
                <c:pt idx="1074">
                  <c:v>43130</c:v>
                </c:pt>
                <c:pt idx="1075">
                  <c:v>43129</c:v>
                </c:pt>
                <c:pt idx="1076">
                  <c:v>43126</c:v>
                </c:pt>
                <c:pt idx="1077">
                  <c:v>43125</c:v>
                </c:pt>
                <c:pt idx="1078">
                  <c:v>43124</c:v>
                </c:pt>
                <c:pt idx="1079">
                  <c:v>43123</c:v>
                </c:pt>
                <c:pt idx="1080">
                  <c:v>43122</c:v>
                </c:pt>
                <c:pt idx="1081">
                  <c:v>43119</c:v>
                </c:pt>
                <c:pt idx="1082">
                  <c:v>43118</c:v>
                </c:pt>
                <c:pt idx="1083">
                  <c:v>43117</c:v>
                </c:pt>
                <c:pt idx="1084">
                  <c:v>43116</c:v>
                </c:pt>
                <c:pt idx="1085">
                  <c:v>43112</c:v>
                </c:pt>
                <c:pt idx="1086">
                  <c:v>43111</c:v>
                </c:pt>
                <c:pt idx="1087">
                  <c:v>43110</c:v>
                </c:pt>
                <c:pt idx="1088">
                  <c:v>43109</c:v>
                </c:pt>
                <c:pt idx="1089">
                  <c:v>43108</c:v>
                </c:pt>
                <c:pt idx="1090">
                  <c:v>43105</c:v>
                </c:pt>
              </c:numCache>
            </c:numRef>
          </c:cat>
          <c:val>
            <c:numRef>
              <c:f>'Shipping Spot'!$B$2:$B$1092</c:f>
              <c:numCache>
                <c:formatCode>General</c:formatCode>
                <c:ptCount val="1091"/>
                <c:pt idx="0">
                  <c:v>107000</c:v>
                </c:pt>
                <c:pt idx="5">
                  <c:v>105000</c:v>
                </c:pt>
                <c:pt idx="9">
                  <c:v>105000</c:v>
                </c:pt>
                <c:pt idx="14">
                  <c:v>102500</c:v>
                </c:pt>
                <c:pt idx="19">
                  <c:v>102500</c:v>
                </c:pt>
                <c:pt idx="24">
                  <c:v>102500</c:v>
                </c:pt>
                <c:pt idx="29">
                  <c:v>99000</c:v>
                </c:pt>
                <c:pt idx="34">
                  <c:v>100000</c:v>
                </c:pt>
                <c:pt idx="38">
                  <c:v>76000</c:v>
                </c:pt>
                <c:pt idx="44">
                  <c:v>75000</c:v>
                </c:pt>
                <c:pt idx="48">
                  <c:v>75000</c:v>
                </c:pt>
                <c:pt idx="53">
                  <c:v>80000</c:v>
                </c:pt>
                <c:pt idx="58">
                  <c:v>87000</c:v>
                </c:pt>
                <c:pt idx="63">
                  <c:v>89000</c:v>
                </c:pt>
                <c:pt idx="68">
                  <c:v>91000</c:v>
                </c:pt>
                <c:pt idx="72">
                  <c:v>92000</c:v>
                </c:pt>
                <c:pt idx="77">
                  <c:v>94000</c:v>
                </c:pt>
                <c:pt idx="82">
                  <c:v>95000</c:v>
                </c:pt>
                <c:pt idx="86">
                  <c:v>98000</c:v>
                </c:pt>
                <c:pt idx="91">
                  <c:v>102000</c:v>
                </c:pt>
                <c:pt idx="96">
                  <c:v>102000</c:v>
                </c:pt>
                <c:pt idx="101">
                  <c:v>102000</c:v>
                </c:pt>
                <c:pt idx="105">
                  <c:v>102000</c:v>
                </c:pt>
                <c:pt idx="110">
                  <c:v>102000</c:v>
                </c:pt>
                <c:pt idx="115">
                  <c:v>100000</c:v>
                </c:pt>
                <c:pt idx="120">
                  <c:v>100000</c:v>
                </c:pt>
                <c:pt idx="125">
                  <c:v>100000</c:v>
                </c:pt>
                <c:pt idx="130">
                  <c:v>100000</c:v>
                </c:pt>
                <c:pt idx="135">
                  <c:v>93000</c:v>
                </c:pt>
                <c:pt idx="140">
                  <c:v>93000</c:v>
                </c:pt>
                <c:pt idx="145">
                  <c:v>93000</c:v>
                </c:pt>
                <c:pt idx="150">
                  <c:v>93000</c:v>
                </c:pt>
                <c:pt idx="155">
                  <c:v>93000</c:v>
                </c:pt>
                <c:pt idx="160">
                  <c:v>93000</c:v>
                </c:pt>
                <c:pt idx="164">
                  <c:v>93000</c:v>
                </c:pt>
                <c:pt idx="169">
                  <c:v>93000</c:v>
                </c:pt>
                <c:pt idx="174">
                  <c:v>93000</c:v>
                </c:pt>
                <c:pt idx="179">
                  <c:v>93000</c:v>
                </c:pt>
                <c:pt idx="184">
                  <c:v>93000</c:v>
                </c:pt>
                <c:pt idx="189">
                  <c:v>93000</c:v>
                </c:pt>
                <c:pt idx="194">
                  <c:v>93000</c:v>
                </c:pt>
                <c:pt idx="199">
                  <c:v>92500</c:v>
                </c:pt>
                <c:pt idx="204">
                  <c:v>90000</c:v>
                </c:pt>
                <c:pt idx="208">
                  <c:v>85000</c:v>
                </c:pt>
                <c:pt idx="213">
                  <c:v>82000</c:v>
                </c:pt>
                <c:pt idx="218">
                  <c:v>79000</c:v>
                </c:pt>
                <c:pt idx="223">
                  <c:v>78000</c:v>
                </c:pt>
                <c:pt idx="228">
                  <c:v>77000</c:v>
                </c:pt>
                <c:pt idx="232">
                  <c:v>77000</c:v>
                </c:pt>
                <c:pt idx="237">
                  <c:v>77000</c:v>
                </c:pt>
                <c:pt idx="242">
                  <c:v>77000</c:v>
                </c:pt>
                <c:pt idx="247">
                  <c:v>75000</c:v>
                </c:pt>
                <c:pt idx="252">
                  <c:v>74000</c:v>
                </c:pt>
                <c:pt idx="257">
                  <c:v>66500</c:v>
                </c:pt>
                <c:pt idx="262">
                  <c:v>61000</c:v>
                </c:pt>
                <c:pt idx="267">
                  <c:v>60000</c:v>
                </c:pt>
                <c:pt idx="271">
                  <c:v>56000</c:v>
                </c:pt>
                <c:pt idx="276">
                  <c:v>53000</c:v>
                </c:pt>
                <c:pt idx="281">
                  <c:v>49000</c:v>
                </c:pt>
                <c:pt idx="286">
                  <c:v>48000</c:v>
                </c:pt>
                <c:pt idx="291">
                  <c:v>48000</c:v>
                </c:pt>
                <c:pt idx="296">
                  <c:v>48000</c:v>
                </c:pt>
                <c:pt idx="301">
                  <c:v>48000</c:v>
                </c:pt>
                <c:pt idx="305">
                  <c:v>48000</c:v>
                </c:pt>
                <c:pt idx="310">
                  <c:v>49000</c:v>
                </c:pt>
                <c:pt idx="315">
                  <c:v>49000</c:v>
                </c:pt>
                <c:pt idx="320">
                  <c:v>49000</c:v>
                </c:pt>
                <c:pt idx="324">
                  <c:v>49000</c:v>
                </c:pt>
                <c:pt idx="329">
                  <c:v>47000</c:v>
                </c:pt>
                <c:pt idx="333">
                  <c:v>47000</c:v>
                </c:pt>
                <c:pt idx="337">
                  <c:v>47000</c:v>
                </c:pt>
                <c:pt idx="342">
                  <c:v>47000</c:v>
                </c:pt>
                <c:pt idx="347">
                  <c:v>47000</c:v>
                </c:pt>
                <c:pt idx="352">
                  <c:v>47000</c:v>
                </c:pt>
                <c:pt idx="356">
                  <c:v>47000</c:v>
                </c:pt>
                <c:pt idx="361">
                  <c:v>47000</c:v>
                </c:pt>
                <c:pt idx="366">
                  <c:v>48000</c:v>
                </c:pt>
                <c:pt idx="371">
                  <c:v>48000</c:v>
                </c:pt>
                <c:pt idx="376">
                  <c:v>48000</c:v>
                </c:pt>
                <c:pt idx="381">
                  <c:v>48000</c:v>
                </c:pt>
                <c:pt idx="386">
                  <c:v>48000</c:v>
                </c:pt>
                <c:pt idx="390">
                  <c:v>47000</c:v>
                </c:pt>
                <c:pt idx="396">
                  <c:v>47000</c:v>
                </c:pt>
                <c:pt idx="401">
                  <c:v>47000</c:v>
                </c:pt>
                <c:pt idx="406">
                  <c:v>47000</c:v>
                </c:pt>
                <c:pt idx="411">
                  <c:v>47000</c:v>
                </c:pt>
                <c:pt idx="415">
                  <c:v>47000</c:v>
                </c:pt>
                <c:pt idx="420">
                  <c:v>45000</c:v>
                </c:pt>
                <c:pt idx="425">
                  <c:v>45000</c:v>
                </c:pt>
                <c:pt idx="430">
                  <c:v>44000</c:v>
                </c:pt>
                <c:pt idx="435">
                  <c:v>44000</c:v>
                </c:pt>
                <c:pt idx="440">
                  <c:v>44000</c:v>
                </c:pt>
                <c:pt idx="445">
                  <c:v>44000</c:v>
                </c:pt>
                <c:pt idx="450">
                  <c:v>44000</c:v>
                </c:pt>
                <c:pt idx="455">
                  <c:v>44000</c:v>
                </c:pt>
                <c:pt idx="459">
                  <c:v>43000</c:v>
                </c:pt>
                <c:pt idx="464">
                  <c:v>43000</c:v>
                </c:pt>
                <c:pt idx="469">
                  <c:v>43000</c:v>
                </c:pt>
                <c:pt idx="474">
                  <c:v>43000</c:v>
                </c:pt>
                <c:pt idx="479">
                  <c:v>43000</c:v>
                </c:pt>
                <c:pt idx="484">
                  <c:v>43000</c:v>
                </c:pt>
                <c:pt idx="488">
                  <c:v>43000</c:v>
                </c:pt>
                <c:pt idx="493">
                  <c:v>44000</c:v>
                </c:pt>
                <c:pt idx="497">
                  <c:v>44000</c:v>
                </c:pt>
                <c:pt idx="503">
                  <c:v>47000</c:v>
                </c:pt>
                <c:pt idx="508">
                  <c:v>48000</c:v>
                </c:pt>
                <c:pt idx="513">
                  <c:v>49000</c:v>
                </c:pt>
                <c:pt idx="517">
                  <c:v>49000</c:v>
                </c:pt>
                <c:pt idx="522">
                  <c:v>49000</c:v>
                </c:pt>
                <c:pt idx="527">
                  <c:v>51000</c:v>
                </c:pt>
                <c:pt idx="532">
                  <c:v>51000</c:v>
                </c:pt>
                <c:pt idx="537">
                  <c:v>55000</c:v>
                </c:pt>
                <c:pt idx="542">
                  <c:v>61500</c:v>
                </c:pt>
                <c:pt idx="547">
                  <c:v>66000</c:v>
                </c:pt>
                <c:pt idx="552">
                  <c:v>69000</c:v>
                </c:pt>
                <c:pt idx="556">
                  <c:v>70500</c:v>
                </c:pt>
                <c:pt idx="561">
                  <c:v>71500</c:v>
                </c:pt>
                <c:pt idx="566">
                  <c:v>72500</c:v>
                </c:pt>
                <c:pt idx="571">
                  <c:v>74000</c:v>
                </c:pt>
                <c:pt idx="575">
                  <c:v>75000</c:v>
                </c:pt>
                <c:pt idx="580">
                  <c:v>75500</c:v>
                </c:pt>
                <c:pt idx="585">
                  <c:v>76000</c:v>
                </c:pt>
                <c:pt idx="590">
                  <c:v>76000</c:v>
                </c:pt>
                <c:pt idx="594">
                  <c:v>76000</c:v>
                </c:pt>
                <c:pt idx="599">
                  <c:v>77000</c:v>
                </c:pt>
                <c:pt idx="604">
                  <c:v>78000</c:v>
                </c:pt>
                <c:pt idx="608">
                  <c:v>78000</c:v>
                </c:pt>
                <c:pt idx="613">
                  <c:v>79000</c:v>
                </c:pt>
                <c:pt idx="618">
                  <c:v>81000</c:v>
                </c:pt>
                <c:pt idx="623">
                  <c:v>82000</c:v>
                </c:pt>
                <c:pt idx="628">
                  <c:v>82000</c:v>
                </c:pt>
                <c:pt idx="633">
                  <c:v>83000</c:v>
                </c:pt>
                <c:pt idx="638">
                  <c:v>83000</c:v>
                </c:pt>
                <c:pt idx="643">
                  <c:v>83000</c:v>
                </c:pt>
                <c:pt idx="648">
                  <c:v>82000</c:v>
                </c:pt>
                <c:pt idx="653">
                  <c:v>82000</c:v>
                </c:pt>
                <c:pt idx="658">
                  <c:v>82000</c:v>
                </c:pt>
                <c:pt idx="663">
                  <c:v>82000</c:v>
                </c:pt>
                <c:pt idx="668">
                  <c:v>82000</c:v>
                </c:pt>
                <c:pt idx="672">
                  <c:v>84000</c:v>
                </c:pt>
                <c:pt idx="677">
                  <c:v>84000</c:v>
                </c:pt>
                <c:pt idx="682">
                  <c:v>84000</c:v>
                </c:pt>
                <c:pt idx="687">
                  <c:v>84000</c:v>
                </c:pt>
                <c:pt idx="692">
                  <c:v>84000</c:v>
                </c:pt>
                <c:pt idx="697">
                  <c:v>84000</c:v>
                </c:pt>
                <c:pt idx="702">
                  <c:v>84000</c:v>
                </c:pt>
                <c:pt idx="707">
                  <c:v>84000</c:v>
                </c:pt>
                <c:pt idx="711">
                  <c:v>83000</c:v>
                </c:pt>
                <c:pt idx="716">
                  <c:v>83000</c:v>
                </c:pt>
                <c:pt idx="721">
                  <c:v>82000</c:v>
                </c:pt>
                <c:pt idx="726">
                  <c:v>82000</c:v>
                </c:pt>
                <c:pt idx="731">
                  <c:v>82000</c:v>
                </c:pt>
                <c:pt idx="733">
                  <c:v>82000</c:v>
                </c:pt>
                <c:pt idx="738">
                  <c:v>82000</c:v>
                </c:pt>
                <c:pt idx="743">
                  <c:v>80000</c:v>
                </c:pt>
                <c:pt idx="748">
                  <c:v>78000</c:v>
                </c:pt>
                <c:pt idx="753">
                  <c:v>75000</c:v>
                </c:pt>
                <c:pt idx="758">
                  <c:v>74000</c:v>
                </c:pt>
                <c:pt idx="763">
                  <c:v>74000</c:v>
                </c:pt>
                <c:pt idx="767">
                  <c:v>74000</c:v>
                </c:pt>
                <c:pt idx="772">
                  <c:v>74000</c:v>
                </c:pt>
                <c:pt idx="777">
                  <c:v>73000</c:v>
                </c:pt>
                <c:pt idx="782">
                  <c:v>73000</c:v>
                </c:pt>
                <c:pt idx="787">
                  <c:v>73000</c:v>
                </c:pt>
                <c:pt idx="792">
                  <c:v>73000</c:v>
                </c:pt>
                <c:pt idx="797">
                  <c:v>75000</c:v>
                </c:pt>
                <c:pt idx="802">
                  <c:v>75000</c:v>
                </c:pt>
                <c:pt idx="807">
                  <c:v>78000</c:v>
                </c:pt>
                <c:pt idx="812">
                  <c:v>79000</c:v>
                </c:pt>
                <c:pt idx="817">
                  <c:v>84000</c:v>
                </c:pt>
                <c:pt idx="822">
                  <c:v>84000</c:v>
                </c:pt>
                <c:pt idx="827">
                  <c:v>85000</c:v>
                </c:pt>
                <c:pt idx="832">
                  <c:v>87000</c:v>
                </c:pt>
                <c:pt idx="837">
                  <c:v>87000</c:v>
                </c:pt>
                <c:pt idx="841">
                  <c:v>92500</c:v>
                </c:pt>
                <c:pt idx="845">
                  <c:v>92500</c:v>
                </c:pt>
                <c:pt idx="848">
                  <c:v>95000</c:v>
                </c:pt>
                <c:pt idx="858">
                  <c:v>100000</c:v>
                </c:pt>
                <c:pt idx="863">
                  <c:v>110000</c:v>
                </c:pt>
                <c:pt idx="866">
                  <c:v>110000</c:v>
                </c:pt>
                <c:pt idx="870">
                  <c:v>110000</c:v>
                </c:pt>
                <c:pt idx="875">
                  <c:v>110000</c:v>
                </c:pt>
                <c:pt idx="880">
                  <c:v>95000</c:v>
                </c:pt>
                <c:pt idx="885">
                  <c:v>90000</c:v>
                </c:pt>
                <c:pt idx="890">
                  <c:v>90000</c:v>
                </c:pt>
                <c:pt idx="895">
                  <c:v>90000</c:v>
                </c:pt>
                <c:pt idx="900">
                  <c:v>90000</c:v>
                </c:pt>
                <c:pt idx="905">
                  <c:v>86000</c:v>
                </c:pt>
                <c:pt idx="910">
                  <c:v>84000</c:v>
                </c:pt>
                <c:pt idx="915">
                  <c:v>84000</c:v>
                </c:pt>
                <c:pt idx="920">
                  <c:v>84000</c:v>
                </c:pt>
                <c:pt idx="924">
                  <c:v>80000</c:v>
                </c:pt>
                <c:pt idx="929">
                  <c:v>80000</c:v>
                </c:pt>
                <c:pt idx="934">
                  <c:v>78000</c:v>
                </c:pt>
                <c:pt idx="942">
                  <c:v>78000</c:v>
                </c:pt>
                <c:pt idx="947">
                  <c:v>78000</c:v>
                </c:pt>
                <c:pt idx="949">
                  <c:v>78000</c:v>
                </c:pt>
                <c:pt idx="954">
                  <c:v>75000</c:v>
                </c:pt>
                <c:pt idx="959">
                  <c:v>80000</c:v>
                </c:pt>
                <c:pt idx="964">
                  <c:v>80000</c:v>
                </c:pt>
                <c:pt idx="968">
                  <c:v>80000</c:v>
                </c:pt>
                <c:pt idx="973">
                  <c:v>80000</c:v>
                </c:pt>
                <c:pt idx="978">
                  <c:v>70000</c:v>
                </c:pt>
                <c:pt idx="983">
                  <c:v>58000</c:v>
                </c:pt>
                <c:pt idx="988">
                  <c:v>58000</c:v>
                </c:pt>
                <c:pt idx="992">
                  <c:v>58000</c:v>
                </c:pt>
                <c:pt idx="997">
                  <c:v>56000</c:v>
                </c:pt>
                <c:pt idx="1002">
                  <c:v>55000</c:v>
                </c:pt>
                <c:pt idx="1007">
                  <c:v>52000</c:v>
                </c:pt>
                <c:pt idx="1012">
                  <c:v>52000</c:v>
                </c:pt>
                <c:pt idx="1017">
                  <c:v>55000</c:v>
                </c:pt>
                <c:pt idx="1022">
                  <c:v>55000</c:v>
                </c:pt>
                <c:pt idx="1027">
                  <c:v>56000</c:v>
                </c:pt>
                <c:pt idx="1032">
                  <c:v>56000</c:v>
                </c:pt>
                <c:pt idx="1037">
                  <c:v>56000</c:v>
                </c:pt>
                <c:pt idx="1042">
                  <c:v>56000</c:v>
                </c:pt>
                <c:pt idx="1047">
                  <c:v>56000</c:v>
                </c:pt>
                <c:pt idx="1052">
                  <c:v>56000</c:v>
                </c:pt>
                <c:pt idx="1057">
                  <c:v>56000</c:v>
                </c:pt>
                <c:pt idx="1061">
                  <c:v>55000</c:v>
                </c:pt>
                <c:pt idx="1066">
                  <c:v>55000</c:v>
                </c:pt>
                <c:pt idx="1071">
                  <c:v>56000</c:v>
                </c:pt>
                <c:pt idx="1076">
                  <c:v>56000</c:v>
                </c:pt>
                <c:pt idx="1081">
                  <c:v>56000</c:v>
                </c:pt>
                <c:pt idx="1085">
                  <c:v>56000</c:v>
                </c:pt>
                <c:pt idx="109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0-431A-BA4D-424892CA2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050640"/>
        <c:axId val="184649792"/>
      </c:lineChart>
      <c:dateAx>
        <c:axId val="20090506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n-US"/>
          </a:p>
        </c:txPr>
        <c:crossAx val="184649792"/>
        <c:crosses val="autoZero"/>
        <c:auto val="1"/>
        <c:lblOffset val="100"/>
        <c:baseTimeUnit val="days"/>
      </c:dateAx>
      <c:valAx>
        <c:axId val="184649792"/>
        <c:scaling>
          <c:orientation val="minMax"/>
          <c:min val="40000"/>
        </c:scaling>
        <c:delete val="0"/>
        <c:axPos val="l"/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n-US"/>
          </a:p>
        </c:txPr>
        <c:crossAx val="200905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 i="0" baseline="0">
          <a:solidFill>
            <a:sysClr val="windowText" lastClr="000000"/>
          </a:solidFill>
          <a:latin typeface="Garamond" panose="020204040303010108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'Natural Gas Prices'!$C$1</c:f>
              <c:strCache>
                <c:ptCount val="1"/>
                <c:pt idx="0">
                  <c:v>Henry Hub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'Natural Gas Prices'!$B$2:$B$303</c:f>
              <c:numCache>
                <c:formatCode>m/d/yyyy</c:formatCode>
                <c:ptCount val="302"/>
                <c:pt idx="0">
                  <c:v>44677</c:v>
                </c:pt>
                <c:pt idx="1">
                  <c:v>44676</c:v>
                </c:pt>
                <c:pt idx="2">
                  <c:v>44673</c:v>
                </c:pt>
                <c:pt idx="3">
                  <c:v>44672</c:v>
                </c:pt>
                <c:pt idx="4">
                  <c:v>44670</c:v>
                </c:pt>
                <c:pt idx="5">
                  <c:v>44669</c:v>
                </c:pt>
                <c:pt idx="6">
                  <c:v>44665</c:v>
                </c:pt>
                <c:pt idx="7">
                  <c:v>44664</c:v>
                </c:pt>
                <c:pt idx="8">
                  <c:v>44663</c:v>
                </c:pt>
                <c:pt idx="9">
                  <c:v>44662</c:v>
                </c:pt>
                <c:pt idx="11">
                  <c:v>44659</c:v>
                </c:pt>
                <c:pt idx="12">
                  <c:v>44658</c:v>
                </c:pt>
                <c:pt idx="13">
                  <c:v>44657</c:v>
                </c:pt>
                <c:pt idx="14">
                  <c:v>44656</c:v>
                </c:pt>
                <c:pt idx="15">
                  <c:v>44655</c:v>
                </c:pt>
                <c:pt idx="17">
                  <c:v>44652</c:v>
                </c:pt>
                <c:pt idx="18">
                  <c:v>44651</c:v>
                </c:pt>
                <c:pt idx="19">
                  <c:v>44650</c:v>
                </c:pt>
                <c:pt idx="20">
                  <c:v>44649</c:v>
                </c:pt>
                <c:pt idx="21">
                  <c:v>44648</c:v>
                </c:pt>
                <c:pt idx="22">
                  <c:v>44645</c:v>
                </c:pt>
                <c:pt idx="23">
                  <c:v>44644</c:v>
                </c:pt>
                <c:pt idx="24">
                  <c:v>44643</c:v>
                </c:pt>
                <c:pt idx="25">
                  <c:v>44642</c:v>
                </c:pt>
                <c:pt idx="26">
                  <c:v>44641</c:v>
                </c:pt>
                <c:pt idx="28">
                  <c:v>44638</c:v>
                </c:pt>
                <c:pt idx="29">
                  <c:v>44637</c:v>
                </c:pt>
                <c:pt idx="30">
                  <c:v>44636</c:v>
                </c:pt>
                <c:pt idx="31">
                  <c:v>44635</c:v>
                </c:pt>
                <c:pt idx="32">
                  <c:v>44634</c:v>
                </c:pt>
                <c:pt idx="34">
                  <c:v>44631</c:v>
                </c:pt>
                <c:pt idx="35">
                  <c:v>44630</c:v>
                </c:pt>
                <c:pt idx="36">
                  <c:v>44629</c:v>
                </c:pt>
                <c:pt idx="37">
                  <c:v>44628</c:v>
                </c:pt>
                <c:pt idx="38">
                  <c:v>44627</c:v>
                </c:pt>
                <c:pt idx="40">
                  <c:v>44624</c:v>
                </c:pt>
                <c:pt idx="41">
                  <c:v>44623</c:v>
                </c:pt>
                <c:pt idx="42">
                  <c:v>44622</c:v>
                </c:pt>
                <c:pt idx="43">
                  <c:v>44621</c:v>
                </c:pt>
                <c:pt idx="44">
                  <c:v>44620</c:v>
                </c:pt>
                <c:pt idx="46">
                  <c:v>44617</c:v>
                </c:pt>
                <c:pt idx="47">
                  <c:v>44616</c:v>
                </c:pt>
                <c:pt idx="48">
                  <c:v>44615</c:v>
                </c:pt>
                <c:pt idx="49">
                  <c:v>44614</c:v>
                </c:pt>
                <c:pt idx="51">
                  <c:v>44610</c:v>
                </c:pt>
                <c:pt idx="52">
                  <c:v>44609</c:v>
                </c:pt>
                <c:pt idx="53">
                  <c:v>44608</c:v>
                </c:pt>
                <c:pt idx="54">
                  <c:v>44607</c:v>
                </c:pt>
                <c:pt idx="55">
                  <c:v>44606</c:v>
                </c:pt>
                <c:pt idx="57">
                  <c:v>44603</c:v>
                </c:pt>
                <c:pt idx="58">
                  <c:v>44602</c:v>
                </c:pt>
                <c:pt idx="59">
                  <c:v>44601</c:v>
                </c:pt>
                <c:pt idx="60">
                  <c:v>44600</c:v>
                </c:pt>
                <c:pt idx="61">
                  <c:v>44599</c:v>
                </c:pt>
                <c:pt idx="63">
                  <c:v>44596</c:v>
                </c:pt>
                <c:pt idx="64">
                  <c:v>44595</c:v>
                </c:pt>
                <c:pt idx="65">
                  <c:v>44594</c:v>
                </c:pt>
                <c:pt idx="66">
                  <c:v>44593</c:v>
                </c:pt>
                <c:pt idx="67">
                  <c:v>44592</c:v>
                </c:pt>
                <c:pt idx="69">
                  <c:v>44589</c:v>
                </c:pt>
                <c:pt idx="70">
                  <c:v>44588</c:v>
                </c:pt>
                <c:pt idx="71">
                  <c:v>44587</c:v>
                </c:pt>
                <c:pt idx="72">
                  <c:v>44586</c:v>
                </c:pt>
                <c:pt idx="73">
                  <c:v>44585</c:v>
                </c:pt>
                <c:pt idx="75">
                  <c:v>44582</c:v>
                </c:pt>
                <c:pt idx="76">
                  <c:v>44581</c:v>
                </c:pt>
                <c:pt idx="77">
                  <c:v>44580</c:v>
                </c:pt>
                <c:pt idx="78">
                  <c:v>44579</c:v>
                </c:pt>
                <c:pt idx="80">
                  <c:v>44575</c:v>
                </c:pt>
                <c:pt idx="81">
                  <c:v>44574</c:v>
                </c:pt>
                <c:pt idx="82">
                  <c:v>44573</c:v>
                </c:pt>
                <c:pt idx="83">
                  <c:v>44572</c:v>
                </c:pt>
                <c:pt idx="84">
                  <c:v>44571</c:v>
                </c:pt>
                <c:pt idx="86">
                  <c:v>44568</c:v>
                </c:pt>
                <c:pt idx="87">
                  <c:v>44567</c:v>
                </c:pt>
                <c:pt idx="88">
                  <c:v>44566</c:v>
                </c:pt>
                <c:pt idx="89">
                  <c:v>44565</c:v>
                </c:pt>
                <c:pt idx="90">
                  <c:v>44564</c:v>
                </c:pt>
                <c:pt idx="92">
                  <c:v>44560</c:v>
                </c:pt>
                <c:pt idx="93">
                  <c:v>44559</c:v>
                </c:pt>
                <c:pt idx="94">
                  <c:v>44558</c:v>
                </c:pt>
                <c:pt idx="95">
                  <c:v>44557</c:v>
                </c:pt>
                <c:pt idx="97">
                  <c:v>44553</c:v>
                </c:pt>
                <c:pt idx="98">
                  <c:v>44552</c:v>
                </c:pt>
                <c:pt idx="99">
                  <c:v>44551</c:v>
                </c:pt>
                <c:pt idx="100">
                  <c:v>44550</c:v>
                </c:pt>
                <c:pt idx="102">
                  <c:v>44547</c:v>
                </c:pt>
                <c:pt idx="103">
                  <c:v>44546</c:v>
                </c:pt>
                <c:pt idx="104">
                  <c:v>44545</c:v>
                </c:pt>
                <c:pt idx="105">
                  <c:v>44544</c:v>
                </c:pt>
                <c:pt idx="106">
                  <c:v>44543</c:v>
                </c:pt>
                <c:pt idx="108">
                  <c:v>44540</c:v>
                </c:pt>
                <c:pt idx="109">
                  <c:v>44539</c:v>
                </c:pt>
                <c:pt idx="110">
                  <c:v>44538</c:v>
                </c:pt>
                <c:pt idx="111">
                  <c:v>44537</c:v>
                </c:pt>
                <c:pt idx="112">
                  <c:v>44536</c:v>
                </c:pt>
                <c:pt idx="114">
                  <c:v>44533</c:v>
                </c:pt>
                <c:pt idx="115">
                  <c:v>44532</c:v>
                </c:pt>
                <c:pt idx="116">
                  <c:v>44531</c:v>
                </c:pt>
                <c:pt idx="117">
                  <c:v>44530</c:v>
                </c:pt>
                <c:pt idx="118">
                  <c:v>44529</c:v>
                </c:pt>
                <c:pt idx="120">
                  <c:v>44524</c:v>
                </c:pt>
                <c:pt idx="121">
                  <c:v>44523</c:v>
                </c:pt>
                <c:pt idx="122">
                  <c:v>44522</c:v>
                </c:pt>
                <c:pt idx="124">
                  <c:v>44519</c:v>
                </c:pt>
                <c:pt idx="125">
                  <c:v>44518</c:v>
                </c:pt>
                <c:pt idx="126">
                  <c:v>44517</c:v>
                </c:pt>
                <c:pt idx="127">
                  <c:v>44516</c:v>
                </c:pt>
                <c:pt idx="128">
                  <c:v>44515</c:v>
                </c:pt>
                <c:pt idx="130">
                  <c:v>44512</c:v>
                </c:pt>
                <c:pt idx="131">
                  <c:v>44511</c:v>
                </c:pt>
                <c:pt idx="132">
                  <c:v>44510</c:v>
                </c:pt>
                <c:pt idx="133">
                  <c:v>44509</c:v>
                </c:pt>
                <c:pt idx="134">
                  <c:v>44508</c:v>
                </c:pt>
                <c:pt idx="136">
                  <c:v>44505</c:v>
                </c:pt>
                <c:pt idx="137">
                  <c:v>44504</c:v>
                </c:pt>
                <c:pt idx="138">
                  <c:v>44503</c:v>
                </c:pt>
                <c:pt idx="139">
                  <c:v>44502</c:v>
                </c:pt>
                <c:pt idx="140">
                  <c:v>44501</c:v>
                </c:pt>
                <c:pt idx="142">
                  <c:v>44498</c:v>
                </c:pt>
                <c:pt idx="143">
                  <c:v>44497</c:v>
                </c:pt>
                <c:pt idx="144">
                  <c:v>44496</c:v>
                </c:pt>
                <c:pt idx="145">
                  <c:v>44495</c:v>
                </c:pt>
                <c:pt idx="146">
                  <c:v>44494</c:v>
                </c:pt>
                <c:pt idx="148">
                  <c:v>44491</c:v>
                </c:pt>
                <c:pt idx="149">
                  <c:v>44490</c:v>
                </c:pt>
                <c:pt idx="150">
                  <c:v>44489</c:v>
                </c:pt>
                <c:pt idx="151">
                  <c:v>44488</c:v>
                </c:pt>
                <c:pt idx="152">
                  <c:v>44487</c:v>
                </c:pt>
                <c:pt idx="154">
                  <c:v>44484</c:v>
                </c:pt>
                <c:pt idx="155">
                  <c:v>44483</c:v>
                </c:pt>
                <c:pt idx="156">
                  <c:v>44482</c:v>
                </c:pt>
                <c:pt idx="157">
                  <c:v>44481</c:v>
                </c:pt>
                <c:pt idx="158">
                  <c:v>44480</c:v>
                </c:pt>
                <c:pt idx="160">
                  <c:v>44477</c:v>
                </c:pt>
                <c:pt idx="161">
                  <c:v>44476</c:v>
                </c:pt>
                <c:pt idx="162">
                  <c:v>44475</c:v>
                </c:pt>
                <c:pt idx="163">
                  <c:v>44474</c:v>
                </c:pt>
                <c:pt idx="164">
                  <c:v>44473</c:v>
                </c:pt>
                <c:pt idx="166">
                  <c:v>44470</c:v>
                </c:pt>
                <c:pt idx="167">
                  <c:v>44469</c:v>
                </c:pt>
                <c:pt idx="168">
                  <c:v>44468</c:v>
                </c:pt>
                <c:pt idx="169">
                  <c:v>44467</c:v>
                </c:pt>
                <c:pt idx="170">
                  <c:v>44466</c:v>
                </c:pt>
                <c:pt idx="172">
                  <c:v>44463</c:v>
                </c:pt>
                <c:pt idx="173">
                  <c:v>44462</c:v>
                </c:pt>
                <c:pt idx="174">
                  <c:v>44461</c:v>
                </c:pt>
                <c:pt idx="175">
                  <c:v>44460</c:v>
                </c:pt>
                <c:pt idx="176">
                  <c:v>44459</c:v>
                </c:pt>
                <c:pt idx="178">
                  <c:v>44456</c:v>
                </c:pt>
                <c:pt idx="179">
                  <c:v>44455</c:v>
                </c:pt>
                <c:pt idx="180">
                  <c:v>44454</c:v>
                </c:pt>
                <c:pt idx="181">
                  <c:v>44453</c:v>
                </c:pt>
                <c:pt idx="182">
                  <c:v>44452</c:v>
                </c:pt>
                <c:pt idx="184">
                  <c:v>44449</c:v>
                </c:pt>
                <c:pt idx="185">
                  <c:v>44448</c:v>
                </c:pt>
                <c:pt idx="186">
                  <c:v>44447</c:v>
                </c:pt>
                <c:pt idx="187">
                  <c:v>44446</c:v>
                </c:pt>
                <c:pt idx="189">
                  <c:v>44442</c:v>
                </c:pt>
                <c:pt idx="190">
                  <c:v>44441</c:v>
                </c:pt>
                <c:pt idx="191">
                  <c:v>44440</c:v>
                </c:pt>
                <c:pt idx="192">
                  <c:v>44439</c:v>
                </c:pt>
                <c:pt idx="193">
                  <c:v>44438</c:v>
                </c:pt>
                <c:pt idx="195">
                  <c:v>44435</c:v>
                </c:pt>
                <c:pt idx="196">
                  <c:v>44434</c:v>
                </c:pt>
                <c:pt idx="197">
                  <c:v>44433</c:v>
                </c:pt>
                <c:pt idx="198">
                  <c:v>44432</c:v>
                </c:pt>
                <c:pt idx="199">
                  <c:v>44431</c:v>
                </c:pt>
                <c:pt idx="201">
                  <c:v>44428</c:v>
                </c:pt>
                <c:pt idx="202">
                  <c:v>44427</c:v>
                </c:pt>
                <c:pt idx="203">
                  <c:v>44426</c:v>
                </c:pt>
                <c:pt idx="204">
                  <c:v>44425</c:v>
                </c:pt>
                <c:pt idx="205">
                  <c:v>44424</c:v>
                </c:pt>
                <c:pt idx="207">
                  <c:v>44421</c:v>
                </c:pt>
                <c:pt idx="208">
                  <c:v>44420</c:v>
                </c:pt>
                <c:pt idx="209">
                  <c:v>44419</c:v>
                </c:pt>
                <c:pt idx="210">
                  <c:v>44418</c:v>
                </c:pt>
                <c:pt idx="211">
                  <c:v>44417</c:v>
                </c:pt>
                <c:pt idx="213">
                  <c:v>44414</c:v>
                </c:pt>
                <c:pt idx="214">
                  <c:v>44413</c:v>
                </c:pt>
                <c:pt idx="215">
                  <c:v>44412</c:v>
                </c:pt>
                <c:pt idx="216">
                  <c:v>44411</c:v>
                </c:pt>
                <c:pt idx="217">
                  <c:v>44410</c:v>
                </c:pt>
                <c:pt idx="219">
                  <c:v>44407</c:v>
                </c:pt>
                <c:pt idx="220">
                  <c:v>44406</c:v>
                </c:pt>
                <c:pt idx="221">
                  <c:v>44405</c:v>
                </c:pt>
                <c:pt idx="222">
                  <c:v>44404</c:v>
                </c:pt>
                <c:pt idx="223">
                  <c:v>44403</c:v>
                </c:pt>
                <c:pt idx="225">
                  <c:v>44400</c:v>
                </c:pt>
                <c:pt idx="226">
                  <c:v>44399</c:v>
                </c:pt>
                <c:pt idx="227">
                  <c:v>44398</c:v>
                </c:pt>
                <c:pt idx="228">
                  <c:v>44397</c:v>
                </c:pt>
                <c:pt idx="229">
                  <c:v>44396</c:v>
                </c:pt>
                <c:pt idx="231">
                  <c:v>44393</c:v>
                </c:pt>
                <c:pt idx="232">
                  <c:v>44392</c:v>
                </c:pt>
                <c:pt idx="233">
                  <c:v>44391</c:v>
                </c:pt>
                <c:pt idx="234">
                  <c:v>44390</c:v>
                </c:pt>
                <c:pt idx="235">
                  <c:v>44389</c:v>
                </c:pt>
                <c:pt idx="237">
                  <c:v>44386</c:v>
                </c:pt>
                <c:pt idx="238">
                  <c:v>44385</c:v>
                </c:pt>
                <c:pt idx="239">
                  <c:v>44384</c:v>
                </c:pt>
                <c:pt idx="240">
                  <c:v>44383</c:v>
                </c:pt>
                <c:pt idx="241">
                  <c:v>44382</c:v>
                </c:pt>
                <c:pt idx="243">
                  <c:v>44379</c:v>
                </c:pt>
                <c:pt idx="244">
                  <c:v>44378</c:v>
                </c:pt>
                <c:pt idx="245">
                  <c:v>44377</c:v>
                </c:pt>
                <c:pt idx="246">
                  <c:v>44376</c:v>
                </c:pt>
                <c:pt idx="247">
                  <c:v>44375</c:v>
                </c:pt>
                <c:pt idx="249">
                  <c:v>44372</c:v>
                </c:pt>
                <c:pt idx="250">
                  <c:v>44371</c:v>
                </c:pt>
                <c:pt idx="251">
                  <c:v>44370</c:v>
                </c:pt>
                <c:pt idx="252">
                  <c:v>44369</c:v>
                </c:pt>
                <c:pt idx="253">
                  <c:v>44368</c:v>
                </c:pt>
                <c:pt idx="255">
                  <c:v>44365</c:v>
                </c:pt>
                <c:pt idx="256">
                  <c:v>44364</c:v>
                </c:pt>
                <c:pt idx="257">
                  <c:v>44363</c:v>
                </c:pt>
                <c:pt idx="258">
                  <c:v>44362</c:v>
                </c:pt>
                <c:pt idx="259">
                  <c:v>44361</c:v>
                </c:pt>
                <c:pt idx="261">
                  <c:v>44358</c:v>
                </c:pt>
                <c:pt idx="262">
                  <c:v>44357</c:v>
                </c:pt>
                <c:pt idx="263">
                  <c:v>44356</c:v>
                </c:pt>
                <c:pt idx="264">
                  <c:v>44355</c:v>
                </c:pt>
                <c:pt idx="265">
                  <c:v>44354</c:v>
                </c:pt>
                <c:pt idx="267">
                  <c:v>44351</c:v>
                </c:pt>
                <c:pt idx="268">
                  <c:v>44350</c:v>
                </c:pt>
                <c:pt idx="269">
                  <c:v>44349</c:v>
                </c:pt>
                <c:pt idx="270">
                  <c:v>44348</c:v>
                </c:pt>
                <c:pt idx="271">
                  <c:v>44347</c:v>
                </c:pt>
                <c:pt idx="273">
                  <c:v>44344</c:v>
                </c:pt>
                <c:pt idx="274">
                  <c:v>44343</c:v>
                </c:pt>
                <c:pt idx="275">
                  <c:v>44342</c:v>
                </c:pt>
                <c:pt idx="276">
                  <c:v>44341</c:v>
                </c:pt>
                <c:pt idx="277">
                  <c:v>44340</c:v>
                </c:pt>
                <c:pt idx="279">
                  <c:v>44337</c:v>
                </c:pt>
                <c:pt idx="280">
                  <c:v>44336</c:v>
                </c:pt>
                <c:pt idx="281">
                  <c:v>44335</c:v>
                </c:pt>
                <c:pt idx="282">
                  <c:v>44334</c:v>
                </c:pt>
                <c:pt idx="283">
                  <c:v>44333</c:v>
                </c:pt>
                <c:pt idx="285">
                  <c:v>44330</c:v>
                </c:pt>
                <c:pt idx="286">
                  <c:v>44329</c:v>
                </c:pt>
                <c:pt idx="287">
                  <c:v>44328</c:v>
                </c:pt>
                <c:pt idx="288">
                  <c:v>44327</c:v>
                </c:pt>
                <c:pt idx="289">
                  <c:v>44326</c:v>
                </c:pt>
                <c:pt idx="291">
                  <c:v>44323</c:v>
                </c:pt>
                <c:pt idx="292">
                  <c:v>44322</c:v>
                </c:pt>
                <c:pt idx="293">
                  <c:v>44321</c:v>
                </c:pt>
                <c:pt idx="294">
                  <c:v>44320</c:v>
                </c:pt>
                <c:pt idx="295">
                  <c:v>44319</c:v>
                </c:pt>
                <c:pt idx="297">
                  <c:v>44316</c:v>
                </c:pt>
                <c:pt idx="298">
                  <c:v>44315</c:v>
                </c:pt>
                <c:pt idx="299">
                  <c:v>44314</c:v>
                </c:pt>
                <c:pt idx="300">
                  <c:v>44313</c:v>
                </c:pt>
                <c:pt idx="301">
                  <c:v>44312</c:v>
                </c:pt>
              </c:numCache>
            </c:numRef>
          </c:cat>
          <c:val>
            <c:numRef>
              <c:f>'Natural Gas Prices'!$C$2:$C$303</c:f>
              <c:numCache>
                <c:formatCode>General</c:formatCode>
                <c:ptCount val="302"/>
                <c:pt idx="1">
                  <c:v>6.41</c:v>
                </c:pt>
                <c:pt idx="2">
                  <c:v>6.58</c:v>
                </c:pt>
                <c:pt idx="3">
                  <c:v>6.87</c:v>
                </c:pt>
                <c:pt idx="4">
                  <c:v>7.41</c:v>
                </c:pt>
                <c:pt idx="5">
                  <c:v>7.49</c:v>
                </c:pt>
                <c:pt idx="6">
                  <c:v>6.9089999999999998</c:v>
                </c:pt>
                <c:pt idx="7">
                  <c:v>6.6879999999999997</c:v>
                </c:pt>
                <c:pt idx="8">
                  <c:v>6.5880000000000001</c:v>
                </c:pt>
                <c:pt idx="9">
                  <c:v>6.3479999999999999</c:v>
                </c:pt>
                <c:pt idx="11">
                  <c:v>6.2919999999999998</c:v>
                </c:pt>
                <c:pt idx="12">
                  <c:v>6.0540000000000003</c:v>
                </c:pt>
                <c:pt idx="13">
                  <c:v>6.2089999999999996</c:v>
                </c:pt>
                <c:pt idx="14">
                  <c:v>5.9489999999999998</c:v>
                </c:pt>
                <c:pt idx="15">
                  <c:v>5.6829999999999998</c:v>
                </c:pt>
                <c:pt idx="17">
                  <c:v>5.399</c:v>
                </c:pt>
                <c:pt idx="18">
                  <c:v>5.5010000000000003</c:v>
                </c:pt>
                <c:pt idx="19">
                  <c:v>5.3280000000000003</c:v>
                </c:pt>
                <c:pt idx="20">
                  <c:v>5.3179999999999996</c:v>
                </c:pt>
                <c:pt idx="21">
                  <c:v>5.431</c:v>
                </c:pt>
                <c:pt idx="22">
                  <c:v>5.4390000000000001</c:v>
                </c:pt>
                <c:pt idx="23">
                  <c:v>5.2519999999999998</c:v>
                </c:pt>
                <c:pt idx="24">
                  <c:v>5.2530000000000001</c:v>
                </c:pt>
                <c:pt idx="25">
                  <c:v>4.992</c:v>
                </c:pt>
                <c:pt idx="26">
                  <c:v>4.7629999999999999</c:v>
                </c:pt>
                <c:pt idx="28">
                  <c:v>4.8600000000000003</c:v>
                </c:pt>
                <c:pt idx="29">
                  <c:v>4.782</c:v>
                </c:pt>
                <c:pt idx="30">
                  <c:v>4.625</c:v>
                </c:pt>
                <c:pt idx="31">
                  <c:v>4.4580000000000002</c:v>
                </c:pt>
                <c:pt idx="32">
                  <c:v>4.548</c:v>
                </c:pt>
                <c:pt idx="34">
                  <c:v>4.7300000000000004</c:v>
                </c:pt>
                <c:pt idx="35">
                  <c:v>4.5990000000000002</c:v>
                </c:pt>
                <c:pt idx="36">
                  <c:v>4.5179999999999998</c:v>
                </c:pt>
                <c:pt idx="37">
                  <c:v>4.58</c:v>
                </c:pt>
                <c:pt idx="38">
                  <c:v>4.9180000000000001</c:v>
                </c:pt>
                <c:pt idx="40">
                  <c:v>4.7249999999999996</c:v>
                </c:pt>
                <c:pt idx="41">
                  <c:v>4.5789999999999997</c:v>
                </c:pt>
                <c:pt idx="42">
                  <c:v>4.6550000000000002</c:v>
                </c:pt>
                <c:pt idx="43">
                  <c:v>4.3540000000000001</c:v>
                </c:pt>
                <c:pt idx="44">
                  <c:v>4.3019999999999996</c:v>
                </c:pt>
                <c:pt idx="46">
                  <c:v>4.5540000000000003</c:v>
                </c:pt>
                <c:pt idx="47">
                  <c:v>4.7759999999999998</c:v>
                </c:pt>
                <c:pt idx="48">
                  <c:v>4.5750000000000002</c:v>
                </c:pt>
                <c:pt idx="49">
                  <c:v>4.4930000000000003</c:v>
                </c:pt>
                <c:pt idx="51">
                  <c:v>4.5940000000000003</c:v>
                </c:pt>
                <c:pt idx="52">
                  <c:v>4.5739999999999998</c:v>
                </c:pt>
                <c:pt idx="53">
                  <c:v>4.4029999999999996</c:v>
                </c:pt>
                <c:pt idx="54">
                  <c:v>4.2960000000000003</c:v>
                </c:pt>
                <c:pt idx="55">
                  <c:v>4.0620000000000003</c:v>
                </c:pt>
                <c:pt idx="57">
                  <c:v>3.923</c:v>
                </c:pt>
                <c:pt idx="58">
                  <c:v>3.887</c:v>
                </c:pt>
                <c:pt idx="59">
                  <c:v>4.0270000000000001</c:v>
                </c:pt>
                <c:pt idx="60">
                  <c:v>4.3040000000000003</c:v>
                </c:pt>
                <c:pt idx="61">
                  <c:v>4.3550000000000004</c:v>
                </c:pt>
                <c:pt idx="63">
                  <c:v>5.3230000000000004</c:v>
                </c:pt>
                <c:pt idx="64">
                  <c:v>6.0819999999999999</c:v>
                </c:pt>
                <c:pt idx="65">
                  <c:v>6.5170000000000003</c:v>
                </c:pt>
                <c:pt idx="66">
                  <c:v>5.45</c:v>
                </c:pt>
                <c:pt idx="67">
                  <c:v>5.5389999999999997</c:v>
                </c:pt>
                <c:pt idx="69">
                  <c:v>5.63</c:v>
                </c:pt>
                <c:pt idx="70">
                  <c:v>4.4320000000000004</c:v>
                </c:pt>
                <c:pt idx="71">
                  <c:v>4.4390000000000001</c:v>
                </c:pt>
                <c:pt idx="72">
                  <c:v>4.149</c:v>
                </c:pt>
                <c:pt idx="73">
                  <c:v>4.1589999999999998</c:v>
                </c:pt>
                <c:pt idx="75">
                  <c:v>4.0789999999999997</c:v>
                </c:pt>
                <c:pt idx="76">
                  <c:v>4.1589999999999998</c:v>
                </c:pt>
                <c:pt idx="77">
                  <c:v>4.7939999999999996</c:v>
                </c:pt>
                <c:pt idx="78">
                  <c:v>4.468</c:v>
                </c:pt>
                <c:pt idx="80">
                  <c:v>4.3479999999999999</c:v>
                </c:pt>
                <c:pt idx="81">
                  <c:v>4.7370000000000001</c:v>
                </c:pt>
                <c:pt idx="82">
                  <c:v>4.6130000000000004</c:v>
                </c:pt>
                <c:pt idx="83">
                  <c:v>4.0389999999999997</c:v>
                </c:pt>
                <c:pt idx="84">
                  <c:v>4.125</c:v>
                </c:pt>
                <c:pt idx="86">
                  <c:v>3.84</c:v>
                </c:pt>
                <c:pt idx="87">
                  <c:v>3.92</c:v>
                </c:pt>
                <c:pt idx="88">
                  <c:v>3.7789999999999999</c:v>
                </c:pt>
                <c:pt idx="89">
                  <c:v>3.738</c:v>
                </c:pt>
                <c:pt idx="90">
                  <c:v>3.581</c:v>
                </c:pt>
                <c:pt idx="92">
                  <c:v>3.65</c:v>
                </c:pt>
                <c:pt idx="93">
                  <c:v>3.3959999999999999</c:v>
                </c:pt>
                <c:pt idx="94">
                  <c:v>3.3370000000000002</c:v>
                </c:pt>
                <c:pt idx="95">
                  <c:v>3.411</c:v>
                </c:pt>
                <c:pt idx="97">
                  <c:v>3.5430000000000001</c:v>
                </c:pt>
                <c:pt idx="98">
                  <c:v>4</c:v>
                </c:pt>
                <c:pt idx="99">
                  <c:v>3.879</c:v>
                </c:pt>
                <c:pt idx="100">
                  <c:v>3.8919999999999999</c:v>
                </c:pt>
                <c:pt idx="102">
                  <c:v>3.677</c:v>
                </c:pt>
                <c:pt idx="103">
                  <c:v>3.677</c:v>
                </c:pt>
                <c:pt idx="104">
                  <c:v>3.7669999999999999</c:v>
                </c:pt>
                <c:pt idx="105">
                  <c:v>3.63</c:v>
                </c:pt>
                <c:pt idx="106">
                  <c:v>4.0140000000000002</c:v>
                </c:pt>
                <c:pt idx="108">
                  <c:v>3.6389999999999998</c:v>
                </c:pt>
                <c:pt idx="109">
                  <c:v>3.6539999999999999</c:v>
                </c:pt>
                <c:pt idx="110">
                  <c:v>3.7829999999999999</c:v>
                </c:pt>
                <c:pt idx="111">
                  <c:v>3.637</c:v>
                </c:pt>
                <c:pt idx="112">
                  <c:v>3.637</c:v>
                </c:pt>
                <c:pt idx="114">
                  <c:v>3.8170000000000002</c:v>
                </c:pt>
                <c:pt idx="115">
                  <c:v>4.0620000000000003</c:v>
                </c:pt>
                <c:pt idx="116">
                  <c:v>4.2610000000000001</c:v>
                </c:pt>
                <c:pt idx="117">
                  <c:v>4.5289999999999999</c:v>
                </c:pt>
                <c:pt idx="118">
                  <c:v>4.8600000000000003</c:v>
                </c:pt>
                <c:pt idx="120">
                  <c:v>4.9089999999999998</c:v>
                </c:pt>
                <c:pt idx="121">
                  <c:v>4.91</c:v>
                </c:pt>
                <c:pt idx="122">
                  <c:v>4.7789999999999999</c:v>
                </c:pt>
                <c:pt idx="124">
                  <c:v>4.9089999999999998</c:v>
                </c:pt>
                <c:pt idx="125">
                  <c:v>4.968</c:v>
                </c:pt>
                <c:pt idx="126">
                  <c:v>4.7889999999999997</c:v>
                </c:pt>
                <c:pt idx="127">
                  <c:v>5.0590000000000002</c:v>
                </c:pt>
                <c:pt idx="128">
                  <c:v>4.7409999999999997</c:v>
                </c:pt>
                <c:pt idx="130">
                  <c:v>4.8789999999999996</c:v>
                </c:pt>
                <c:pt idx="131">
                  <c:v>4.8019999999999996</c:v>
                </c:pt>
                <c:pt idx="132">
                  <c:v>4.569</c:v>
                </c:pt>
                <c:pt idx="133">
                  <c:v>5.1970000000000001</c:v>
                </c:pt>
                <c:pt idx="134">
                  <c:v>5.5</c:v>
                </c:pt>
                <c:pt idx="136">
                  <c:v>5.3710000000000004</c:v>
                </c:pt>
                <c:pt idx="137">
                  <c:v>5.7080000000000002</c:v>
                </c:pt>
                <c:pt idx="138">
                  <c:v>5.5590000000000002</c:v>
                </c:pt>
                <c:pt idx="139">
                  <c:v>5.3380000000000001</c:v>
                </c:pt>
                <c:pt idx="140">
                  <c:v>5.1719999999999997</c:v>
                </c:pt>
                <c:pt idx="142">
                  <c:v>5.4119999999999999</c:v>
                </c:pt>
                <c:pt idx="143">
                  <c:v>5.6020000000000003</c:v>
                </c:pt>
                <c:pt idx="144">
                  <c:v>5.859</c:v>
                </c:pt>
                <c:pt idx="145">
                  <c:v>5.593</c:v>
                </c:pt>
                <c:pt idx="146">
                  <c:v>5.6070000000000002</c:v>
                </c:pt>
                <c:pt idx="148">
                  <c:v>5.0869999999999997</c:v>
                </c:pt>
                <c:pt idx="149">
                  <c:v>4.9269999999999996</c:v>
                </c:pt>
                <c:pt idx="150">
                  <c:v>4.7560000000000002</c:v>
                </c:pt>
                <c:pt idx="151">
                  <c:v>4.7859999999999996</c:v>
                </c:pt>
                <c:pt idx="152">
                  <c:v>5.0270000000000001</c:v>
                </c:pt>
                <c:pt idx="154">
                  <c:v>5.4470000000000001</c:v>
                </c:pt>
                <c:pt idx="155">
                  <c:v>5.84</c:v>
                </c:pt>
                <c:pt idx="156">
                  <c:v>5.4260000000000002</c:v>
                </c:pt>
                <c:pt idx="157">
                  <c:v>5.3479999999999999</c:v>
                </c:pt>
                <c:pt idx="158">
                  <c:v>5.399</c:v>
                </c:pt>
                <c:pt idx="160">
                  <c:v>5.6829999999999998</c:v>
                </c:pt>
                <c:pt idx="161">
                  <c:v>5.702</c:v>
                </c:pt>
                <c:pt idx="162">
                  <c:v>5.9509999999999996</c:v>
                </c:pt>
                <c:pt idx="163">
                  <c:v>6.2</c:v>
                </c:pt>
                <c:pt idx="164">
                  <c:v>5.8090000000000002</c:v>
                </c:pt>
                <c:pt idx="166">
                  <c:v>5.5819999999999999</c:v>
                </c:pt>
                <c:pt idx="167">
                  <c:v>5.5460000000000003</c:v>
                </c:pt>
                <c:pt idx="168">
                  <c:v>5.63</c:v>
                </c:pt>
                <c:pt idx="169">
                  <c:v>5.9189999999999996</c:v>
                </c:pt>
                <c:pt idx="170">
                  <c:v>5.5</c:v>
                </c:pt>
                <c:pt idx="172">
                  <c:v>5.0199999999999996</c:v>
                </c:pt>
                <c:pt idx="173">
                  <c:v>4.9020000000000001</c:v>
                </c:pt>
                <c:pt idx="174">
                  <c:v>4.8099999999999996</c:v>
                </c:pt>
                <c:pt idx="175">
                  <c:v>4.891</c:v>
                </c:pt>
                <c:pt idx="176">
                  <c:v>5.1449999999999996</c:v>
                </c:pt>
                <c:pt idx="178">
                  <c:v>5.2590000000000003</c:v>
                </c:pt>
                <c:pt idx="179">
                  <c:v>5.45</c:v>
                </c:pt>
                <c:pt idx="180">
                  <c:v>5.59</c:v>
                </c:pt>
                <c:pt idx="181">
                  <c:v>5.3550000000000004</c:v>
                </c:pt>
                <c:pt idx="182">
                  <c:v>5.1790000000000003</c:v>
                </c:pt>
                <c:pt idx="184">
                  <c:v>5.0519999999999996</c:v>
                </c:pt>
                <c:pt idx="185">
                  <c:v>4.976</c:v>
                </c:pt>
                <c:pt idx="186">
                  <c:v>4.6710000000000003</c:v>
                </c:pt>
                <c:pt idx="187">
                  <c:v>4.6870000000000003</c:v>
                </c:pt>
                <c:pt idx="189">
                  <c:v>4.718</c:v>
                </c:pt>
                <c:pt idx="190">
                  <c:v>4.6379999999999999</c:v>
                </c:pt>
                <c:pt idx="191">
                  <c:v>4.3879999999999999</c:v>
                </c:pt>
                <c:pt idx="192">
                  <c:v>4.3369999999999997</c:v>
                </c:pt>
                <c:pt idx="193">
                  <c:v>4.2460000000000004</c:v>
                </c:pt>
                <c:pt idx="195">
                  <c:v>4.3369999999999997</c:v>
                </c:pt>
                <c:pt idx="196">
                  <c:v>4.0659999999999998</c:v>
                </c:pt>
                <c:pt idx="197">
                  <c:v>3.9359999999999999</c:v>
                </c:pt>
                <c:pt idx="198">
                  <c:v>4.0039999999999996</c:v>
                </c:pt>
                <c:pt idx="199">
                  <c:v>3.9249999999999998</c:v>
                </c:pt>
                <c:pt idx="201">
                  <c:v>3.9449999999999998</c:v>
                </c:pt>
                <c:pt idx="202">
                  <c:v>3.83</c:v>
                </c:pt>
                <c:pt idx="203">
                  <c:v>3.8650000000000002</c:v>
                </c:pt>
                <c:pt idx="204">
                  <c:v>3.9249999999999998</c:v>
                </c:pt>
                <c:pt idx="205">
                  <c:v>3.9350000000000001</c:v>
                </c:pt>
                <c:pt idx="207">
                  <c:v>3.9039999999999999</c:v>
                </c:pt>
                <c:pt idx="208">
                  <c:v>4.0529999999999999</c:v>
                </c:pt>
                <c:pt idx="209">
                  <c:v>4.0659999999999998</c:v>
                </c:pt>
                <c:pt idx="210">
                  <c:v>4.125</c:v>
                </c:pt>
                <c:pt idx="211">
                  <c:v>4.13</c:v>
                </c:pt>
                <c:pt idx="213">
                  <c:v>4.1459999999999999</c:v>
                </c:pt>
                <c:pt idx="214">
                  <c:v>4.1980000000000004</c:v>
                </c:pt>
                <c:pt idx="215">
                  <c:v>4.1769999999999996</c:v>
                </c:pt>
                <c:pt idx="216">
                  <c:v>3.992</c:v>
                </c:pt>
                <c:pt idx="217">
                  <c:v>3.9750000000000001</c:v>
                </c:pt>
                <c:pt idx="219">
                  <c:v>3.9039999999999999</c:v>
                </c:pt>
                <c:pt idx="220">
                  <c:v>4.0049999999999999</c:v>
                </c:pt>
                <c:pt idx="221">
                  <c:v>4.0549999999999997</c:v>
                </c:pt>
                <c:pt idx="222">
                  <c:v>4.085</c:v>
                </c:pt>
                <c:pt idx="223">
                  <c:v>4.0960000000000001</c:v>
                </c:pt>
                <c:pt idx="225">
                  <c:v>4.077</c:v>
                </c:pt>
                <c:pt idx="226">
                  <c:v>3.9750000000000001</c:v>
                </c:pt>
                <c:pt idx="227">
                  <c:v>3.8929999999999998</c:v>
                </c:pt>
                <c:pt idx="228">
                  <c:v>3.827</c:v>
                </c:pt>
                <c:pt idx="229">
                  <c:v>3.7429999999999999</c:v>
                </c:pt>
                <c:pt idx="231">
                  <c:v>3.6930000000000001</c:v>
                </c:pt>
                <c:pt idx="232">
                  <c:v>3.6829999999999998</c:v>
                </c:pt>
                <c:pt idx="233">
                  <c:v>3.7530000000000001</c:v>
                </c:pt>
                <c:pt idx="234">
                  <c:v>3.7120000000000002</c:v>
                </c:pt>
                <c:pt idx="235">
                  <c:v>3.694</c:v>
                </c:pt>
                <c:pt idx="237">
                  <c:v>3.7069999999999999</c:v>
                </c:pt>
                <c:pt idx="238">
                  <c:v>3.5270000000000001</c:v>
                </c:pt>
                <c:pt idx="239">
                  <c:v>3.5830000000000002</c:v>
                </c:pt>
                <c:pt idx="240">
                  <c:v>3.6739999999999999</c:v>
                </c:pt>
                <c:pt idx="243">
                  <c:v>3.6360000000000001</c:v>
                </c:pt>
                <c:pt idx="244">
                  <c:v>3.3069999999999999</c:v>
                </c:pt>
                <c:pt idx="245">
                  <c:v>3.714</c:v>
                </c:pt>
                <c:pt idx="246">
                  <c:v>3.7570000000000001</c:v>
                </c:pt>
                <c:pt idx="247">
                  <c:v>3.597</c:v>
                </c:pt>
                <c:pt idx="249">
                  <c:v>3.4060000000000001</c:v>
                </c:pt>
                <c:pt idx="250">
                  <c:v>3.306</c:v>
                </c:pt>
                <c:pt idx="251">
                  <c:v>3.335</c:v>
                </c:pt>
                <c:pt idx="252">
                  <c:v>3.2149999999999999</c:v>
                </c:pt>
                <c:pt idx="253">
                  <c:v>3.1459999999999999</c:v>
                </c:pt>
                <c:pt idx="255">
                  <c:v>3.1749999999999998</c:v>
                </c:pt>
                <c:pt idx="256">
                  <c:v>3.1859999999999999</c:v>
                </c:pt>
                <c:pt idx="257">
                  <c:v>3.2040000000000002</c:v>
                </c:pt>
                <c:pt idx="258">
                  <c:v>3.306</c:v>
                </c:pt>
                <c:pt idx="259">
                  <c:v>3.3159999999999998</c:v>
                </c:pt>
                <c:pt idx="261">
                  <c:v>3.2370000000000001</c:v>
                </c:pt>
                <c:pt idx="262">
                  <c:v>3.1070000000000002</c:v>
                </c:pt>
                <c:pt idx="263">
                  <c:v>3.1059999999999999</c:v>
                </c:pt>
                <c:pt idx="264">
                  <c:v>3.1120000000000001</c:v>
                </c:pt>
                <c:pt idx="265">
                  <c:v>2.9860000000000002</c:v>
                </c:pt>
                <c:pt idx="267">
                  <c:v>2.9649999999999999</c:v>
                </c:pt>
                <c:pt idx="268">
                  <c:v>3.0129999999999999</c:v>
                </c:pt>
                <c:pt idx="269">
                  <c:v>3.036</c:v>
                </c:pt>
                <c:pt idx="270">
                  <c:v>2.956</c:v>
                </c:pt>
                <c:pt idx="273">
                  <c:v>2.8460000000000001</c:v>
                </c:pt>
                <c:pt idx="274">
                  <c:v>2.843</c:v>
                </c:pt>
                <c:pt idx="275">
                  <c:v>2.8849999999999998</c:v>
                </c:pt>
                <c:pt idx="276">
                  <c:v>2.8450000000000002</c:v>
                </c:pt>
                <c:pt idx="277">
                  <c:v>2.786</c:v>
                </c:pt>
                <c:pt idx="279">
                  <c:v>2.8050000000000002</c:v>
                </c:pt>
                <c:pt idx="280">
                  <c:v>2.8650000000000002</c:v>
                </c:pt>
                <c:pt idx="281">
                  <c:v>2.8860000000000001</c:v>
                </c:pt>
                <c:pt idx="282">
                  <c:v>2.9460000000000002</c:v>
                </c:pt>
                <c:pt idx="283">
                  <c:v>2.9660000000000002</c:v>
                </c:pt>
                <c:pt idx="285">
                  <c:v>2.863</c:v>
                </c:pt>
                <c:pt idx="286">
                  <c:v>2.8759999999999999</c:v>
                </c:pt>
                <c:pt idx="287">
                  <c:v>2.8940000000000001</c:v>
                </c:pt>
                <c:pt idx="288">
                  <c:v>2.8860000000000001</c:v>
                </c:pt>
                <c:pt idx="289">
                  <c:v>2.9060000000000001</c:v>
                </c:pt>
                <c:pt idx="291">
                  <c:v>2.8919999999999999</c:v>
                </c:pt>
                <c:pt idx="292">
                  <c:v>2.8940000000000001</c:v>
                </c:pt>
                <c:pt idx="293">
                  <c:v>2.9729999999999999</c:v>
                </c:pt>
                <c:pt idx="294">
                  <c:v>2.9940000000000002</c:v>
                </c:pt>
                <c:pt idx="295">
                  <c:v>2.9569999999999999</c:v>
                </c:pt>
                <c:pt idx="297">
                  <c:v>2.8769999999999998</c:v>
                </c:pt>
                <c:pt idx="298">
                  <c:v>2.8559999999999999</c:v>
                </c:pt>
                <c:pt idx="299">
                  <c:v>2.9260000000000002</c:v>
                </c:pt>
                <c:pt idx="300">
                  <c:v>2.867</c:v>
                </c:pt>
                <c:pt idx="301">
                  <c:v>2.6960000000000002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A-4FEB-AC3A-7B2FB46973D2}"/>
            </c:ext>
          </c:extLst>
        </c:ser>
        <c:ser>
          <c:idx val="1"/>
          <c:order val="1"/>
          <c:tx>
            <c:strRef>
              <c:f>'Natural Gas Prices'!$D$1</c:f>
              <c:strCache>
                <c:ptCount val="1"/>
                <c:pt idx="0">
                  <c:v>Netherlands TTF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'Natural Gas Prices'!$B$2:$B$303</c:f>
              <c:numCache>
                <c:formatCode>m/d/yyyy</c:formatCode>
                <c:ptCount val="302"/>
                <c:pt idx="0">
                  <c:v>44677</c:v>
                </c:pt>
                <c:pt idx="1">
                  <c:v>44676</c:v>
                </c:pt>
                <c:pt idx="2">
                  <c:v>44673</c:v>
                </c:pt>
                <c:pt idx="3">
                  <c:v>44672</c:v>
                </c:pt>
                <c:pt idx="4">
                  <c:v>44670</c:v>
                </c:pt>
                <c:pt idx="5">
                  <c:v>44669</c:v>
                </c:pt>
                <c:pt idx="6">
                  <c:v>44665</c:v>
                </c:pt>
                <c:pt idx="7">
                  <c:v>44664</c:v>
                </c:pt>
                <c:pt idx="8">
                  <c:v>44663</c:v>
                </c:pt>
                <c:pt idx="9">
                  <c:v>44662</c:v>
                </c:pt>
                <c:pt idx="11">
                  <c:v>44659</c:v>
                </c:pt>
                <c:pt idx="12">
                  <c:v>44658</c:v>
                </c:pt>
                <c:pt idx="13">
                  <c:v>44657</c:v>
                </c:pt>
                <c:pt idx="14">
                  <c:v>44656</c:v>
                </c:pt>
                <c:pt idx="15">
                  <c:v>44655</c:v>
                </c:pt>
                <c:pt idx="17">
                  <c:v>44652</c:v>
                </c:pt>
                <c:pt idx="18">
                  <c:v>44651</c:v>
                </c:pt>
                <c:pt idx="19">
                  <c:v>44650</c:v>
                </c:pt>
                <c:pt idx="20">
                  <c:v>44649</c:v>
                </c:pt>
                <c:pt idx="21">
                  <c:v>44648</c:v>
                </c:pt>
                <c:pt idx="22">
                  <c:v>44645</c:v>
                </c:pt>
                <c:pt idx="23">
                  <c:v>44644</c:v>
                </c:pt>
                <c:pt idx="24">
                  <c:v>44643</c:v>
                </c:pt>
                <c:pt idx="25">
                  <c:v>44642</c:v>
                </c:pt>
                <c:pt idx="26">
                  <c:v>44641</c:v>
                </c:pt>
                <c:pt idx="28">
                  <c:v>44638</c:v>
                </c:pt>
                <c:pt idx="29">
                  <c:v>44637</c:v>
                </c:pt>
                <c:pt idx="30">
                  <c:v>44636</c:v>
                </c:pt>
                <c:pt idx="31">
                  <c:v>44635</c:v>
                </c:pt>
                <c:pt idx="32">
                  <c:v>44634</c:v>
                </c:pt>
                <c:pt idx="34">
                  <c:v>44631</c:v>
                </c:pt>
                <c:pt idx="35">
                  <c:v>44630</c:v>
                </c:pt>
                <c:pt idx="36">
                  <c:v>44629</c:v>
                </c:pt>
                <c:pt idx="37">
                  <c:v>44628</c:v>
                </c:pt>
                <c:pt idx="38">
                  <c:v>44627</c:v>
                </c:pt>
                <c:pt idx="40">
                  <c:v>44624</c:v>
                </c:pt>
                <c:pt idx="41">
                  <c:v>44623</c:v>
                </c:pt>
                <c:pt idx="42">
                  <c:v>44622</c:v>
                </c:pt>
                <c:pt idx="43">
                  <c:v>44621</c:v>
                </c:pt>
                <c:pt idx="44">
                  <c:v>44620</c:v>
                </c:pt>
                <c:pt idx="46">
                  <c:v>44617</c:v>
                </c:pt>
                <c:pt idx="47">
                  <c:v>44616</c:v>
                </c:pt>
                <c:pt idx="48">
                  <c:v>44615</c:v>
                </c:pt>
                <c:pt idx="49">
                  <c:v>44614</c:v>
                </c:pt>
                <c:pt idx="51">
                  <c:v>44610</c:v>
                </c:pt>
                <c:pt idx="52">
                  <c:v>44609</c:v>
                </c:pt>
                <c:pt idx="53">
                  <c:v>44608</c:v>
                </c:pt>
                <c:pt idx="54">
                  <c:v>44607</c:v>
                </c:pt>
                <c:pt idx="55">
                  <c:v>44606</c:v>
                </c:pt>
                <c:pt idx="57">
                  <c:v>44603</c:v>
                </c:pt>
                <c:pt idx="58">
                  <c:v>44602</c:v>
                </c:pt>
                <c:pt idx="59">
                  <c:v>44601</c:v>
                </c:pt>
                <c:pt idx="60">
                  <c:v>44600</c:v>
                </c:pt>
                <c:pt idx="61">
                  <c:v>44599</c:v>
                </c:pt>
                <c:pt idx="63">
                  <c:v>44596</c:v>
                </c:pt>
                <c:pt idx="64">
                  <c:v>44595</c:v>
                </c:pt>
                <c:pt idx="65">
                  <c:v>44594</c:v>
                </c:pt>
                <c:pt idx="66">
                  <c:v>44593</c:v>
                </c:pt>
                <c:pt idx="67">
                  <c:v>44592</c:v>
                </c:pt>
                <c:pt idx="69">
                  <c:v>44589</c:v>
                </c:pt>
                <c:pt idx="70">
                  <c:v>44588</c:v>
                </c:pt>
                <c:pt idx="71">
                  <c:v>44587</c:v>
                </c:pt>
                <c:pt idx="72">
                  <c:v>44586</c:v>
                </c:pt>
                <c:pt idx="73">
                  <c:v>44585</c:v>
                </c:pt>
                <c:pt idx="75">
                  <c:v>44582</c:v>
                </c:pt>
                <c:pt idx="76">
                  <c:v>44581</c:v>
                </c:pt>
                <c:pt idx="77">
                  <c:v>44580</c:v>
                </c:pt>
                <c:pt idx="78">
                  <c:v>44579</c:v>
                </c:pt>
                <c:pt idx="80">
                  <c:v>44575</c:v>
                </c:pt>
                <c:pt idx="81">
                  <c:v>44574</c:v>
                </c:pt>
                <c:pt idx="82">
                  <c:v>44573</c:v>
                </c:pt>
                <c:pt idx="83">
                  <c:v>44572</c:v>
                </c:pt>
                <c:pt idx="84">
                  <c:v>44571</c:v>
                </c:pt>
                <c:pt idx="86">
                  <c:v>44568</c:v>
                </c:pt>
                <c:pt idx="87">
                  <c:v>44567</c:v>
                </c:pt>
                <c:pt idx="88">
                  <c:v>44566</c:v>
                </c:pt>
                <c:pt idx="89">
                  <c:v>44565</c:v>
                </c:pt>
                <c:pt idx="90">
                  <c:v>44564</c:v>
                </c:pt>
                <c:pt idx="92">
                  <c:v>44560</c:v>
                </c:pt>
                <c:pt idx="93">
                  <c:v>44559</c:v>
                </c:pt>
                <c:pt idx="94">
                  <c:v>44558</c:v>
                </c:pt>
                <c:pt idx="95">
                  <c:v>44557</c:v>
                </c:pt>
                <c:pt idx="97">
                  <c:v>44553</c:v>
                </c:pt>
                <c:pt idx="98">
                  <c:v>44552</c:v>
                </c:pt>
                <c:pt idx="99">
                  <c:v>44551</c:v>
                </c:pt>
                <c:pt idx="100">
                  <c:v>44550</c:v>
                </c:pt>
                <c:pt idx="102">
                  <c:v>44547</c:v>
                </c:pt>
                <c:pt idx="103">
                  <c:v>44546</c:v>
                </c:pt>
                <c:pt idx="104">
                  <c:v>44545</c:v>
                </c:pt>
                <c:pt idx="105">
                  <c:v>44544</c:v>
                </c:pt>
                <c:pt idx="106">
                  <c:v>44543</c:v>
                </c:pt>
                <c:pt idx="108">
                  <c:v>44540</c:v>
                </c:pt>
                <c:pt idx="109">
                  <c:v>44539</c:v>
                </c:pt>
                <c:pt idx="110">
                  <c:v>44538</c:v>
                </c:pt>
                <c:pt idx="111">
                  <c:v>44537</c:v>
                </c:pt>
                <c:pt idx="112">
                  <c:v>44536</c:v>
                </c:pt>
                <c:pt idx="114">
                  <c:v>44533</c:v>
                </c:pt>
                <c:pt idx="115">
                  <c:v>44532</c:v>
                </c:pt>
                <c:pt idx="116">
                  <c:v>44531</c:v>
                </c:pt>
                <c:pt idx="117">
                  <c:v>44530</c:v>
                </c:pt>
                <c:pt idx="118">
                  <c:v>44529</c:v>
                </c:pt>
                <c:pt idx="120">
                  <c:v>44524</c:v>
                </c:pt>
                <c:pt idx="121">
                  <c:v>44523</c:v>
                </c:pt>
                <c:pt idx="122">
                  <c:v>44522</c:v>
                </c:pt>
                <c:pt idx="124">
                  <c:v>44519</c:v>
                </c:pt>
                <c:pt idx="125">
                  <c:v>44518</c:v>
                </c:pt>
                <c:pt idx="126">
                  <c:v>44517</c:v>
                </c:pt>
                <c:pt idx="127">
                  <c:v>44516</c:v>
                </c:pt>
                <c:pt idx="128">
                  <c:v>44515</c:v>
                </c:pt>
                <c:pt idx="130">
                  <c:v>44512</c:v>
                </c:pt>
                <c:pt idx="131">
                  <c:v>44511</c:v>
                </c:pt>
                <c:pt idx="132">
                  <c:v>44510</c:v>
                </c:pt>
                <c:pt idx="133">
                  <c:v>44509</c:v>
                </c:pt>
                <c:pt idx="134">
                  <c:v>44508</c:v>
                </c:pt>
                <c:pt idx="136">
                  <c:v>44505</c:v>
                </c:pt>
                <c:pt idx="137">
                  <c:v>44504</c:v>
                </c:pt>
                <c:pt idx="138">
                  <c:v>44503</c:v>
                </c:pt>
                <c:pt idx="139">
                  <c:v>44502</c:v>
                </c:pt>
                <c:pt idx="140">
                  <c:v>44501</c:v>
                </c:pt>
                <c:pt idx="142">
                  <c:v>44498</c:v>
                </c:pt>
                <c:pt idx="143">
                  <c:v>44497</c:v>
                </c:pt>
                <c:pt idx="144">
                  <c:v>44496</c:v>
                </c:pt>
                <c:pt idx="145">
                  <c:v>44495</c:v>
                </c:pt>
                <c:pt idx="146">
                  <c:v>44494</c:v>
                </c:pt>
                <c:pt idx="148">
                  <c:v>44491</c:v>
                </c:pt>
                <c:pt idx="149">
                  <c:v>44490</c:v>
                </c:pt>
                <c:pt idx="150">
                  <c:v>44489</c:v>
                </c:pt>
                <c:pt idx="151">
                  <c:v>44488</c:v>
                </c:pt>
                <c:pt idx="152">
                  <c:v>44487</c:v>
                </c:pt>
                <c:pt idx="154">
                  <c:v>44484</c:v>
                </c:pt>
                <c:pt idx="155">
                  <c:v>44483</c:v>
                </c:pt>
                <c:pt idx="156">
                  <c:v>44482</c:v>
                </c:pt>
                <c:pt idx="157">
                  <c:v>44481</c:v>
                </c:pt>
                <c:pt idx="158">
                  <c:v>44480</c:v>
                </c:pt>
                <c:pt idx="160">
                  <c:v>44477</c:v>
                </c:pt>
                <c:pt idx="161">
                  <c:v>44476</c:v>
                </c:pt>
                <c:pt idx="162">
                  <c:v>44475</c:v>
                </c:pt>
                <c:pt idx="163">
                  <c:v>44474</c:v>
                </c:pt>
                <c:pt idx="164">
                  <c:v>44473</c:v>
                </c:pt>
                <c:pt idx="166">
                  <c:v>44470</c:v>
                </c:pt>
                <c:pt idx="167">
                  <c:v>44469</c:v>
                </c:pt>
                <c:pt idx="168">
                  <c:v>44468</c:v>
                </c:pt>
                <c:pt idx="169">
                  <c:v>44467</c:v>
                </c:pt>
                <c:pt idx="170">
                  <c:v>44466</c:v>
                </c:pt>
                <c:pt idx="172">
                  <c:v>44463</c:v>
                </c:pt>
                <c:pt idx="173">
                  <c:v>44462</c:v>
                </c:pt>
                <c:pt idx="174">
                  <c:v>44461</c:v>
                </c:pt>
                <c:pt idx="175">
                  <c:v>44460</c:v>
                </c:pt>
                <c:pt idx="176">
                  <c:v>44459</c:v>
                </c:pt>
                <c:pt idx="178">
                  <c:v>44456</c:v>
                </c:pt>
                <c:pt idx="179">
                  <c:v>44455</c:v>
                </c:pt>
                <c:pt idx="180">
                  <c:v>44454</c:v>
                </c:pt>
                <c:pt idx="181">
                  <c:v>44453</c:v>
                </c:pt>
                <c:pt idx="182">
                  <c:v>44452</c:v>
                </c:pt>
                <c:pt idx="184">
                  <c:v>44449</c:v>
                </c:pt>
                <c:pt idx="185">
                  <c:v>44448</c:v>
                </c:pt>
                <c:pt idx="186">
                  <c:v>44447</c:v>
                </c:pt>
                <c:pt idx="187">
                  <c:v>44446</c:v>
                </c:pt>
                <c:pt idx="189">
                  <c:v>44442</c:v>
                </c:pt>
                <c:pt idx="190">
                  <c:v>44441</c:v>
                </c:pt>
                <c:pt idx="191">
                  <c:v>44440</c:v>
                </c:pt>
                <c:pt idx="192">
                  <c:v>44439</c:v>
                </c:pt>
                <c:pt idx="193">
                  <c:v>44438</c:v>
                </c:pt>
                <c:pt idx="195">
                  <c:v>44435</c:v>
                </c:pt>
                <c:pt idx="196">
                  <c:v>44434</c:v>
                </c:pt>
                <c:pt idx="197">
                  <c:v>44433</c:v>
                </c:pt>
                <c:pt idx="198">
                  <c:v>44432</c:v>
                </c:pt>
                <c:pt idx="199">
                  <c:v>44431</c:v>
                </c:pt>
                <c:pt idx="201">
                  <c:v>44428</c:v>
                </c:pt>
                <c:pt idx="202">
                  <c:v>44427</c:v>
                </c:pt>
                <c:pt idx="203">
                  <c:v>44426</c:v>
                </c:pt>
                <c:pt idx="204">
                  <c:v>44425</c:v>
                </c:pt>
                <c:pt idx="205">
                  <c:v>44424</c:v>
                </c:pt>
                <c:pt idx="207">
                  <c:v>44421</c:v>
                </c:pt>
                <c:pt idx="208">
                  <c:v>44420</c:v>
                </c:pt>
                <c:pt idx="209">
                  <c:v>44419</c:v>
                </c:pt>
                <c:pt idx="210">
                  <c:v>44418</c:v>
                </c:pt>
                <c:pt idx="211">
                  <c:v>44417</c:v>
                </c:pt>
                <c:pt idx="213">
                  <c:v>44414</c:v>
                </c:pt>
                <c:pt idx="214">
                  <c:v>44413</c:v>
                </c:pt>
                <c:pt idx="215">
                  <c:v>44412</c:v>
                </c:pt>
                <c:pt idx="216">
                  <c:v>44411</c:v>
                </c:pt>
                <c:pt idx="217">
                  <c:v>44410</c:v>
                </c:pt>
                <c:pt idx="219">
                  <c:v>44407</c:v>
                </c:pt>
                <c:pt idx="220">
                  <c:v>44406</c:v>
                </c:pt>
                <c:pt idx="221">
                  <c:v>44405</c:v>
                </c:pt>
                <c:pt idx="222">
                  <c:v>44404</c:v>
                </c:pt>
                <c:pt idx="223">
                  <c:v>44403</c:v>
                </c:pt>
                <c:pt idx="225">
                  <c:v>44400</c:v>
                </c:pt>
                <c:pt idx="226">
                  <c:v>44399</c:v>
                </c:pt>
                <c:pt idx="227">
                  <c:v>44398</c:v>
                </c:pt>
                <c:pt idx="228">
                  <c:v>44397</c:v>
                </c:pt>
                <c:pt idx="229">
                  <c:v>44396</c:v>
                </c:pt>
                <c:pt idx="231">
                  <c:v>44393</c:v>
                </c:pt>
                <c:pt idx="232">
                  <c:v>44392</c:v>
                </c:pt>
                <c:pt idx="233">
                  <c:v>44391</c:v>
                </c:pt>
                <c:pt idx="234">
                  <c:v>44390</c:v>
                </c:pt>
                <c:pt idx="235">
                  <c:v>44389</c:v>
                </c:pt>
                <c:pt idx="237">
                  <c:v>44386</c:v>
                </c:pt>
                <c:pt idx="238">
                  <c:v>44385</c:v>
                </c:pt>
                <c:pt idx="239">
                  <c:v>44384</c:v>
                </c:pt>
                <c:pt idx="240">
                  <c:v>44383</c:v>
                </c:pt>
                <c:pt idx="241">
                  <c:v>44382</c:v>
                </c:pt>
                <c:pt idx="243">
                  <c:v>44379</c:v>
                </c:pt>
                <c:pt idx="244">
                  <c:v>44378</c:v>
                </c:pt>
                <c:pt idx="245">
                  <c:v>44377</c:v>
                </c:pt>
                <c:pt idx="246">
                  <c:v>44376</c:v>
                </c:pt>
                <c:pt idx="247">
                  <c:v>44375</c:v>
                </c:pt>
                <c:pt idx="249">
                  <c:v>44372</c:v>
                </c:pt>
                <c:pt idx="250">
                  <c:v>44371</c:v>
                </c:pt>
                <c:pt idx="251">
                  <c:v>44370</c:v>
                </c:pt>
                <c:pt idx="252">
                  <c:v>44369</c:v>
                </c:pt>
                <c:pt idx="253">
                  <c:v>44368</c:v>
                </c:pt>
                <c:pt idx="255">
                  <c:v>44365</c:v>
                </c:pt>
                <c:pt idx="256">
                  <c:v>44364</c:v>
                </c:pt>
                <c:pt idx="257">
                  <c:v>44363</c:v>
                </c:pt>
                <c:pt idx="258">
                  <c:v>44362</c:v>
                </c:pt>
                <c:pt idx="259">
                  <c:v>44361</c:v>
                </c:pt>
                <c:pt idx="261">
                  <c:v>44358</c:v>
                </c:pt>
                <c:pt idx="262">
                  <c:v>44357</c:v>
                </c:pt>
                <c:pt idx="263">
                  <c:v>44356</c:v>
                </c:pt>
                <c:pt idx="264">
                  <c:v>44355</c:v>
                </c:pt>
                <c:pt idx="265">
                  <c:v>44354</c:v>
                </c:pt>
                <c:pt idx="267">
                  <c:v>44351</c:v>
                </c:pt>
                <c:pt idx="268">
                  <c:v>44350</c:v>
                </c:pt>
                <c:pt idx="269">
                  <c:v>44349</c:v>
                </c:pt>
                <c:pt idx="270">
                  <c:v>44348</c:v>
                </c:pt>
                <c:pt idx="271">
                  <c:v>44347</c:v>
                </c:pt>
                <c:pt idx="273">
                  <c:v>44344</c:v>
                </c:pt>
                <c:pt idx="274">
                  <c:v>44343</c:v>
                </c:pt>
                <c:pt idx="275">
                  <c:v>44342</c:v>
                </c:pt>
                <c:pt idx="276">
                  <c:v>44341</c:v>
                </c:pt>
                <c:pt idx="277">
                  <c:v>44340</c:v>
                </c:pt>
                <c:pt idx="279">
                  <c:v>44337</c:v>
                </c:pt>
                <c:pt idx="280">
                  <c:v>44336</c:v>
                </c:pt>
                <c:pt idx="281">
                  <c:v>44335</c:v>
                </c:pt>
                <c:pt idx="282">
                  <c:v>44334</c:v>
                </c:pt>
                <c:pt idx="283">
                  <c:v>44333</c:v>
                </c:pt>
                <c:pt idx="285">
                  <c:v>44330</c:v>
                </c:pt>
                <c:pt idx="286">
                  <c:v>44329</c:v>
                </c:pt>
                <c:pt idx="287">
                  <c:v>44328</c:v>
                </c:pt>
                <c:pt idx="288">
                  <c:v>44327</c:v>
                </c:pt>
                <c:pt idx="289">
                  <c:v>44326</c:v>
                </c:pt>
                <c:pt idx="291">
                  <c:v>44323</c:v>
                </c:pt>
                <c:pt idx="292">
                  <c:v>44322</c:v>
                </c:pt>
                <c:pt idx="293">
                  <c:v>44321</c:v>
                </c:pt>
                <c:pt idx="294">
                  <c:v>44320</c:v>
                </c:pt>
                <c:pt idx="295">
                  <c:v>44319</c:v>
                </c:pt>
                <c:pt idx="297">
                  <c:v>44316</c:v>
                </c:pt>
                <c:pt idx="298">
                  <c:v>44315</c:v>
                </c:pt>
                <c:pt idx="299">
                  <c:v>44314</c:v>
                </c:pt>
                <c:pt idx="300">
                  <c:v>44313</c:v>
                </c:pt>
                <c:pt idx="301">
                  <c:v>44312</c:v>
                </c:pt>
              </c:numCache>
            </c:numRef>
          </c:cat>
          <c:val>
            <c:numRef>
              <c:f>'Natural Gas Prices'!$D$2:$D$303</c:f>
              <c:numCache>
                <c:formatCode>General</c:formatCode>
                <c:ptCount val="302"/>
                <c:pt idx="0">
                  <c:v>30.75</c:v>
                </c:pt>
                <c:pt idx="1">
                  <c:v>28.81</c:v>
                </c:pt>
                <c:pt idx="2">
                  <c:v>30.17</c:v>
                </c:pt>
                <c:pt idx="3">
                  <c:v>32.14</c:v>
                </c:pt>
                <c:pt idx="4">
                  <c:v>29.64</c:v>
                </c:pt>
                <c:pt idx="5">
                  <c:v>27.27</c:v>
                </c:pt>
                <c:pt idx="6">
                  <c:v>28.63</c:v>
                </c:pt>
                <c:pt idx="7">
                  <c:v>33.11</c:v>
                </c:pt>
                <c:pt idx="8">
                  <c:v>32.89</c:v>
                </c:pt>
                <c:pt idx="9">
                  <c:v>32.32</c:v>
                </c:pt>
                <c:pt idx="11">
                  <c:v>32.909999999999997</c:v>
                </c:pt>
                <c:pt idx="12">
                  <c:v>33.299999999999997</c:v>
                </c:pt>
                <c:pt idx="13">
                  <c:v>34.369999999999997</c:v>
                </c:pt>
                <c:pt idx="14">
                  <c:v>33.92</c:v>
                </c:pt>
                <c:pt idx="15">
                  <c:v>35.36</c:v>
                </c:pt>
                <c:pt idx="17">
                  <c:v>35.72</c:v>
                </c:pt>
                <c:pt idx="18">
                  <c:v>39.22</c:v>
                </c:pt>
                <c:pt idx="19">
                  <c:v>38.14</c:v>
                </c:pt>
                <c:pt idx="20">
                  <c:v>34.549999999999997</c:v>
                </c:pt>
                <c:pt idx="21">
                  <c:v>35.119999999999997</c:v>
                </c:pt>
                <c:pt idx="22">
                  <c:v>31.77</c:v>
                </c:pt>
                <c:pt idx="23">
                  <c:v>35.11</c:v>
                </c:pt>
                <c:pt idx="24">
                  <c:v>36.020000000000003</c:v>
                </c:pt>
                <c:pt idx="25">
                  <c:v>32.049999999999997</c:v>
                </c:pt>
                <c:pt idx="26">
                  <c:v>31.06</c:v>
                </c:pt>
                <c:pt idx="28">
                  <c:v>32.74</c:v>
                </c:pt>
                <c:pt idx="29">
                  <c:v>34.35</c:v>
                </c:pt>
                <c:pt idx="30">
                  <c:v>33.53</c:v>
                </c:pt>
                <c:pt idx="31">
                  <c:v>36.99</c:v>
                </c:pt>
                <c:pt idx="32">
                  <c:v>36.81</c:v>
                </c:pt>
                <c:pt idx="34">
                  <c:v>41.98</c:v>
                </c:pt>
                <c:pt idx="35">
                  <c:v>40.71</c:v>
                </c:pt>
                <c:pt idx="36">
                  <c:v>50.57</c:v>
                </c:pt>
                <c:pt idx="37">
                  <c:v>68.66</c:v>
                </c:pt>
                <c:pt idx="38">
                  <c:v>72.39</c:v>
                </c:pt>
                <c:pt idx="40">
                  <c:v>61.73</c:v>
                </c:pt>
                <c:pt idx="41">
                  <c:v>52.18</c:v>
                </c:pt>
                <c:pt idx="42">
                  <c:v>54.02</c:v>
                </c:pt>
                <c:pt idx="43">
                  <c:v>39.69</c:v>
                </c:pt>
                <c:pt idx="44">
                  <c:v>29.07</c:v>
                </c:pt>
                <c:pt idx="46">
                  <c:v>31.15</c:v>
                </c:pt>
                <c:pt idx="47">
                  <c:v>44.04</c:v>
                </c:pt>
                <c:pt idx="48">
                  <c:v>29.46</c:v>
                </c:pt>
                <c:pt idx="49">
                  <c:v>26.48</c:v>
                </c:pt>
                <c:pt idx="51">
                  <c:v>24.49</c:v>
                </c:pt>
                <c:pt idx="52">
                  <c:v>24.95</c:v>
                </c:pt>
                <c:pt idx="53">
                  <c:v>23.3</c:v>
                </c:pt>
                <c:pt idx="54">
                  <c:v>23.61</c:v>
                </c:pt>
                <c:pt idx="55">
                  <c:v>26.72</c:v>
                </c:pt>
                <c:pt idx="57">
                  <c:v>25.77</c:v>
                </c:pt>
                <c:pt idx="58">
                  <c:v>24.97</c:v>
                </c:pt>
                <c:pt idx="59">
                  <c:v>24.93</c:v>
                </c:pt>
                <c:pt idx="60">
                  <c:v>25.87</c:v>
                </c:pt>
                <c:pt idx="61">
                  <c:v>26.67</c:v>
                </c:pt>
                <c:pt idx="63">
                  <c:v>27.74</c:v>
                </c:pt>
                <c:pt idx="64">
                  <c:v>26.9</c:v>
                </c:pt>
                <c:pt idx="65">
                  <c:v>25.64</c:v>
                </c:pt>
                <c:pt idx="66">
                  <c:v>25.12</c:v>
                </c:pt>
                <c:pt idx="67">
                  <c:v>26.82</c:v>
                </c:pt>
                <c:pt idx="69">
                  <c:v>30.06</c:v>
                </c:pt>
                <c:pt idx="70">
                  <c:v>30.14</c:v>
                </c:pt>
                <c:pt idx="71">
                  <c:v>30.38</c:v>
                </c:pt>
                <c:pt idx="72">
                  <c:v>31.08</c:v>
                </c:pt>
                <c:pt idx="73">
                  <c:v>30.48</c:v>
                </c:pt>
                <c:pt idx="75">
                  <c:v>26.37</c:v>
                </c:pt>
                <c:pt idx="76">
                  <c:v>26.09</c:v>
                </c:pt>
                <c:pt idx="77">
                  <c:v>24.53</c:v>
                </c:pt>
                <c:pt idx="78">
                  <c:v>26.55</c:v>
                </c:pt>
                <c:pt idx="80">
                  <c:v>27.88</c:v>
                </c:pt>
                <c:pt idx="81">
                  <c:v>28.3</c:v>
                </c:pt>
                <c:pt idx="82">
                  <c:v>24.89</c:v>
                </c:pt>
                <c:pt idx="83">
                  <c:v>26.97</c:v>
                </c:pt>
                <c:pt idx="84">
                  <c:v>28.35</c:v>
                </c:pt>
                <c:pt idx="86">
                  <c:v>27.96</c:v>
                </c:pt>
                <c:pt idx="87">
                  <c:v>32.450000000000003</c:v>
                </c:pt>
                <c:pt idx="88">
                  <c:v>32.22</c:v>
                </c:pt>
                <c:pt idx="89">
                  <c:v>29.17</c:v>
                </c:pt>
                <c:pt idx="90">
                  <c:v>23.5</c:v>
                </c:pt>
                <c:pt idx="92">
                  <c:v>28.71</c:v>
                </c:pt>
                <c:pt idx="93">
                  <c:v>32.159999999999997</c:v>
                </c:pt>
                <c:pt idx="94">
                  <c:v>33.950000000000003</c:v>
                </c:pt>
                <c:pt idx="95">
                  <c:v>34.299999999999997</c:v>
                </c:pt>
                <c:pt idx="97">
                  <c:v>41.81</c:v>
                </c:pt>
                <c:pt idx="98">
                  <c:v>55</c:v>
                </c:pt>
                <c:pt idx="99">
                  <c:v>59.67</c:v>
                </c:pt>
                <c:pt idx="100">
                  <c:v>48.66</c:v>
                </c:pt>
                <c:pt idx="102">
                  <c:v>44.42</c:v>
                </c:pt>
                <c:pt idx="103">
                  <c:v>45.69</c:v>
                </c:pt>
                <c:pt idx="104">
                  <c:v>40.909999999999997</c:v>
                </c:pt>
                <c:pt idx="105">
                  <c:v>43.12</c:v>
                </c:pt>
                <c:pt idx="106">
                  <c:v>38.28</c:v>
                </c:pt>
                <c:pt idx="108">
                  <c:v>35.1</c:v>
                </c:pt>
                <c:pt idx="109">
                  <c:v>33.56</c:v>
                </c:pt>
                <c:pt idx="110">
                  <c:v>34.119999999999997</c:v>
                </c:pt>
                <c:pt idx="111">
                  <c:v>31.29</c:v>
                </c:pt>
                <c:pt idx="112">
                  <c:v>29.98</c:v>
                </c:pt>
                <c:pt idx="114">
                  <c:v>29.65</c:v>
                </c:pt>
                <c:pt idx="115">
                  <c:v>30.12</c:v>
                </c:pt>
                <c:pt idx="116">
                  <c:v>31.56</c:v>
                </c:pt>
                <c:pt idx="117">
                  <c:v>30.51</c:v>
                </c:pt>
                <c:pt idx="118">
                  <c:v>31.32</c:v>
                </c:pt>
                <c:pt idx="120">
                  <c:v>30.66</c:v>
                </c:pt>
                <c:pt idx="121">
                  <c:v>30.23</c:v>
                </c:pt>
                <c:pt idx="122">
                  <c:v>27.97</c:v>
                </c:pt>
                <c:pt idx="124">
                  <c:v>28.7</c:v>
                </c:pt>
                <c:pt idx="125">
                  <c:v>30.48</c:v>
                </c:pt>
                <c:pt idx="126">
                  <c:v>31.17</c:v>
                </c:pt>
                <c:pt idx="127">
                  <c:v>31.29</c:v>
                </c:pt>
                <c:pt idx="128">
                  <c:v>27.3</c:v>
                </c:pt>
                <c:pt idx="130">
                  <c:v>25.69</c:v>
                </c:pt>
                <c:pt idx="131">
                  <c:v>25.26</c:v>
                </c:pt>
                <c:pt idx="132">
                  <c:v>24.1</c:v>
                </c:pt>
                <c:pt idx="133">
                  <c:v>24.15</c:v>
                </c:pt>
                <c:pt idx="134">
                  <c:v>26.72</c:v>
                </c:pt>
                <c:pt idx="136">
                  <c:v>25.16</c:v>
                </c:pt>
                <c:pt idx="137">
                  <c:v>24.77</c:v>
                </c:pt>
                <c:pt idx="138">
                  <c:v>27</c:v>
                </c:pt>
                <c:pt idx="139">
                  <c:v>24.28</c:v>
                </c:pt>
                <c:pt idx="140">
                  <c:v>23</c:v>
                </c:pt>
                <c:pt idx="142">
                  <c:v>22.25</c:v>
                </c:pt>
                <c:pt idx="143">
                  <c:v>26.06</c:v>
                </c:pt>
                <c:pt idx="144">
                  <c:v>28.93</c:v>
                </c:pt>
                <c:pt idx="145">
                  <c:v>30.32</c:v>
                </c:pt>
                <c:pt idx="146">
                  <c:v>29.98</c:v>
                </c:pt>
                <c:pt idx="148">
                  <c:v>29.92</c:v>
                </c:pt>
                <c:pt idx="149">
                  <c:v>29.82</c:v>
                </c:pt>
                <c:pt idx="150">
                  <c:v>31.94</c:v>
                </c:pt>
                <c:pt idx="151">
                  <c:v>31.11</c:v>
                </c:pt>
                <c:pt idx="152">
                  <c:v>30.85</c:v>
                </c:pt>
                <c:pt idx="154">
                  <c:v>30.42</c:v>
                </c:pt>
                <c:pt idx="155">
                  <c:v>34.549999999999997</c:v>
                </c:pt>
                <c:pt idx="156">
                  <c:v>31.97</c:v>
                </c:pt>
                <c:pt idx="157">
                  <c:v>29.59</c:v>
                </c:pt>
                <c:pt idx="158">
                  <c:v>28.6</c:v>
                </c:pt>
                <c:pt idx="160">
                  <c:v>28.6</c:v>
                </c:pt>
                <c:pt idx="161">
                  <c:v>33.69</c:v>
                </c:pt>
                <c:pt idx="162">
                  <c:v>35.17</c:v>
                </c:pt>
                <c:pt idx="163">
                  <c:v>40.090000000000003</c:v>
                </c:pt>
                <c:pt idx="164">
                  <c:v>32.93</c:v>
                </c:pt>
                <c:pt idx="166">
                  <c:v>31.12</c:v>
                </c:pt>
                <c:pt idx="167">
                  <c:v>30.5</c:v>
                </c:pt>
                <c:pt idx="168">
                  <c:v>29.4</c:v>
                </c:pt>
                <c:pt idx="169">
                  <c:v>27.71</c:v>
                </c:pt>
                <c:pt idx="170">
                  <c:v>26.63</c:v>
                </c:pt>
                <c:pt idx="172">
                  <c:v>24.44</c:v>
                </c:pt>
                <c:pt idx="173">
                  <c:v>24.34</c:v>
                </c:pt>
                <c:pt idx="174">
                  <c:v>24.06</c:v>
                </c:pt>
                <c:pt idx="175">
                  <c:v>24.81</c:v>
                </c:pt>
                <c:pt idx="176">
                  <c:v>24.73</c:v>
                </c:pt>
                <c:pt idx="178">
                  <c:v>22.76</c:v>
                </c:pt>
                <c:pt idx="179">
                  <c:v>21.48</c:v>
                </c:pt>
                <c:pt idx="180">
                  <c:v>22.67</c:v>
                </c:pt>
                <c:pt idx="181">
                  <c:v>22.94</c:v>
                </c:pt>
                <c:pt idx="182">
                  <c:v>21.47</c:v>
                </c:pt>
                <c:pt idx="184">
                  <c:v>20.02</c:v>
                </c:pt>
                <c:pt idx="185">
                  <c:v>19.45</c:v>
                </c:pt>
                <c:pt idx="186">
                  <c:v>19.13</c:v>
                </c:pt>
                <c:pt idx="187">
                  <c:v>18.95</c:v>
                </c:pt>
                <c:pt idx="189">
                  <c:v>18</c:v>
                </c:pt>
                <c:pt idx="190">
                  <c:v>17.93</c:v>
                </c:pt>
                <c:pt idx="191">
                  <c:v>17.309999999999999</c:v>
                </c:pt>
                <c:pt idx="192">
                  <c:v>17.28</c:v>
                </c:pt>
                <c:pt idx="193">
                  <c:v>17.7</c:v>
                </c:pt>
                <c:pt idx="195">
                  <c:v>16.510000000000002</c:v>
                </c:pt>
                <c:pt idx="196">
                  <c:v>15.79</c:v>
                </c:pt>
                <c:pt idx="197">
                  <c:v>15.25</c:v>
                </c:pt>
                <c:pt idx="198">
                  <c:v>15.62</c:v>
                </c:pt>
                <c:pt idx="199">
                  <c:v>14.66</c:v>
                </c:pt>
                <c:pt idx="201">
                  <c:v>14.29</c:v>
                </c:pt>
                <c:pt idx="202">
                  <c:v>14.02</c:v>
                </c:pt>
                <c:pt idx="203">
                  <c:v>15.31</c:v>
                </c:pt>
                <c:pt idx="204">
                  <c:v>16.09</c:v>
                </c:pt>
                <c:pt idx="205">
                  <c:v>16.600000000000001</c:v>
                </c:pt>
                <c:pt idx="207">
                  <c:v>15.42</c:v>
                </c:pt>
                <c:pt idx="208">
                  <c:v>15.62</c:v>
                </c:pt>
                <c:pt idx="209">
                  <c:v>15.91</c:v>
                </c:pt>
                <c:pt idx="210">
                  <c:v>15.34</c:v>
                </c:pt>
                <c:pt idx="211">
                  <c:v>14.93</c:v>
                </c:pt>
                <c:pt idx="213">
                  <c:v>15.02</c:v>
                </c:pt>
                <c:pt idx="214">
                  <c:v>14.97</c:v>
                </c:pt>
                <c:pt idx="215">
                  <c:v>14.59</c:v>
                </c:pt>
                <c:pt idx="216">
                  <c:v>14.47</c:v>
                </c:pt>
                <c:pt idx="217">
                  <c:v>14.72</c:v>
                </c:pt>
                <c:pt idx="219">
                  <c:v>13.88</c:v>
                </c:pt>
                <c:pt idx="220">
                  <c:v>14.42</c:v>
                </c:pt>
                <c:pt idx="221">
                  <c:v>13.77</c:v>
                </c:pt>
                <c:pt idx="222">
                  <c:v>13.05</c:v>
                </c:pt>
                <c:pt idx="223">
                  <c:v>12.8</c:v>
                </c:pt>
                <c:pt idx="225">
                  <c:v>12.24</c:v>
                </c:pt>
                <c:pt idx="226">
                  <c:v>12.26</c:v>
                </c:pt>
                <c:pt idx="227">
                  <c:v>12.36</c:v>
                </c:pt>
                <c:pt idx="228">
                  <c:v>12.15</c:v>
                </c:pt>
                <c:pt idx="229">
                  <c:v>12.45</c:v>
                </c:pt>
                <c:pt idx="231">
                  <c:v>12.07</c:v>
                </c:pt>
                <c:pt idx="232">
                  <c:v>11.74</c:v>
                </c:pt>
                <c:pt idx="233">
                  <c:v>11.82</c:v>
                </c:pt>
                <c:pt idx="234">
                  <c:v>12.19</c:v>
                </c:pt>
                <c:pt idx="235">
                  <c:v>11.95</c:v>
                </c:pt>
                <c:pt idx="237">
                  <c:v>12.77</c:v>
                </c:pt>
                <c:pt idx="238">
                  <c:v>11.66</c:v>
                </c:pt>
                <c:pt idx="239">
                  <c:v>11.75</c:v>
                </c:pt>
                <c:pt idx="240">
                  <c:v>11.65</c:v>
                </c:pt>
                <c:pt idx="241">
                  <c:v>13.22</c:v>
                </c:pt>
                <c:pt idx="243">
                  <c:v>12.53</c:v>
                </c:pt>
                <c:pt idx="244">
                  <c:v>12.46</c:v>
                </c:pt>
                <c:pt idx="245">
                  <c:v>12.18</c:v>
                </c:pt>
                <c:pt idx="246">
                  <c:v>11.69</c:v>
                </c:pt>
                <c:pt idx="247">
                  <c:v>11.35</c:v>
                </c:pt>
                <c:pt idx="249">
                  <c:v>11.31</c:v>
                </c:pt>
                <c:pt idx="250">
                  <c:v>11.11</c:v>
                </c:pt>
                <c:pt idx="251">
                  <c:v>10.96</c:v>
                </c:pt>
                <c:pt idx="252">
                  <c:v>10.79</c:v>
                </c:pt>
                <c:pt idx="253">
                  <c:v>10.26</c:v>
                </c:pt>
                <c:pt idx="255">
                  <c:v>10.3</c:v>
                </c:pt>
                <c:pt idx="256">
                  <c:v>9.98</c:v>
                </c:pt>
                <c:pt idx="257">
                  <c:v>9.89</c:v>
                </c:pt>
                <c:pt idx="258">
                  <c:v>9.92</c:v>
                </c:pt>
                <c:pt idx="259">
                  <c:v>10.17</c:v>
                </c:pt>
                <c:pt idx="261">
                  <c:v>9.91</c:v>
                </c:pt>
                <c:pt idx="262">
                  <c:v>9.9499999999999993</c:v>
                </c:pt>
                <c:pt idx="263">
                  <c:v>10.029999999999999</c:v>
                </c:pt>
                <c:pt idx="264">
                  <c:v>9.84</c:v>
                </c:pt>
                <c:pt idx="265">
                  <c:v>9.5399999999999991</c:v>
                </c:pt>
                <c:pt idx="267">
                  <c:v>9.1999999999999993</c:v>
                </c:pt>
                <c:pt idx="268">
                  <c:v>9.2200000000000006</c:v>
                </c:pt>
                <c:pt idx="269">
                  <c:v>9.2100000000000009</c:v>
                </c:pt>
                <c:pt idx="270">
                  <c:v>9.26</c:v>
                </c:pt>
                <c:pt idx="271">
                  <c:v>9.0500000000000007</c:v>
                </c:pt>
                <c:pt idx="273">
                  <c:v>9.0500000000000007</c:v>
                </c:pt>
                <c:pt idx="274">
                  <c:v>8.9700000000000006</c:v>
                </c:pt>
                <c:pt idx="275">
                  <c:v>9.27</c:v>
                </c:pt>
                <c:pt idx="276">
                  <c:v>9.4</c:v>
                </c:pt>
                <c:pt idx="277">
                  <c:v>8.7899999999999991</c:v>
                </c:pt>
                <c:pt idx="279">
                  <c:v>8.83</c:v>
                </c:pt>
                <c:pt idx="280">
                  <c:v>8.7899999999999991</c:v>
                </c:pt>
                <c:pt idx="281">
                  <c:v>8.14</c:v>
                </c:pt>
                <c:pt idx="282">
                  <c:v>8.77</c:v>
                </c:pt>
                <c:pt idx="283">
                  <c:v>9.1199999999999992</c:v>
                </c:pt>
                <c:pt idx="285">
                  <c:v>9.4700000000000006</c:v>
                </c:pt>
                <c:pt idx="286">
                  <c:v>9.27</c:v>
                </c:pt>
                <c:pt idx="287">
                  <c:v>9.2100000000000009</c:v>
                </c:pt>
                <c:pt idx="288">
                  <c:v>9.27</c:v>
                </c:pt>
                <c:pt idx="289">
                  <c:v>8.9</c:v>
                </c:pt>
                <c:pt idx="291">
                  <c:v>8.74</c:v>
                </c:pt>
                <c:pt idx="292">
                  <c:v>8.61</c:v>
                </c:pt>
                <c:pt idx="293">
                  <c:v>8.39</c:v>
                </c:pt>
                <c:pt idx="294">
                  <c:v>8.1</c:v>
                </c:pt>
                <c:pt idx="295">
                  <c:v>8.4499999999999993</c:v>
                </c:pt>
                <c:pt idx="297">
                  <c:v>8.23</c:v>
                </c:pt>
                <c:pt idx="298">
                  <c:v>7.92</c:v>
                </c:pt>
                <c:pt idx="299">
                  <c:v>7.71</c:v>
                </c:pt>
                <c:pt idx="300">
                  <c:v>7.62</c:v>
                </c:pt>
                <c:pt idx="301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A-4FEB-AC3A-7B2FB46973D2}"/>
            </c:ext>
          </c:extLst>
        </c:ser>
        <c:ser>
          <c:idx val="2"/>
          <c:order val="2"/>
          <c:tx>
            <c:strRef>
              <c:f>'Natural Gas Prices'!$E$1</c:f>
              <c:strCache>
                <c:ptCount val="1"/>
                <c:pt idx="0">
                  <c:v>Brent 13%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'Natural Gas Prices'!$B$2:$B$303</c:f>
              <c:numCache>
                <c:formatCode>m/d/yyyy</c:formatCode>
                <c:ptCount val="302"/>
                <c:pt idx="0">
                  <c:v>44677</c:v>
                </c:pt>
                <c:pt idx="1">
                  <c:v>44676</c:v>
                </c:pt>
                <c:pt idx="2">
                  <c:v>44673</c:v>
                </c:pt>
                <c:pt idx="3">
                  <c:v>44672</c:v>
                </c:pt>
                <c:pt idx="4">
                  <c:v>44670</c:v>
                </c:pt>
                <c:pt idx="5">
                  <c:v>44669</c:v>
                </c:pt>
                <c:pt idx="6">
                  <c:v>44665</c:v>
                </c:pt>
                <c:pt idx="7">
                  <c:v>44664</c:v>
                </c:pt>
                <c:pt idx="8">
                  <c:v>44663</c:v>
                </c:pt>
                <c:pt idx="9">
                  <c:v>44662</c:v>
                </c:pt>
                <c:pt idx="11">
                  <c:v>44659</c:v>
                </c:pt>
                <c:pt idx="12">
                  <c:v>44658</c:v>
                </c:pt>
                <c:pt idx="13">
                  <c:v>44657</c:v>
                </c:pt>
                <c:pt idx="14">
                  <c:v>44656</c:v>
                </c:pt>
                <c:pt idx="15">
                  <c:v>44655</c:v>
                </c:pt>
                <c:pt idx="17">
                  <c:v>44652</c:v>
                </c:pt>
                <c:pt idx="18">
                  <c:v>44651</c:v>
                </c:pt>
                <c:pt idx="19">
                  <c:v>44650</c:v>
                </c:pt>
                <c:pt idx="20">
                  <c:v>44649</c:v>
                </c:pt>
                <c:pt idx="21">
                  <c:v>44648</c:v>
                </c:pt>
                <c:pt idx="22">
                  <c:v>44645</c:v>
                </c:pt>
                <c:pt idx="23">
                  <c:v>44644</c:v>
                </c:pt>
                <c:pt idx="24">
                  <c:v>44643</c:v>
                </c:pt>
                <c:pt idx="25">
                  <c:v>44642</c:v>
                </c:pt>
                <c:pt idx="26">
                  <c:v>44641</c:v>
                </c:pt>
                <c:pt idx="28">
                  <c:v>44638</c:v>
                </c:pt>
                <c:pt idx="29">
                  <c:v>44637</c:v>
                </c:pt>
                <c:pt idx="30">
                  <c:v>44636</c:v>
                </c:pt>
                <c:pt idx="31">
                  <c:v>44635</c:v>
                </c:pt>
                <c:pt idx="32">
                  <c:v>44634</c:v>
                </c:pt>
                <c:pt idx="34">
                  <c:v>44631</c:v>
                </c:pt>
                <c:pt idx="35">
                  <c:v>44630</c:v>
                </c:pt>
                <c:pt idx="36">
                  <c:v>44629</c:v>
                </c:pt>
                <c:pt idx="37">
                  <c:v>44628</c:v>
                </c:pt>
                <c:pt idx="38">
                  <c:v>44627</c:v>
                </c:pt>
                <c:pt idx="40">
                  <c:v>44624</c:v>
                </c:pt>
                <c:pt idx="41">
                  <c:v>44623</c:v>
                </c:pt>
                <c:pt idx="42">
                  <c:v>44622</c:v>
                </c:pt>
                <c:pt idx="43">
                  <c:v>44621</c:v>
                </c:pt>
                <c:pt idx="44">
                  <c:v>44620</c:v>
                </c:pt>
                <c:pt idx="46">
                  <c:v>44617</c:v>
                </c:pt>
                <c:pt idx="47">
                  <c:v>44616</c:v>
                </c:pt>
                <c:pt idx="48">
                  <c:v>44615</c:v>
                </c:pt>
                <c:pt idx="49">
                  <c:v>44614</c:v>
                </c:pt>
                <c:pt idx="51">
                  <c:v>44610</c:v>
                </c:pt>
                <c:pt idx="52">
                  <c:v>44609</c:v>
                </c:pt>
                <c:pt idx="53">
                  <c:v>44608</c:v>
                </c:pt>
                <c:pt idx="54">
                  <c:v>44607</c:v>
                </c:pt>
                <c:pt idx="55">
                  <c:v>44606</c:v>
                </c:pt>
                <c:pt idx="57">
                  <c:v>44603</c:v>
                </c:pt>
                <c:pt idx="58">
                  <c:v>44602</c:v>
                </c:pt>
                <c:pt idx="59">
                  <c:v>44601</c:v>
                </c:pt>
                <c:pt idx="60">
                  <c:v>44600</c:v>
                </c:pt>
                <c:pt idx="61">
                  <c:v>44599</c:v>
                </c:pt>
                <c:pt idx="63">
                  <c:v>44596</c:v>
                </c:pt>
                <c:pt idx="64">
                  <c:v>44595</c:v>
                </c:pt>
                <c:pt idx="65">
                  <c:v>44594</c:v>
                </c:pt>
                <c:pt idx="66">
                  <c:v>44593</c:v>
                </c:pt>
                <c:pt idx="67">
                  <c:v>44592</c:v>
                </c:pt>
                <c:pt idx="69">
                  <c:v>44589</c:v>
                </c:pt>
                <c:pt idx="70">
                  <c:v>44588</c:v>
                </c:pt>
                <c:pt idx="71">
                  <c:v>44587</c:v>
                </c:pt>
                <c:pt idx="72">
                  <c:v>44586</c:v>
                </c:pt>
                <c:pt idx="73">
                  <c:v>44585</c:v>
                </c:pt>
                <c:pt idx="75">
                  <c:v>44582</c:v>
                </c:pt>
                <c:pt idx="76">
                  <c:v>44581</c:v>
                </c:pt>
                <c:pt idx="77">
                  <c:v>44580</c:v>
                </c:pt>
                <c:pt idx="78">
                  <c:v>44579</c:v>
                </c:pt>
                <c:pt idx="80">
                  <c:v>44575</c:v>
                </c:pt>
                <c:pt idx="81">
                  <c:v>44574</c:v>
                </c:pt>
                <c:pt idx="82">
                  <c:v>44573</c:v>
                </c:pt>
                <c:pt idx="83">
                  <c:v>44572</c:v>
                </c:pt>
                <c:pt idx="84">
                  <c:v>44571</c:v>
                </c:pt>
                <c:pt idx="86">
                  <c:v>44568</c:v>
                </c:pt>
                <c:pt idx="87">
                  <c:v>44567</c:v>
                </c:pt>
                <c:pt idx="88">
                  <c:v>44566</c:v>
                </c:pt>
                <c:pt idx="89">
                  <c:v>44565</c:v>
                </c:pt>
                <c:pt idx="90">
                  <c:v>44564</c:v>
                </c:pt>
                <c:pt idx="92">
                  <c:v>44560</c:v>
                </c:pt>
                <c:pt idx="93">
                  <c:v>44559</c:v>
                </c:pt>
                <c:pt idx="94">
                  <c:v>44558</c:v>
                </c:pt>
                <c:pt idx="95">
                  <c:v>44557</c:v>
                </c:pt>
                <c:pt idx="97">
                  <c:v>44553</c:v>
                </c:pt>
                <c:pt idx="98">
                  <c:v>44552</c:v>
                </c:pt>
                <c:pt idx="99">
                  <c:v>44551</c:v>
                </c:pt>
                <c:pt idx="100">
                  <c:v>44550</c:v>
                </c:pt>
                <c:pt idx="102">
                  <c:v>44547</c:v>
                </c:pt>
                <c:pt idx="103">
                  <c:v>44546</c:v>
                </c:pt>
                <c:pt idx="104">
                  <c:v>44545</c:v>
                </c:pt>
                <c:pt idx="105">
                  <c:v>44544</c:v>
                </c:pt>
                <c:pt idx="106">
                  <c:v>44543</c:v>
                </c:pt>
                <c:pt idx="108">
                  <c:v>44540</c:v>
                </c:pt>
                <c:pt idx="109">
                  <c:v>44539</c:v>
                </c:pt>
                <c:pt idx="110">
                  <c:v>44538</c:v>
                </c:pt>
                <c:pt idx="111">
                  <c:v>44537</c:v>
                </c:pt>
                <c:pt idx="112">
                  <c:v>44536</c:v>
                </c:pt>
                <c:pt idx="114">
                  <c:v>44533</c:v>
                </c:pt>
                <c:pt idx="115">
                  <c:v>44532</c:v>
                </c:pt>
                <c:pt idx="116">
                  <c:v>44531</c:v>
                </c:pt>
                <c:pt idx="117">
                  <c:v>44530</c:v>
                </c:pt>
                <c:pt idx="118">
                  <c:v>44529</c:v>
                </c:pt>
                <c:pt idx="120">
                  <c:v>44524</c:v>
                </c:pt>
                <c:pt idx="121">
                  <c:v>44523</c:v>
                </c:pt>
                <c:pt idx="122">
                  <c:v>44522</c:v>
                </c:pt>
                <c:pt idx="124">
                  <c:v>44519</c:v>
                </c:pt>
                <c:pt idx="125">
                  <c:v>44518</c:v>
                </c:pt>
                <c:pt idx="126">
                  <c:v>44517</c:v>
                </c:pt>
                <c:pt idx="127">
                  <c:v>44516</c:v>
                </c:pt>
                <c:pt idx="128">
                  <c:v>44515</c:v>
                </c:pt>
                <c:pt idx="130">
                  <c:v>44512</c:v>
                </c:pt>
                <c:pt idx="131">
                  <c:v>44511</c:v>
                </c:pt>
                <c:pt idx="132">
                  <c:v>44510</c:v>
                </c:pt>
                <c:pt idx="133">
                  <c:v>44509</c:v>
                </c:pt>
                <c:pt idx="134">
                  <c:v>44508</c:v>
                </c:pt>
                <c:pt idx="136">
                  <c:v>44505</c:v>
                </c:pt>
                <c:pt idx="137">
                  <c:v>44504</c:v>
                </c:pt>
                <c:pt idx="138">
                  <c:v>44503</c:v>
                </c:pt>
                <c:pt idx="139">
                  <c:v>44502</c:v>
                </c:pt>
                <c:pt idx="140">
                  <c:v>44501</c:v>
                </c:pt>
                <c:pt idx="142">
                  <c:v>44498</c:v>
                </c:pt>
                <c:pt idx="143">
                  <c:v>44497</c:v>
                </c:pt>
                <c:pt idx="144">
                  <c:v>44496</c:v>
                </c:pt>
                <c:pt idx="145">
                  <c:v>44495</c:v>
                </c:pt>
                <c:pt idx="146">
                  <c:v>44494</c:v>
                </c:pt>
                <c:pt idx="148">
                  <c:v>44491</c:v>
                </c:pt>
                <c:pt idx="149">
                  <c:v>44490</c:v>
                </c:pt>
                <c:pt idx="150">
                  <c:v>44489</c:v>
                </c:pt>
                <c:pt idx="151">
                  <c:v>44488</c:v>
                </c:pt>
                <c:pt idx="152">
                  <c:v>44487</c:v>
                </c:pt>
                <c:pt idx="154">
                  <c:v>44484</c:v>
                </c:pt>
                <c:pt idx="155">
                  <c:v>44483</c:v>
                </c:pt>
                <c:pt idx="156">
                  <c:v>44482</c:v>
                </c:pt>
                <c:pt idx="157">
                  <c:v>44481</c:v>
                </c:pt>
                <c:pt idx="158">
                  <c:v>44480</c:v>
                </c:pt>
                <c:pt idx="160">
                  <c:v>44477</c:v>
                </c:pt>
                <c:pt idx="161">
                  <c:v>44476</c:v>
                </c:pt>
                <c:pt idx="162">
                  <c:v>44475</c:v>
                </c:pt>
                <c:pt idx="163">
                  <c:v>44474</c:v>
                </c:pt>
                <c:pt idx="164">
                  <c:v>44473</c:v>
                </c:pt>
                <c:pt idx="166">
                  <c:v>44470</c:v>
                </c:pt>
                <c:pt idx="167">
                  <c:v>44469</c:v>
                </c:pt>
                <c:pt idx="168">
                  <c:v>44468</c:v>
                </c:pt>
                <c:pt idx="169">
                  <c:v>44467</c:v>
                </c:pt>
                <c:pt idx="170">
                  <c:v>44466</c:v>
                </c:pt>
                <c:pt idx="172">
                  <c:v>44463</c:v>
                </c:pt>
                <c:pt idx="173">
                  <c:v>44462</c:v>
                </c:pt>
                <c:pt idx="174">
                  <c:v>44461</c:v>
                </c:pt>
                <c:pt idx="175">
                  <c:v>44460</c:v>
                </c:pt>
                <c:pt idx="176">
                  <c:v>44459</c:v>
                </c:pt>
                <c:pt idx="178">
                  <c:v>44456</c:v>
                </c:pt>
                <c:pt idx="179">
                  <c:v>44455</c:v>
                </c:pt>
                <c:pt idx="180">
                  <c:v>44454</c:v>
                </c:pt>
                <c:pt idx="181">
                  <c:v>44453</c:v>
                </c:pt>
                <c:pt idx="182">
                  <c:v>44452</c:v>
                </c:pt>
                <c:pt idx="184">
                  <c:v>44449</c:v>
                </c:pt>
                <c:pt idx="185">
                  <c:v>44448</c:v>
                </c:pt>
                <c:pt idx="186">
                  <c:v>44447</c:v>
                </c:pt>
                <c:pt idx="187">
                  <c:v>44446</c:v>
                </c:pt>
                <c:pt idx="189">
                  <c:v>44442</c:v>
                </c:pt>
                <c:pt idx="190">
                  <c:v>44441</c:v>
                </c:pt>
                <c:pt idx="191">
                  <c:v>44440</c:v>
                </c:pt>
                <c:pt idx="192">
                  <c:v>44439</c:v>
                </c:pt>
                <c:pt idx="193">
                  <c:v>44438</c:v>
                </c:pt>
                <c:pt idx="195">
                  <c:v>44435</c:v>
                </c:pt>
                <c:pt idx="196">
                  <c:v>44434</c:v>
                </c:pt>
                <c:pt idx="197">
                  <c:v>44433</c:v>
                </c:pt>
                <c:pt idx="198">
                  <c:v>44432</c:v>
                </c:pt>
                <c:pt idx="199">
                  <c:v>44431</c:v>
                </c:pt>
                <c:pt idx="201">
                  <c:v>44428</c:v>
                </c:pt>
                <c:pt idx="202">
                  <c:v>44427</c:v>
                </c:pt>
                <c:pt idx="203">
                  <c:v>44426</c:v>
                </c:pt>
                <c:pt idx="204">
                  <c:v>44425</c:v>
                </c:pt>
                <c:pt idx="205">
                  <c:v>44424</c:v>
                </c:pt>
                <c:pt idx="207">
                  <c:v>44421</c:v>
                </c:pt>
                <c:pt idx="208">
                  <c:v>44420</c:v>
                </c:pt>
                <c:pt idx="209">
                  <c:v>44419</c:v>
                </c:pt>
                <c:pt idx="210">
                  <c:v>44418</c:v>
                </c:pt>
                <c:pt idx="211">
                  <c:v>44417</c:v>
                </c:pt>
                <c:pt idx="213">
                  <c:v>44414</c:v>
                </c:pt>
                <c:pt idx="214">
                  <c:v>44413</c:v>
                </c:pt>
                <c:pt idx="215">
                  <c:v>44412</c:v>
                </c:pt>
                <c:pt idx="216">
                  <c:v>44411</c:v>
                </c:pt>
                <c:pt idx="217">
                  <c:v>44410</c:v>
                </c:pt>
                <c:pt idx="219">
                  <c:v>44407</c:v>
                </c:pt>
                <c:pt idx="220">
                  <c:v>44406</c:v>
                </c:pt>
                <c:pt idx="221">
                  <c:v>44405</c:v>
                </c:pt>
                <c:pt idx="222">
                  <c:v>44404</c:v>
                </c:pt>
                <c:pt idx="223">
                  <c:v>44403</c:v>
                </c:pt>
                <c:pt idx="225">
                  <c:v>44400</c:v>
                </c:pt>
                <c:pt idx="226">
                  <c:v>44399</c:v>
                </c:pt>
                <c:pt idx="227">
                  <c:v>44398</c:v>
                </c:pt>
                <c:pt idx="228">
                  <c:v>44397</c:v>
                </c:pt>
                <c:pt idx="229">
                  <c:v>44396</c:v>
                </c:pt>
                <c:pt idx="231">
                  <c:v>44393</c:v>
                </c:pt>
                <c:pt idx="232">
                  <c:v>44392</c:v>
                </c:pt>
                <c:pt idx="233">
                  <c:v>44391</c:v>
                </c:pt>
                <c:pt idx="234">
                  <c:v>44390</c:v>
                </c:pt>
                <c:pt idx="235">
                  <c:v>44389</c:v>
                </c:pt>
                <c:pt idx="237">
                  <c:v>44386</c:v>
                </c:pt>
                <c:pt idx="238">
                  <c:v>44385</c:v>
                </c:pt>
                <c:pt idx="239">
                  <c:v>44384</c:v>
                </c:pt>
                <c:pt idx="240">
                  <c:v>44383</c:v>
                </c:pt>
                <c:pt idx="241">
                  <c:v>44382</c:v>
                </c:pt>
                <c:pt idx="243">
                  <c:v>44379</c:v>
                </c:pt>
                <c:pt idx="244">
                  <c:v>44378</c:v>
                </c:pt>
                <c:pt idx="245">
                  <c:v>44377</c:v>
                </c:pt>
                <c:pt idx="246">
                  <c:v>44376</c:v>
                </c:pt>
                <c:pt idx="247">
                  <c:v>44375</c:v>
                </c:pt>
                <c:pt idx="249">
                  <c:v>44372</c:v>
                </c:pt>
                <c:pt idx="250">
                  <c:v>44371</c:v>
                </c:pt>
                <c:pt idx="251">
                  <c:v>44370</c:v>
                </c:pt>
                <c:pt idx="252">
                  <c:v>44369</c:v>
                </c:pt>
                <c:pt idx="253">
                  <c:v>44368</c:v>
                </c:pt>
                <c:pt idx="255">
                  <c:v>44365</c:v>
                </c:pt>
                <c:pt idx="256">
                  <c:v>44364</c:v>
                </c:pt>
                <c:pt idx="257">
                  <c:v>44363</c:v>
                </c:pt>
                <c:pt idx="258">
                  <c:v>44362</c:v>
                </c:pt>
                <c:pt idx="259">
                  <c:v>44361</c:v>
                </c:pt>
                <c:pt idx="261">
                  <c:v>44358</c:v>
                </c:pt>
                <c:pt idx="262">
                  <c:v>44357</c:v>
                </c:pt>
                <c:pt idx="263">
                  <c:v>44356</c:v>
                </c:pt>
                <c:pt idx="264">
                  <c:v>44355</c:v>
                </c:pt>
                <c:pt idx="265">
                  <c:v>44354</c:v>
                </c:pt>
                <c:pt idx="267">
                  <c:v>44351</c:v>
                </c:pt>
                <c:pt idx="268">
                  <c:v>44350</c:v>
                </c:pt>
                <c:pt idx="269">
                  <c:v>44349</c:v>
                </c:pt>
                <c:pt idx="270">
                  <c:v>44348</c:v>
                </c:pt>
                <c:pt idx="271">
                  <c:v>44347</c:v>
                </c:pt>
                <c:pt idx="273">
                  <c:v>44344</c:v>
                </c:pt>
                <c:pt idx="274">
                  <c:v>44343</c:v>
                </c:pt>
                <c:pt idx="275">
                  <c:v>44342</c:v>
                </c:pt>
                <c:pt idx="276">
                  <c:v>44341</c:v>
                </c:pt>
                <c:pt idx="277">
                  <c:v>44340</c:v>
                </c:pt>
                <c:pt idx="279">
                  <c:v>44337</c:v>
                </c:pt>
                <c:pt idx="280">
                  <c:v>44336</c:v>
                </c:pt>
                <c:pt idx="281">
                  <c:v>44335</c:v>
                </c:pt>
                <c:pt idx="282">
                  <c:v>44334</c:v>
                </c:pt>
                <c:pt idx="283">
                  <c:v>44333</c:v>
                </c:pt>
                <c:pt idx="285">
                  <c:v>44330</c:v>
                </c:pt>
                <c:pt idx="286">
                  <c:v>44329</c:v>
                </c:pt>
                <c:pt idx="287">
                  <c:v>44328</c:v>
                </c:pt>
                <c:pt idx="288">
                  <c:v>44327</c:v>
                </c:pt>
                <c:pt idx="289">
                  <c:v>44326</c:v>
                </c:pt>
                <c:pt idx="291">
                  <c:v>44323</c:v>
                </c:pt>
                <c:pt idx="292">
                  <c:v>44322</c:v>
                </c:pt>
                <c:pt idx="293">
                  <c:v>44321</c:v>
                </c:pt>
                <c:pt idx="294">
                  <c:v>44320</c:v>
                </c:pt>
                <c:pt idx="295">
                  <c:v>44319</c:v>
                </c:pt>
                <c:pt idx="297">
                  <c:v>44316</c:v>
                </c:pt>
                <c:pt idx="298">
                  <c:v>44315</c:v>
                </c:pt>
                <c:pt idx="299">
                  <c:v>44314</c:v>
                </c:pt>
                <c:pt idx="300">
                  <c:v>44313</c:v>
                </c:pt>
                <c:pt idx="301">
                  <c:v>44312</c:v>
                </c:pt>
              </c:numCache>
            </c:numRef>
          </c:cat>
          <c:val>
            <c:numRef>
              <c:f>'Natural Gas Prices'!$E$2:$E$303</c:f>
              <c:numCache>
                <c:formatCode>General</c:formatCode>
                <c:ptCount val="302"/>
                <c:pt idx="0">
                  <c:v>13.6487</c:v>
                </c:pt>
                <c:pt idx="1">
                  <c:v>13.301600000000001</c:v>
                </c:pt>
                <c:pt idx="2">
                  <c:v>13.8645</c:v>
                </c:pt>
                <c:pt idx="3">
                  <c:v>14.0829</c:v>
                </c:pt>
                <c:pt idx="4">
                  <c:v>13.942500000000001</c:v>
                </c:pt>
                <c:pt idx="5">
                  <c:v>14.710800000000001</c:v>
                </c:pt>
                <c:pt idx="6">
                  <c:v>14.521000000000001</c:v>
                </c:pt>
                <c:pt idx="7">
                  <c:v>14.141400000000001</c:v>
                </c:pt>
                <c:pt idx="8">
                  <c:v>13.603199999999999</c:v>
                </c:pt>
                <c:pt idx="9">
                  <c:v>12.8024</c:v>
                </c:pt>
                <c:pt idx="11">
                  <c:v>13.3614</c:v>
                </c:pt>
                <c:pt idx="12">
                  <c:v>13.0754</c:v>
                </c:pt>
                <c:pt idx="13">
                  <c:v>13.139099999999999</c:v>
                </c:pt>
                <c:pt idx="14">
                  <c:v>13.863200000000001</c:v>
                </c:pt>
                <c:pt idx="15">
                  <c:v>13.978899999999999</c:v>
                </c:pt>
                <c:pt idx="17">
                  <c:v>13.5707</c:v>
                </c:pt>
                <c:pt idx="18">
                  <c:v>14.0283</c:v>
                </c:pt>
                <c:pt idx="19">
                  <c:v>14.7485</c:v>
                </c:pt>
                <c:pt idx="20">
                  <c:v>14.3299</c:v>
                </c:pt>
                <c:pt idx="21">
                  <c:v>14.622400000000001</c:v>
                </c:pt>
                <c:pt idx="22">
                  <c:v>15.6845</c:v>
                </c:pt>
                <c:pt idx="23">
                  <c:v>15.4739</c:v>
                </c:pt>
                <c:pt idx="24">
                  <c:v>15.808</c:v>
                </c:pt>
                <c:pt idx="25">
                  <c:v>15.0124</c:v>
                </c:pt>
                <c:pt idx="26">
                  <c:v>15.0306</c:v>
                </c:pt>
                <c:pt idx="28">
                  <c:v>14.030900000000001</c:v>
                </c:pt>
                <c:pt idx="29">
                  <c:v>13.863200000000001</c:v>
                </c:pt>
                <c:pt idx="30">
                  <c:v>12.742599999999999</c:v>
                </c:pt>
                <c:pt idx="31">
                  <c:v>12.988300000000001</c:v>
                </c:pt>
                <c:pt idx="32">
                  <c:v>13.897</c:v>
                </c:pt>
                <c:pt idx="34">
                  <c:v>14.6471</c:v>
                </c:pt>
                <c:pt idx="35">
                  <c:v>14.212899999999999</c:v>
                </c:pt>
                <c:pt idx="36">
                  <c:v>14.4482</c:v>
                </c:pt>
                <c:pt idx="37">
                  <c:v>16.6374</c:v>
                </c:pt>
                <c:pt idx="38">
                  <c:v>16.017299999999999</c:v>
                </c:pt>
                <c:pt idx="40">
                  <c:v>15.3543</c:v>
                </c:pt>
                <c:pt idx="41">
                  <c:v>14.3598</c:v>
                </c:pt>
                <c:pt idx="42">
                  <c:v>14.680899999999999</c:v>
                </c:pt>
                <c:pt idx="43">
                  <c:v>13.646100000000001</c:v>
                </c:pt>
                <c:pt idx="44">
                  <c:v>13.1287</c:v>
                </c:pt>
                <c:pt idx="46">
                  <c:v>12.7309</c:v>
                </c:pt>
                <c:pt idx="47">
                  <c:v>12.8804</c:v>
                </c:pt>
                <c:pt idx="48">
                  <c:v>12.5892</c:v>
                </c:pt>
                <c:pt idx="49">
                  <c:v>12.5892</c:v>
                </c:pt>
                <c:pt idx="51">
                  <c:v>12.1602</c:v>
                </c:pt>
                <c:pt idx="52">
                  <c:v>12.0861</c:v>
                </c:pt>
                <c:pt idx="53">
                  <c:v>12.3253</c:v>
                </c:pt>
                <c:pt idx="54">
                  <c:v>12.1264</c:v>
                </c:pt>
                <c:pt idx="55">
                  <c:v>12.542400000000001</c:v>
                </c:pt>
                <c:pt idx="57">
                  <c:v>12.277200000000001</c:v>
                </c:pt>
                <c:pt idx="58">
                  <c:v>11.8833</c:v>
                </c:pt>
                <c:pt idx="59">
                  <c:v>11.9015</c:v>
                </c:pt>
                <c:pt idx="60">
                  <c:v>11.801399999999999</c:v>
                </c:pt>
                <c:pt idx="61">
                  <c:v>12.0497</c:v>
                </c:pt>
                <c:pt idx="63">
                  <c:v>12.1251</c:v>
                </c:pt>
                <c:pt idx="64">
                  <c:v>11.8443</c:v>
                </c:pt>
                <c:pt idx="65">
                  <c:v>11.6311</c:v>
                </c:pt>
                <c:pt idx="66">
                  <c:v>11.5908</c:v>
                </c:pt>
                <c:pt idx="67">
                  <c:v>11.8573</c:v>
                </c:pt>
                <c:pt idx="69">
                  <c:v>11.703900000000001</c:v>
                </c:pt>
                <c:pt idx="70">
                  <c:v>11.6142</c:v>
                </c:pt>
                <c:pt idx="71">
                  <c:v>11.694800000000001</c:v>
                </c:pt>
                <c:pt idx="72">
                  <c:v>11.465999999999999</c:v>
                </c:pt>
                <c:pt idx="73">
                  <c:v>11.2151</c:v>
                </c:pt>
                <c:pt idx="75">
                  <c:v>11.425700000000001</c:v>
                </c:pt>
                <c:pt idx="76">
                  <c:v>11.4894</c:v>
                </c:pt>
                <c:pt idx="77">
                  <c:v>11.497199999999999</c:v>
                </c:pt>
                <c:pt idx="78">
                  <c:v>11.376300000000001</c:v>
                </c:pt>
                <c:pt idx="80">
                  <c:v>11.187799999999999</c:v>
                </c:pt>
                <c:pt idx="81">
                  <c:v>10.9811</c:v>
                </c:pt>
                <c:pt idx="82">
                  <c:v>11.007099999999999</c:v>
                </c:pt>
                <c:pt idx="83">
                  <c:v>10.883599999999999</c:v>
                </c:pt>
                <c:pt idx="84">
                  <c:v>10.5131</c:v>
                </c:pt>
                <c:pt idx="86">
                  <c:v>10.6275</c:v>
                </c:pt>
                <c:pt idx="87">
                  <c:v>10.6587</c:v>
                </c:pt>
                <c:pt idx="88">
                  <c:v>10.504</c:v>
                </c:pt>
                <c:pt idx="89">
                  <c:v>10.4</c:v>
                </c:pt>
                <c:pt idx="90">
                  <c:v>10.2674</c:v>
                </c:pt>
                <c:pt idx="92">
                  <c:v>10.3116</c:v>
                </c:pt>
                <c:pt idx="93">
                  <c:v>10.299899999999999</c:v>
                </c:pt>
                <c:pt idx="94">
                  <c:v>10.2622</c:v>
                </c:pt>
                <c:pt idx="95">
                  <c:v>10.218</c:v>
                </c:pt>
                <c:pt idx="97">
                  <c:v>9.9905000000000008</c:v>
                </c:pt>
                <c:pt idx="98">
                  <c:v>9.7876999999999992</c:v>
                </c:pt>
                <c:pt idx="99">
                  <c:v>9.6173999999999999</c:v>
                </c:pt>
                <c:pt idx="100">
                  <c:v>9.2975999999999992</c:v>
                </c:pt>
                <c:pt idx="102">
                  <c:v>9.5576000000000008</c:v>
                </c:pt>
                <c:pt idx="103">
                  <c:v>9.7525999999999993</c:v>
                </c:pt>
                <c:pt idx="104">
                  <c:v>9.6044</c:v>
                </c:pt>
                <c:pt idx="105">
                  <c:v>9.5809999999999995</c:v>
                </c:pt>
                <c:pt idx="106">
                  <c:v>9.6707000000000001</c:v>
                </c:pt>
                <c:pt idx="108">
                  <c:v>9.7695000000000007</c:v>
                </c:pt>
                <c:pt idx="109">
                  <c:v>9.6745999999999999</c:v>
                </c:pt>
                <c:pt idx="110">
                  <c:v>9.8566000000000003</c:v>
                </c:pt>
                <c:pt idx="111">
                  <c:v>9.8071999999999999</c:v>
                </c:pt>
                <c:pt idx="112">
                  <c:v>9.5004000000000008</c:v>
                </c:pt>
                <c:pt idx="114">
                  <c:v>9.0844000000000005</c:v>
                </c:pt>
                <c:pt idx="115">
                  <c:v>9.0571000000000002</c:v>
                </c:pt>
                <c:pt idx="116">
                  <c:v>8.9530999999999992</c:v>
                </c:pt>
                <c:pt idx="117">
                  <c:v>9.1740999999999993</c:v>
                </c:pt>
                <c:pt idx="118">
                  <c:v>9.5472000000000001</c:v>
                </c:pt>
                <c:pt idx="120">
                  <c:v>10.692500000000001</c:v>
                </c:pt>
                <c:pt idx="121">
                  <c:v>10.7003</c:v>
                </c:pt>
                <c:pt idx="122">
                  <c:v>10.361000000000001</c:v>
                </c:pt>
                <c:pt idx="124">
                  <c:v>10.255699999999999</c:v>
                </c:pt>
                <c:pt idx="125">
                  <c:v>10.561199999999999</c:v>
                </c:pt>
                <c:pt idx="126">
                  <c:v>10.436400000000001</c:v>
                </c:pt>
                <c:pt idx="127">
                  <c:v>10.7159</c:v>
                </c:pt>
                <c:pt idx="128">
                  <c:v>10.666499999999999</c:v>
                </c:pt>
                <c:pt idx="130">
                  <c:v>10.6821</c:v>
                </c:pt>
                <c:pt idx="131">
                  <c:v>10.773099999999999</c:v>
                </c:pt>
                <c:pt idx="132">
                  <c:v>10.7432</c:v>
                </c:pt>
                <c:pt idx="133">
                  <c:v>11.0214</c:v>
                </c:pt>
                <c:pt idx="134">
                  <c:v>10.8459</c:v>
                </c:pt>
                <c:pt idx="136">
                  <c:v>10.7562</c:v>
                </c:pt>
                <c:pt idx="137">
                  <c:v>10.4702</c:v>
                </c:pt>
                <c:pt idx="138">
                  <c:v>10.6587</c:v>
                </c:pt>
                <c:pt idx="139">
                  <c:v>11.0136</c:v>
                </c:pt>
                <c:pt idx="140">
                  <c:v>11.0123</c:v>
                </c:pt>
                <c:pt idx="142">
                  <c:v>10.9694</c:v>
                </c:pt>
                <c:pt idx="143">
                  <c:v>10.961600000000001</c:v>
                </c:pt>
                <c:pt idx="144">
                  <c:v>10.9954</c:v>
                </c:pt>
                <c:pt idx="145">
                  <c:v>11.231999999999999</c:v>
                </c:pt>
                <c:pt idx="146">
                  <c:v>11.178699999999999</c:v>
                </c:pt>
                <c:pt idx="148">
                  <c:v>11.1189</c:v>
                </c:pt>
                <c:pt idx="149">
                  <c:v>10.9993</c:v>
                </c:pt>
                <c:pt idx="150">
                  <c:v>11.156599999999999</c:v>
                </c:pt>
                <c:pt idx="151">
                  <c:v>11.0604</c:v>
                </c:pt>
                <c:pt idx="152">
                  <c:v>10.962899999999999</c:v>
                </c:pt>
                <c:pt idx="154">
                  <c:v>11.0318</c:v>
                </c:pt>
                <c:pt idx="155">
                  <c:v>10.92</c:v>
                </c:pt>
                <c:pt idx="156">
                  <c:v>10.8134</c:v>
                </c:pt>
                <c:pt idx="157">
                  <c:v>10.8446</c:v>
                </c:pt>
                <c:pt idx="158">
                  <c:v>10.874499999999999</c:v>
                </c:pt>
                <c:pt idx="160">
                  <c:v>10.710699999999999</c:v>
                </c:pt>
                <c:pt idx="161">
                  <c:v>10.653499999999999</c:v>
                </c:pt>
                <c:pt idx="162">
                  <c:v>10.5404</c:v>
                </c:pt>
                <c:pt idx="163">
                  <c:v>10.732799999999999</c:v>
                </c:pt>
                <c:pt idx="164">
                  <c:v>10.563800000000001</c:v>
                </c:pt>
                <c:pt idx="166">
                  <c:v>10.3064</c:v>
                </c:pt>
                <c:pt idx="167">
                  <c:v>10.207599999999999</c:v>
                </c:pt>
                <c:pt idx="168">
                  <c:v>10.2232</c:v>
                </c:pt>
                <c:pt idx="169">
                  <c:v>10.281700000000001</c:v>
                </c:pt>
                <c:pt idx="170">
                  <c:v>10.338900000000001</c:v>
                </c:pt>
                <c:pt idx="172">
                  <c:v>10.1517</c:v>
                </c:pt>
                <c:pt idx="173">
                  <c:v>10.0425</c:v>
                </c:pt>
                <c:pt idx="174">
                  <c:v>9.9047000000000001</c:v>
                </c:pt>
                <c:pt idx="175">
                  <c:v>9.6668000000000003</c:v>
                </c:pt>
                <c:pt idx="176">
                  <c:v>9.6096000000000004</c:v>
                </c:pt>
                <c:pt idx="178">
                  <c:v>9.7942</c:v>
                </c:pt>
                <c:pt idx="179">
                  <c:v>9.8370999999999995</c:v>
                </c:pt>
                <c:pt idx="180">
                  <c:v>9.8097999999999992</c:v>
                </c:pt>
                <c:pt idx="181">
                  <c:v>9.5679999999999996</c:v>
                </c:pt>
                <c:pt idx="182">
                  <c:v>9.5563000000000002</c:v>
                </c:pt>
                <c:pt idx="184">
                  <c:v>9.4795999999999996</c:v>
                </c:pt>
                <c:pt idx="185">
                  <c:v>9.2885000000000009</c:v>
                </c:pt>
                <c:pt idx="186">
                  <c:v>9.4380000000000006</c:v>
                </c:pt>
                <c:pt idx="187">
                  <c:v>9.3196999999999992</c:v>
                </c:pt>
                <c:pt idx="189">
                  <c:v>9.4392999999999994</c:v>
                </c:pt>
                <c:pt idx="190">
                  <c:v>9.4939</c:v>
                </c:pt>
                <c:pt idx="191">
                  <c:v>9.3066999999999993</c:v>
                </c:pt>
                <c:pt idx="192">
                  <c:v>9.4886999999999997</c:v>
                </c:pt>
                <c:pt idx="193">
                  <c:v>9.5433000000000003</c:v>
                </c:pt>
                <c:pt idx="195">
                  <c:v>9.4510000000000005</c:v>
                </c:pt>
                <c:pt idx="196">
                  <c:v>9.2391000000000005</c:v>
                </c:pt>
                <c:pt idx="197">
                  <c:v>9.3925000000000001</c:v>
                </c:pt>
                <c:pt idx="198">
                  <c:v>9.2364999999999995</c:v>
                </c:pt>
                <c:pt idx="199">
                  <c:v>8.9375</c:v>
                </c:pt>
                <c:pt idx="201">
                  <c:v>8.4733999999999998</c:v>
                </c:pt>
                <c:pt idx="202">
                  <c:v>8.6385000000000005</c:v>
                </c:pt>
                <c:pt idx="203">
                  <c:v>8.8698999999999995</c:v>
                </c:pt>
                <c:pt idx="204">
                  <c:v>8.9739000000000004</c:v>
                </c:pt>
                <c:pt idx="205">
                  <c:v>9.0363000000000007</c:v>
                </c:pt>
                <c:pt idx="207">
                  <c:v>9.1767000000000003</c:v>
                </c:pt>
                <c:pt idx="208">
                  <c:v>9.2703000000000007</c:v>
                </c:pt>
                <c:pt idx="209">
                  <c:v>9.2872000000000003</c:v>
                </c:pt>
                <c:pt idx="210">
                  <c:v>9.1819000000000006</c:v>
                </c:pt>
                <c:pt idx="211">
                  <c:v>8.9751999999999992</c:v>
                </c:pt>
                <c:pt idx="213">
                  <c:v>9.1910000000000007</c:v>
                </c:pt>
                <c:pt idx="214">
                  <c:v>9.2676999999999996</c:v>
                </c:pt>
                <c:pt idx="215">
                  <c:v>9.1494</c:v>
                </c:pt>
                <c:pt idx="216">
                  <c:v>9.4132999999999996</c:v>
                </c:pt>
                <c:pt idx="217">
                  <c:v>9.4756999999999998</c:v>
                </c:pt>
                <c:pt idx="219">
                  <c:v>9.9229000000000003</c:v>
                </c:pt>
                <c:pt idx="220">
                  <c:v>9.8864999999999998</c:v>
                </c:pt>
                <c:pt idx="221">
                  <c:v>9.7162000000000006</c:v>
                </c:pt>
                <c:pt idx="222">
                  <c:v>9.6823999999999995</c:v>
                </c:pt>
                <c:pt idx="223">
                  <c:v>9.6850000000000005</c:v>
                </c:pt>
                <c:pt idx="225">
                  <c:v>9.6329999999999991</c:v>
                </c:pt>
                <c:pt idx="226">
                  <c:v>9.5927000000000007</c:v>
                </c:pt>
                <c:pt idx="227">
                  <c:v>9.3899000000000008</c:v>
                </c:pt>
                <c:pt idx="228">
                  <c:v>9.0154999999999994</c:v>
                </c:pt>
                <c:pt idx="229">
                  <c:v>8.9206000000000003</c:v>
                </c:pt>
                <c:pt idx="231">
                  <c:v>9.5667000000000009</c:v>
                </c:pt>
                <c:pt idx="232">
                  <c:v>9.5510999999999999</c:v>
                </c:pt>
                <c:pt idx="233">
                  <c:v>9.7187999999999999</c:v>
                </c:pt>
                <c:pt idx="234">
                  <c:v>9.9436999999999998</c:v>
                </c:pt>
                <c:pt idx="235">
                  <c:v>9.7707999999999995</c:v>
                </c:pt>
                <c:pt idx="237">
                  <c:v>9.8215000000000003</c:v>
                </c:pt>
                <c:pt idx="238">
                  <c:v>9.6356000000000002</c:v>
                </c:pt>
                <c:pt idx="239">
                  <c:v>9.5458999999999996</c:v>
                </c:pt>
                <c:pt idx="240">
                  <c:v>9.6889000000000003</c:v>
                </c:pt>
                <c:pt idx="241">
                  <c:v>10.030799999999999</c:v>
                </c:pt>
                <c:pt idx="243">
                  <c:v>9.9021000000000008</c:v>
                </c:pt>
                <c:pt idx="244">
                  <c:v>9.8591999999999995</c:v>
                </c:pt>
                <c:pt idx="245">
                  <c:v>9.7668999999999997</c:v>
                </c:pt>
                <c:pt idx="246">
                  <c:v>9.7187999999999999</c:v>
                </c:pt>
                <c:pt idx="247">
                  <c:v>9.7083999999999993</c:v>
                </c:pt>
                <c:pt idx="249">
                  <c:v>9.9033999999999995</c:v>
                </c:pt>
                <c:pt idx="250">
                  <c:v>9.8228000000000009</c:v>
                </c:pt>
                <c:pt idx="251">
                  <c:v>9.7746999999999993</c:v>
                </c:pt>
                <c:pt idx="252">
                  <c:v>9.7253000000000007</c:v>
                </c:pt>
                <c:pt idx="253">
                  <c:v>9.7370000000000001</c:v>
                </c:pt>
                <c:pt idx="255">
                  <c:v>9.5563000000000002</c:v>
                </c:pt>
                <c:pt idx="256">
                  <c:v>9.5004000000000008</c:v>
                </c:pt>
                <c:pt idx="257">
                  <c:v>9.6707000000000001</c:v>
                </c:pt>
                <c:pt idx="258">
                  <c:v>9.6187000000000005</c:v>
                </c:pt>
                <c:pt idx="259">
                  <c:v>9.4718</c:v>
                </c:pt>
                <c:pt idx="261">
                  <c:v>9.4497</c:v>
                </c:pt>
                <c:pt idx="262">
                  <c:v>9.4276</c:v>
                </c:pt>
                <c:pt idx="263">
                  <c:v>9.3886000000000003</c:v>
                </c:pt>
                <c:pt idx="264">
                  <c:v>9.3886000000000003</c:v>
                </c:pt>
                <c:pt idx="265">
                  <c:v>9.2936999999999994</c:v>
                </c:pt>
                <c:pt idx="267">
                  <c:v>9.3457000000000008</c:v>
                </c:pt>
                <c:pt idx="268">
                  <c:v>9.2703000000000007</c:v>
                </c:pt>
                <c:pt idx="269">
                  <c:v>9.2754999999999992</c:v>
                </c:pt>
                <c:pt idx="270">
                  <c:v>9.1325000000000003</c:v>
                </c:pt>
                <c:pt idx="271">
                  <c:v>9.0115999999999996</c:v>
                </c:pt>
                <c:pt idx="273">
                  <c:v>9.0518999999999998</c:v>
                </c:pt>
                <c:pt idx="274">
                  <c:v>9.0297999999999998</c:v>
                </c:pt>
                <c:pt idx="275">
                  <c:v>8.9530999999999992</c:v>
                </c:pt>
                <c:pt idx="276">
                  <c:v>8.9245000000000001</c:v>
                </c:pt>
                <c:pt idx="277">
                  <c:v>8.8998000000000008</c:v>
                </c:pt>
                <c:pt idx="279">
                  <c:v>8.6372</c:v>
                </c:pt>
                <c:pt idx="280">
                  <c:v>8.4642999999999997</c:v>
                </c:pt>
                <c:pt idx="281">
                  <c:v>8.6658000000000008</c:v>
                </c:pt>
                <c:pt idx="282">
                  <c:v>8.9322999999999997</c:v>
                </c:pt>
                <c:pt idx="283">
                  <c:v>9.0297999999999998</c:v>
                </c:pt>
                <c:pt idx="285">
                  <c:v>8.9322999999999997</c:v>
                </c:pt>
                <c:pt idx="286">
                  <c:v>8.7164999999999999</c:v>
                </c:pt>
                <c:pt idx="287">
                  <c:v>9.0115999999999996</c:v>
                </c:pt>
                <c:pt idx="288">
                  <c:v>8.9115000000000002</c:v>
                </c:pt>
                <c:pt idx="289">
                  <c:v>8.8816000000000006</c:v>
                </c:pt>
                <c:pt idx="291">
                  <c:v>8.8764000000000003</c:v>
                </c:pt>
                <c:pt idx="292">
                  <c:v>8.8516999999999992</c:v>
                </c:pt>
                <c:pt idx="293">
                  <c:v>8.9648000000000003</c:v>
                </c:pt>
                <c:pt idx="294">
                  <c:v>8.9543999999999997</c:v>
                </c:pt>
                <c:pt idx="295">
                  <c:v>8.7827999999999999</c:v>
                </c:pt>
                <c:pt idx="297">
                  <c:v>8.7424999999999997</c:v>
                </c:pt>
                <c:pt idx="298">
                  <c:v>8.9128000000000007</c:v>
                </c:pt>
                <c:pt idx="299">
                  <c:v>8.7451000000000008</c:v>
                </c:pt>
                <c:pt idx="300">
                  <c:v>8.6346000000000007</c:v>
                </c:pt>
                <c:pt idx="301">
                  <c:v>8.5344999999999995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A-4FEB-AC3A-7B2FB4697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15487"/>
        <c:axId val="250661247"/>
      </c:lineChart>
      <c:dateAx>
        <c:axId val="405215487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661247"/>
        <c:crosses val="autoZero"/>
        <c:auto val="1"/>
        <c:lblOffset val="100"/>
        <c:baseTimeUnit val="days"/>
      </c:dateAx>
      <c:valAx>
        <c:axId val="25066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21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'Natural Gas Prices'!$I$30:$I$36</c:f>
              <c:strCache>
                <c:ptCount val="7"/>
                <c:pt idx="0">
                  <c:v>Hilli Episiyo</c:v>
                </c:pt>
                <c:pt idx="1">
                  <c:v>Golar Gimi</c:v>
                </c:pt>
                <c:pt idx="2">
                  <c:v>Coral FLNG</c:v>
                </c:pt>
                <c:pt idx="3">
                  <c:v>PFLNG2</c:v>
                </c:pt>
                <c:pt idx="4">
                  <c:v>PFLNG1</c:v>
                </c:pt>
                <c:pt idx="5">
                  <c:v>PFLNG2</c:v>
                </c:pt>
                <c:pt idx="6">
                  <c:v>Prelude FLNG</c:v>
                </c:pt>
              </c:strCache>
            </c:strRef>
          </c:cat>
          <c:val>
            <c:numRef>
              <c:f>'Natural Gas Prices'!$J$30:$J$36</c:f>
              <c:numCache>
                <c:formatCode>#,##0</c:formatCode>
                <c:ptCount val="7"/>
                <c:pt idx="0">
                  <c:v>500</c:v>
                </c:pt>
                <c:pt idx="1">
                  <c:v>571.42857142857133</c:v>
                </c:pt>
                <c:pt idx="2">
                  <c:v>2058.8235294117649</c:v>
                </c:pt>
                <c:pt idx="3">
                  <c:v>2070</c:v>
                </c:pt>
                <c:pt idx="4">
                  <c:v>2587.5</c:v>
                </c:pt>
                <c:pt idx="5">
                  <c:v>2070</c:v>
                </c:pt>
                <c:pt idx="6">
                  <c:v>3333.333333333333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A-4090-BA8C-6D7819CA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232287"/>
        <c:axId val="404807567"/>
      </c:barChart>
      <c:catAx>
        <c:axId val="40923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807567"/>
        <c:crosses val="autoZero"/>
        <c:auto val="1"/>
        <c:lblAlgn val="ctr"/>
        <c:lblOffset val="100"/>
        <c:noMultiLvlLbl val="0"/>
      </c:catAx>
      <c:valAx>
        <c:axId val="40480756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2322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'Supporting figures'!$B$36</c:f>
              <c:strCache>
                <c:ptCount val="1"/>
                <c:pt idx="0">
                  <c:v>Adjusted EBITDA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'Supporting figures'!$C$35:$H$35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'Supporting figures'!$C$36:$H$36</c:f>
              <c:numCache>
                <c:formatCode>0</c:formatCode>
                <c:ptCount val="6"/>
                <c:pt idx="0" formatCode="#,##0">
                  <c:v>99</c:v>
                </c:pt>
                <c:pt idx="1">
                  <c:v>335.3909646474354</c:v>
                </c:pt>
                <c:pt idx="2">
                  <c:v>301.89954208867459</c:v>
                </c:pt>
                <c:pt idx="3">
                  <c:v>271.18061952991388</c:v>
                </c:pt>
                <c:pt idx="4">
                  <c:v>288.52719697115322</c:v>
                </c:pt>
                <c:pt idx="5">
                  <c:v>307.44652441239236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9-4105-9F70-345E125C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0779520"/>
        <c:axId val="690124608"/>
      </c:barChart>
      <c:catAx>
        <c:axId val="69077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124608"/>
        <c:crosses val="autoZero"/>
        <c:auto val="1"/>
        <c:lblAlgn val="ctr"/>
        <c:lblOffset val="100"/>
        <c:noMultiLvlLbl val="0"/>
      </c:catAx>
      <c:valAx>
        <c:axId val="69012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77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A-4697-9B05-6F48073C57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3A-4697-9B05-6F48073C57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3A-4697-9B05-6F48073C57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A-4697-9B05-6F48073C579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A3A-4697-9B05-6F48073C57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'Supporting figures'!$L$40:$L$44</c:f>
              <c:strCache>
                <c:ptCount val="5"/>
                <c:pt idx="0">
                  <c:v>Russia</c:v>
                </c:pt>
                <c:pt idx="1">
                  <c:v>Norway</c:v>
                </c:pt>
                <c:pt idx="2">
                  <c:v>Algeria</c:v>
                </c:pt>
                <c:pt idx="3">
                  <c:v>Qatar</c:v>
                </c:pt>
                <c:pt idx="4">
                  <c:v>Others</c:v>
                </c:pt>
              </c:strCache>
            </c:strRef>
          </c:cat>
          <c:val>
            <c:numRef>
              <c:f>'Supporting figures'!$M$40:$M$44</c:f>
              <c:numCache>
                <c:formatCode>0.00%</c:formatCode>
                <c:ptCount val="5"/>
                <c:pt idx="0">
                  <c:v>0.41099999999999998</c:v>
                </c:pt>
                <c:pt idx="1">
                  <c:v>0.16200000000000001</c:v>
                </c:pt>
                <c:pt idx="2">
                  <c:v>7.5999999999999998E-2</c:v>
                </c:pt>
                <c:pt idx="3">
                  <c:v>5.1999999999999998E-2</c:v>
                </c:pt>
                <c:pt idx="4">
                  <c:v>0.29899999999999999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0-4219-AD26-39E245AE2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'Supporting figures'!$C$57:$C$64</c:f>
              <c:strCache>
                <c:ptCount val="8"/>
                <c:pt idx="0">
                  <c:v>LNG Imports</c:v>
                </c:pt>
                <c:pt idx="1">
                  <c:v>Pipeline Imports</c:v>
                </c:pt>
                <c:pt idx="2">
                  <c:v>Biogas</c:v>
                </c:pt>
                <c:pt idx="3">
                  <c:v>Demand Cuts</c:v>
                </c:pt>
                <c:pt idx="4">
                  <c:v>CCGT/OCGT Rampdown</c:v>
                </c:pt>
                <c:pt idx="5">
                  <c:v>Renewable Energy Storage</c:v>
                </c:pt>
                <c:pt idx="6">
                  <c:v>Opportunity</c:v>
                </c:pt>
                <c:pt idx="7">
                  <c:v>Current Russian Supply</c:v>
                </c:pt>
              </c:strCache>
            </c:strRef>
          </c:cat>
          <c:val>
            <c:numRef>
              <c:f>'Supporting figures'!$D$57:$D$64</c:f>
              <c:numCache>
                <c:formatCode>General</c:formatCode>
                <c:ptCount val="8"/>
                <c:pt idx="1">
                  <c:v>50</c:v>
                </c:pt>
                <c:pt idx="2">
                  <c:v>60</c:v>
                </c:pt>
                <c:pt idx="3">
                  <c:v>63.5</c:v>
                </c:pt>
                <c:pt idx="4">
                  <c:v>77.5</c:v>
                </c:pt>
                <c:pt idx="5">
                  <c:v>97.5</c:v>
                </c:pt>
                <c:pt idx="6">
                  <c:v>100.5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0-4812-9BB8-7314C029F76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'Supporting figures'!$C$57:$C$64</c:f>
              <c:strCache>
                <c:ptCount val="8"/>
                <c:pt idx="0">
                  <c:v>LNG Imports</c:v>
                </c:pt>
                <c:pt idx="1">
                  <c:v>Pipeline Imports</c:v>
                </c:pt>
                <c:pt idx="2">
                  <c:v>Biogas</c:v>
                </c:pt>
                <c:pt idx="3">
                  <c:v>Demand Cuts</c:v>
                </c:pt>
                <c:pt idx="4">
                  <c:v>CCGT/OCGT Rampdown</c:v>
                </c:pt>
                <c:pt idx="5">
                  <c:v>Renewable Energy Storage</c:v>
                </c:pt>
                <c:pt idx="6">
                  <c:v>Opportunity</c:v>
                </c:pt>
                <c:pt idx="7">
                  <c:v>Current Russian Supply</c:v>
                </c:pt>
              </c:strCache>
            </c:strRef>
          </c:cat>
          <c:val>
            <c:numRef>
              <c:f>'Supporting figures'!$E$57:$E$64</c:f>
              <c:numCache>
                <c:formatCode>General</c:formatCode>
                <c:ptCount val="8"/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0-4812-9BB8-7314C029F762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'Supporting figures'!$C$57:$C$64</c:f>
              <c:strCache>
                <c:ptCount val="8"/>
                <c:pt idx="0">
                  <c:v>LNG Imports</c:v>
                </c:pt>
                <c:pt idx="1">
                  <c:v>Pipeline Imports</c:v>
                </c:pt>
                <c:pt idx="2">
                  <c:v>Biogas</c:v>
                </c:pt>
                <c:pt idx="3">
                  <c:v>Demand Cuts</c:v>
                </c:pt>
                <c:pt idx="4">
                  <c:v>CCGT/OCGT Rampdown</c:v>
                </c:pt>
                <c:pt idx="5">
                  <c:v>Renewable Energy Storage</c:v>
                </c:pt>
                <c:pt idx="6">
                  <c:v>Opportunity</c:v>
                </c:pt>
                <c:pt idx="7">
                  <c:v>Current Russian Supply</c:v>
                </c:pt>
              </c:strCache>
            </c:strRef>
          </c:cat>
          <c:val>
            <c:numRef>
              <c:f>'Supporting figures'!$F$57:$F$64</c:f>
              <c:numCache>
                <c:formatCode>General</c:formatCode>
                <c:ptCount val="8"/>
                <c:pt idx="1">
                  <c:v>10</c:v>
                </c:pt>
                <c:pt idx="2">
                  <c:v>3.5</c:v>
                </c:pt>
                <c:pt idx="3">
                  <c:v>14</c:v>
                </c:pt>
                <c:pt idx="4">
                  <c:v>20</c:v>
                </c:pt>
                <c:pt idx="5">
                  <c:v>3</c:v>
                </c:pt>
                <c:pt idx="6">
                  <c:v>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0-4812-9BB8-7314C029F76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'Supporting figures'!$C$57:$C$64</c:f>
              <c:strCache>
                <c:ptCount val="8"/>
                <c:pt idx="0">
                  <c:v>LNG Imports</c:v>
                </c:pt>
                <c:pt idx="1">
                  <c:v>Pipeline Imports</c:v>
                </c:pt>
                <c:pt idx="2">
                  <c:v>Biogas</c:v>
                </c:pt>
                <c:pt idx="3">
                  <c:v>Demand Cuts</c:v>
                </c:pt>
                <c:pt idx="4">
                  <c:v>CCGT/OCGT Rampdown</c:v>
                </c:pt>
                <c:pt idx="5">
                  <c:v>Renewable Energy Storage</c:v>
                </c:pt>
                <c:pt idx="6">
                  <c:v>Opportunity</c:v>
                </c:pt>
                <c:pt idx="7">
                  <c:v>Current Russian Supply</c:v>
                </c:pt>
              </c:strCache>
            </c:strRef>
          </c:cat>
          <c:val>
            <c:numRef>
              <c:f>'Supporting figures'!$G$57:$G$64</c:f>
              <c:numCache>
                <c:formatCode>General</c:formatCode>
                <c:ptCount val="8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F0-4812-9BB8-7314C029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8475040"/>
        <c:axId val="733896816"/>
      </c:barChart>
      <c:catAx>
        <c:axId val="5684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896816"/>
        <c:crosses val="autoZero"/>
        <c:auto val="1"/>
        <c:lblAlgn val="ctr"/>
        <c:lblOffset val="100"/>
        <c:noMultiLvlLbl val="0"/>
      </c:catAx>
      <c:valAx>
        <c:axId val="733896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47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'Supporting figures'!$T$68</c:f>
              <c:strCache>
                <c:ptCount val="1"/>
                <c:pt idx="0">
                  <c:v>Currently Operational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'Supporting figures'!$U$67:$AH$67</c:f>
              <c:numCache>
                <c:formatCode>General</c:formatCode>
                <c:ptCount val="1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</c:numCache>
            </c:numRef>
          </c:cat>
          <c:val>
            <c:numRef>
              <c:f>'Supporting figures'!$U$68:$AH$68</c:f>
              <c:numCache>
                <c:formatCode>General</c:formatCode>
                <c:ptCount val="14"/>
                <c:pt idx="0">
                  <c:v>257.39999999999998</c:v>
                </c:pt>
                <c:pt idx="1">
                  <c:v>270.5</c:v>
                </c:pt>
                <c:pt idx="2">
                  <c:v>284.8</c:v>
                </c:pt>
                <c:pt idx="3">
                  <c:v>321.7</c:v>
                </c:pt>
                <c:pt idx="4">
                  <c:v>353.6</c:v>
                </c:pt>
                <c:pt idx="5">
                  <c:v>390.2</c:v>
                </c:pt>
                <c:pt idx="6">
                  <c:v>421.1</c:v>
                </c:pt>
                <c:pt idx="7">
                  <c:v>446.9</c:v>
                </c:pt>
                <c:pt idx="8">
                  <c:v>452.8</c:v>
                </c:pt>
                <c:pt idx="9">
                  <c:v>452.8</c:v>
                </c:pt>
                <c:pt idx="10">
                  <c:v>452.8</c:v>
                </c:pt>
                <c:pt idx="11">
                  <c:v>452.8</c:v>
                </c:pt>
                <c:pt idx="12">
                  <c:v>452.8</c:v>
                </c:pt>
                <c:pt idx="13">
                  <c:v>452.8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8-4AED-A329-B075FE09DB4A}"/>
            </c:ext>
          </c:extLst>
        </c:ser>
        <c:ser>
          <c:idx val="1"/>
          <c:order val="1"/>
          <c:tx>
            <c:strRef>
              <c:f>'Supporting figures'!$T$69</c:f>
              <c:strCache>
                <c:ptCount val="1"/>
                <c:pt idx="0">
                  <c:v>Under Construction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'Supporting figures'!$U$67:$AH$67</c:f>
              <c:numCache>
                <c:formatCode>General</c:formatCode>
                <c:ptCount val="1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</c:numCache>
            </c:numRef>
          </c:cat>
          <c:val>
            <c:numRef>
              <c:f>'Supporting figures'!$U$69:$AH$69</c:f>
              <c:numCache>
                <c:formatCode>General</c:formatCode>
                <c:ptCount val="14"/>
                <c:pt idx="9">
                  <c:v>16.100000000000001</c:v>
                </c:pt>
                <c:pt idx="10">
                  <c:v>29.1</c:v>
                </c:pt>
                <c:pt idx="11">
                  <c:v>48.2</c:v>
                </c:pt>
                <c:pt idx="12" formatCode="0.0">
                  <c:v>102.3</c:v>
                </c:pt>
                <c:pt idx="13">
                  <c:v>123.7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8-4AED-A329-B075FE09D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1504224"/>
        <c:axId val="1351586256"/>
      </c:barChart>
      <c:catAx>
        <c:axId val="16115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586256"/>
        <c:crosses val="autoZero"/>
        <c:auto val="1"/>
        <c:lblAlgn val="ctr"/>
        <c:lblOffset val="100"/>
        <c:noMultiLvlLbl val="0"/>
      </c:catAx>
      <c:valAx>
        <c:axId val="135158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50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73287107768248"/>
          <c:y val="9.4347655378244424E-2"/>
          <c:w val="0.81333991460022725"/>
          <c:h val="0.66067296232881467"/>
        </c:manualLayout>
      </c:layout>
      <c:lineChart>
        <c:grouping val="standard"/>
        <c:varyColors val="0"/>
        <c:ser>
          <c:idx val="0"/>
          <c:order val="0"/>
          <c:tx>
            <c:strRef>
              <c:f>'EIA outlook'!$B$28</c:f>
              <c:strCache>
                <c:ptCount val="1"/>
                <c:pt idx="0">
                  <c:v>Oil and Oil Products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'EIA outlook'!$C$28:$AF$28</c:f>
              <c:numCache>
                <c:formatCode>#,##0.00</c:formatCode>
                <c:ptCount val="30"/>
                <c:pt idx="0">
                  <c:v>36.044361000000002</c:v>
                </c:pt>
                <c:pt idx="1">
                  <c:v>37.224972000000001</c:v>
                </c:pt>
                <c:pt idx="2">
                  <c:v>37.818272</c:v>
                </c:pt>
                <c:pt idx="3">
                  <c:v>37.821902999999999</c:v>
                </c:pt>
                <c:pt idx="4">
                  <c:v>37.948394999999998</c:v>
                </c:pt>
                <c:pt idx="5">
                  <c:v>38.010570999999999</c:v>
                </c:pt>
                <c:pt idx="6">
                  <c:v>37.922511999999998</c:v>
                </c:pt>
                <c:pt idx="7">
                  <c:v>37.872149999999998</c:v>
                </c:pt>
                <c:pt idx="8">
                  <c:v>37.837966999999999</c:v>
                </c:pt>
                <c:pt idx="9">
                  <c:v>37.828014000000003</c:v>
                </c:pt>
                <c:pt idx="10">
                  <c:v>37.847389</c:v>
                </c:pt>
                <c:pt idx="11">
                  <c:v>37.852668999999999</c:v>
                </c:pt>
                <c:pt idx="12">
                  <c:v>37.889983999999998</c:v>
                </c:pt>
                <c:pt idx="13">
                  <c:v>37.912601000000002</c:v>
                </c:pt>
                <c:pt idx="14">
                  <c:v>37.928756999999997</c:v>
                </c:pt>
                <c:pt idx="15">
                  <c:v>37.977603999999999</c:v>
                </c:pt>
                <c:pt idx="16">
                  <c:v>38.092112999999998</c:v>
                </c:pt>
                <c:pt idx="17">
                  <c:v>38.168449000000003</c:v>
                </c:pt>
                <c:pt idx="18">
                  <c:v>38.289459000000001</c:v>
                </c:pt>
                <c:pt idx="19">
                  <c:v>38.363556000000003</c:v>
                </c:pt>
                <c:pt idx="20">
                  <c:v>38.490177000000003</c:v>
                </c:pt>
                <c:pt idx="21">
                  <c:v>38.626716999999999</c:v>
                </c:pt>
                <c:pt idx="22">
                  <c:v>38.758597999999999</c:v>
                </c:pt>
                <c:pt idx="23">
                  <c:v>38.902782000000002</c:v>
                </c:pt>
                <c:pt idx="24">
                  <c:v>39.068516000000002</c:v>
                </c:pt>
                <c:pt idx="25">
                  <c:v>39.271403999999997</c:v>
                </c:pt>
                <c:pt idx="26">
                  <c:v>39.448132000000001</c:v>
                </c:pt>
                <c:pt idx="27">
                  <c:v>39.59684</c:v>
                </c:pt>
                <c:pt idx="28">
                  <c:v>39.813606</c:v>
                </c:pt>
                <c:pt idx="29">
                  <c:v>40.124302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4-4A2B-B49B-938692E8CD27}"/>
            </c:ext>
          </c:extLst>
        </c:ser>
        <c:ser>
          <c:idx val="1"/>
          <c:order val="1"/>
          <c:tx>
            <c:strRef>
              <c:f>'EIA outlook'!$B$29</c:f>
              <c:strCache>
                <c:ptCount val="1"/>
                <c:pt idx="0">
                  <c:v>   Natural Gas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'EIA outlook'!$C$29:$AF$29</c:f>
              <c:numCache>
                <c:formatCode>#,##0.00</c:formatCode>
                <c:ptCount val="30"/>
                <c:pt idx="0">
                  <c:v>31.364001999999999</c:v>
                </c:pt>
                <c:pt idx="1">
                  <c:v>31.590693000000002</c:v>
                </c:pt>
                <c:pt idx="2">
                  <c:v>31.669806000000001</c:v>
                </c:pt>
                <c:pt idx="3">
                  <c:v>31.834752999999999</c:v>
                </c:pt>
                <c:pt idx="4">
                  <c:v>31.606369000000001</c:v>
                </c:pt>
                <c:pt idx="5">
                  <c:v>31.646839</c:v>
                </c:pt>
                <c:pt idx="6">
                  <c:v>31.648223999999999</c:v>
                </c:pt>
                <c:pt idx="7">
                  <c:v>31.834326000000001</c:v>
                </c:pt>
                <c:pt idx="8">
                  <c:v>31.667535999999998</c:v>
                </c:pt>
                <c:pt idx="9">
                  <c:v>31.540631999999999</c:v>
                </c:pt>
                <c:pt idx="10">
                  <c:v>31.508800999999998</c:v>
                </c:pt>
                <c:pt idx="11">
                  <c:v>31.644221999999999</c:v>
                </c:pt>
                <c:pt idx="12">
                  <c:v>31.724525</c:v>
                </c:pt>
                <c:pt idx="13">
                  <c:v>31.748529000000001</c:v>
                </c:pt>
                <c:pt idx="14">
                  <c:v>31.702368</c:v>
                </c:pt>
                <c:pt idx="15">
                  <c:v>31.800056000000001</c:v>
                </c:pt>
                <c:pt idx="16">
                  <c:v>32.000366</c:v>
                </c:pt>
                <c:pt idx="17">
                  <c:v>32.228591999999999</c:v>
                </c:pt>
                <c:pt idx="18">
                  <c:v>32.384529000000001</c:v>
                </c:pt>
                <c:pt idx="19">
                  <c:v>32.631245</c:v>
                </c:pt>
                <c:pt idx="20">
                  <c:v>32.928466999999998</c:v>
                </c:pt>
                <c:pt idx="21">
                  <c:v>33.218964</c:v>
                </c:pt>
                <c:pt idx="22">
                  <c:v>33.452292999999997</c:v>
                </c:pt>
                <c:pt idx="23">
                  <c:v>33.794918000000003</c:v>
                </c:pt>
                <c:pt idx="24">
                  <c:v>34.070728000000003</c:v>
                </c:pt>
                <c:pt idx="25">
                  <c:v>34.311028</c:v>
                </c:pt>
                <c:pt idx="26">
                  <c:v>34.532719</c:v>
                </c:pt>
                <c:pt idx="27">
                  <c:v>34.766818999999998</c:v>
                </c:pt>
                <c:pt idx="28">
                  <c:v>34.970325000000003</c:v>
                </c:pt>
                <c:pt idx="29">
                  <c:v>35.272995000000002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4-4A2B-B49B-938692E8CD27}"/>
            </c:ext>
          </c:extLst>
        </c:ser>
        <c:ser>
          <c:idx val="2"/>
          <c:order val="2"/>
          <c:tx>
            <c:strRef>
              <c:f>'EIA outlook'!$B$30</c:f>
              <c:strCache>
                <c:ptCount val="1"/>
                <c:pt idx="0">
                  <c:v>Coal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'EIA outlook'!$C$30:$AF$30</c:f>
              <c:numCache>
                <c:formatCode>#,##0.00</c:formatCode>
                <c:ptCount val="30"/>
                <c:pt idx="0">
                  <c:v>10.883175</c:v>
                </c:pt>
                <c:pt idx="1">
                  <c:v>10.445541</c:v>
                </c:pt>
                <c:pt idx="2">
                  <c:v>10.101284</c:v>
                </c:pt>
                <c:pt idx="3">
                  <c:v>8.709911</c:v>
                </c:pt>
                <c:pt idx="4">
                  <c:v>8.4682560000000002</c:v>
                </c:pt>
                <c:pt idx="5">
                  <c:v>8.3823170000000005</c:v>
                </c:pt>
                <c:pt idx="6">
                  <c:v>8.3112879999999993</c:v>
                </c:pt>
                <c:pt idx="7">
                  <c:v>8.2223109999999995</c:v>
                </c:pt>
                <c:pt idx="8">
                  <c:v>7.9810280000000002</c:v>
                </c:pt>
                <c:pt idx="9">
                  <c:v>7.8595860000000002</c:v>
                </c:pt>
                <c:pt idx="10">
                  <c:v>7.763439</c:v>
                </c:pt>
                <c:pt idx="11">
                  <c:v>7.6234830000000002</c:v>
                </c:pt>
                <c:pt idx="12">
                  <c:v>7.6946349999999999</c:v>
                </c:pt>
                <c:pt idx="13">
                  <c:v>7.3000720000000001</c:v>
                </c:pt>
                <c:pt idx="14">
                  <c:v>7.1232829999999998</c:v>
                </c:pt>
                <c:pt idx="15">
                  <c:v>6.8965509999999997</c:v>
                </c:pt>
                <c:pt idx="16">
                  <c:v>6.7943470000000001</c:v>
                </c:pt>
                <c:pt idx="17">
                  <c:v>6.7756059999999998</c:v>
                </c:pt>
                <c:pt idx="18">
                  <c:v>6.7576470000000004</c:v>
                </c:pt>
                <c:pt idx="19">
                  <c:v>6.6525119999999998</c:v>
                </c:pt>
                <c:pt idx="20">
                  <c:v>6.6026619999999996</c:v>
                </c:pt>
                <c:pt idx="21">
                  <c:v>6.549118</c:v>
                </c:pt>
                <c:pt idx="22">
                  <c:v>6.4690919999999998</c:v>
                </c:pt>
                <c:pt idx="23">
                  <c:v>6.3793249999999997</c:v>
                </c:pt>
                <c:pt idx="24">
                  <c:v>6.3075530000000004</c:v>
                </c:pt>
                <c:pt idx="25">
                  <c:v>6.2796469999999998</c:v>
                </c:pt>
                <c:pt idx="26">
                  <c:v>6.2360530000000001</c:v>
                </c:pt>
                <c:pt idx="27">
                  <c:v>6.2113950000000004</c:v>
                </c:pt>
                <c:pt idx="28">
                  <c:v>6.2032030000000002</c:v>
                </c:pt>
                <c:pt idx="29">
                  <c:v>6.2120629999999997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4-4A2B-B49B-938692E8CD27}"/>
            </c:ext>
          </c:extLst>
        </c:ser>
        <c:ser>
          <c:idx val="3"/>
          <c:order val="3"/>
          <c:tx>
            <c:strRef>
              <c:f>'EIA outlook'!$B$31</c:f>
              <c:strCache>
                <c:ptCount val="1"/>
                <c:pt idx="0">
                  <c:v>Nuclear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'EIA outlook'!$C$31:$AF$31</c:f>
              <c:numCache>
                <c:formatCode>#,##0.00</c:formatCode>
                <c:ptCount val="30"/>
                <c:pt idx="0">
                  <c:v>8.1211500000000001</c:v>
                </c:pt>
                <c:pt idx="1">
                  <c:v>8.1831110000000002</c:v>
                </c:pt>
                <c:pt idx="2">
                  <c:v>8.2025790000000001</c:v>
                </c:pt>
                <c:pt idx="3">
                  <c:v>8.239058</c:v>
                </c:pt>
                <c:pt idx="4">
                  <c:v>8.1638990000000007</c:v>
                </c:pt>
                <c:pt idx="5">
                  <c:v>8.0757549999999991</c:v>
                </c:pt>
                <c:pt idx="6">
                  <c:v>7.9302669999999997</c:v>
                </c:pt>
                <c:pt idx="7">
                  <c:v>7.5376779999999997</c:v>
                </c:pt>
                <c:pt idx="8">
                  <c:v>7.4682399999999998</c:v>
                </c:pt>
                <c:pt idx="9">
                  <c:v>7.3830489999999998</c:v>
                </c:pt>
                <c:pt idx="10">
                  <c:v>7.3944660000000004</c:v>
                </c:pt>
                <c:pt idx="11">
                  <c:v>7.4023870000000001</c:v>
                </c:pt>
                <c:pt idx="12">
                  <c:v>6.97715</c:v>
                </c:pt>
                <c:pt idx="13">
                  <c:v>6.9844030000000004</c:v>
                </c:pt>
                <c:pt idx="14">
                  <c:v>6.9990759999999996</c:v>
                </c:pt>
                <c:pt idx="15">
                  <c:v>7.0099830000000001</c:v>
                </c:pt>
                <c:pt idx="16">
                  <c:v>6.9454250000000002</c:v>
                </c:pt>
                <c:pt idx="17">
                  <c:v>6.9476250000000004</c:v>
                </c:pt>
                <c:pt idx="18">
                  <c:v>6.9433559999999996</c:v>
                </c:pt>
                <c:pt idx="19">
                  <c:v>6.9481529999999996</c:v>
                </c:pt>
                <c:pt idx="20">
                  <c:v>6.9605319999999997</c:v>
                </c:pt>
                <c:pt idx="21">
                  <c:v>6.9737629999999999</c:v>
                </c:pt>
                <c:pt idx="22">
                  <c:v>6.982812</c:v>
                </c:pt>
                <c:pt idx="23">
                  <c:v>6.9907719999999998</c:v>
                </c:pt>
                <c:pt idx="24">
                  <c:v>6.9993160000000003</c:v>
                </c:pt>
                <c:pt idx="25">
                  <c:v>7.0037760000000002</c:v>
                </c:pt>
                <c:pt idx="26">
                  <c:v>7.0082190000000004</c:v>
                </c:pt>
                <c:pt idx="27">
                  <c:v>6.9090119999999997</c:v>
                </c:pt>
                <c:pt idx="28">
                  <c:v>6.9123650000000003</c:v>
                </c:pt>
                <c:pt idx="29">
                  <c:v>6.9172060000000002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E4-4A2B-B49B-938692E8CD27}"/>
            </c:ext>
          </c:extLst>
        </c:ser>
        <c:ser>
          <c:idx val="4"/>
          <c:order val="4"/>
          <c:tx>
            <c:strRef>
              <c:f>'EIA outlook'!$B$32</c:f>
              <c:strCache>
                <c:ptCount val="1"/>
                <c:pt idx="0">
                  <c:v>Renewables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'EIA outlook'!$C$32:$AF$32</c:f>
              <c:numCache>
                <c:formatCode>#,##0.00</c:formatCode>
                <c:ptCount val="30"/>
                <c:pt idx="0">
                  <c:v>10.586352999999999</c:v>
                </c:pt>
                <c:pt idx="1">
                  <c:v>11.377997000000001</c:v>
                </c:pt>
                <c:pt idx="2">
                  <c:v>11.946964999999999</c:v>
                </c:pt>
                <c:pt idx="3">
                  <c:v>13.031611</c:v>
                </c:pt>
                <c:pt idx="4">
                  <c:v>13.652735</c:v>
                </c:pt>
                <c:pt idx="5">
                  <c:v>13.931640999999999</c:v>
                </c:pt>
                <c:pt idx="6">
                  <c:v>14.109070999999998</c:v>
                </c:pt>
                <c:pt idx="7">
                  <c:v>14.374713999999999</c:v>
                </c:pt>
                <c:pt idx="8">
                  <c:v>14.915314</c:v>
                </c:pt>
                <c:pt idx="9">
                  <c:v>15.344276000000001</c:v>
                </c:pt>
                <c:pt idx="10">
                  <c:v>15.587249</c:v>
                </c:pt>
                <c:pt idx="11">
                  <c:v>15.802173999999999</c:v>
                </c:pt>
                <c:pt idx="12">
                  <c:v>16.141524</c:v>
                </c:pt>
                <c:pt idx="13">
                  <c:v>16.619517000000002</c:v>
                </c:pt>
                <c:pt idx="14">
                  <c:v>17.004774999999999</c:v>
                </c:pt>
                <c:pt idx="15">
                  <c:v>17.355214999999998</c:v>
                </c:pt>
                <c:pt idx="16">
                  <c:v>17.580897</c:v>
                </c:pt>
                <c:pt idx="17">
                  <c:v>17.725215000000002</c:v>
                </c:pt>
                <c:pt idx="18">
                  <c:v>17.920308000000002</c:v>
                </c:pt>
                <c:pt idx="19">
                  <c:v>18.109774999999999</c:v>
                </c:pt>
                <c:pt idx="20">
                  <c:v>18.213851000000002</c:v>
                </c:pt>
                <c:pt idx="21">
                  <c:v>18.380528000000002</c:v>
                </c:pt>
                <c:pt idx="22">
                  <c:v>18.635282</c:v>
                </c:pt>
                <c:pt idx="23">
                  <c:v>18.771842000000003</c:v>
                </c:pt>
                <c:pt idx="24">
                  <c:v>18.937435000000001</c:v>
                </c:pt>
                <c:pt idx="25">
                  <c:v>19.136748000000001</c:v>
                </c:pt>
                <c:pt idx="26">
                  <c:v>19.367623999999999</c:v>
                </c:pt>
                <c:pt idx="27">
                  <c:v>19.614006</c:v>
                </c:pt>
                <c:pt idx="28">
                  <c:v>19.879768000000002</c:v>
                </c:pt>
                <c:pt idx="29">
                  <c:v>20.153828000000001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E4-4A2B-B49B-938692E8C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0982960"/>
        <c:axId val="1513359472"/>
      </c:lineChart>
      <c:catAx>
        <c:axId val="151098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3359472"/>
        <c:crosses val="autoZero"/>
        <c:auto val="1"/>
        <c:lblAlgn val="ctr"/>
        <c:lblOffset val="100"/>
        <c:noMultiLvlLbl val="0"/>
      </c:catAx>
      <c:valAx>
        <c:axId val="1513359472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098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'EIA outlook'!$B$28</c:f>
              <c:strCache>
                <c:ptCount val="1"/>
                <c:pt idx="0">
                  <c:v>Oil and Oil Products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'EIA outlook'!$C$27:$AF$27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'EIA outlook'!$C$28:$AF$28</c:f>
              <c:numCache>
                <c:formatCode>#,##0.00</c:formatCode>
                <c:ptCount val="30"/>
                <c:pt idx="0">
                  <c:v>36.044361000000002</c:v>
                </c:pt>
                <c:pt idx="1">
                  <c:v>37.224972000000001</c:v>
                </c:pt>
                <c:pt idx="2">
                  <c:v>37.818272</c:v>
                </c:pt>
                <c:pt idx="3">
                  <c:v>37.821902999999999</c:v>
                </c:pt>
                <c:pt idx="4">
                  <c:v>37.948394999999998</c:v>
                </c:pt>
                <c:pt idx="5">
                  <c:v>38.010570999999999</c:v>
                </c:pt>
                <c:pt idx="6">
                  <c:v>37.922511999999998</c:v>
                </c:pt>
                <c:pt idx="7">
                  <c:v>37.872149999999998</c:v>
                </c:pt>
                <c:pt idx="8">
                  <c:v>37.837966999999999</c:v>
                </c:pt>
                <c:pt idx="9">
                  <c:v>37.828014000000003</c:v>
                </c:pt>
                <c:pt idx="10">
                  <c:v>37.847389</c:v>
                </c:pt>
                <c:pt idx="11">
                  <c:v>37.852668999999999</c:v>
                </c:pt>
                <c:pt idx="12">
                  <c:v>37.889983999999998</c:v>
                </c:pt>
                <c:pt idx="13">
                  <c:v>37.912601000000002</c:v>
                </c:pt>
                <c:pt idx="14">
                  <c:v>37.928756999999997</c:v>
                </c:pt>
                <c:pt idx="15">
                  <c:v>37.977603999999999</c:v>
                </c:pt>
                <c:pt idx="16">
                  <c:v>38.092112999999998</c:v>
                </c:pt>
                <c:pt idx="17">
                  <c:v>38.168449000000003</c:v>
                </c:pt>
                <c:pt idx="18">
                  <c:v>38.289459000000001</c:v>
                </c:pt>
                <c:pt idx="19">
                  <c:v>38.363556000000003</c:v>
                </c:pt>
                <c:pt idx="20">
                  <c:v>38.490177000000003</c:v>
                </c:pt>
                <c:pt idx="21">
                  <c:v>38.626716999999999</c:v>
                </c:pt>
                <c:pt idx="22">
                  <c:v>38.758597999999999</c:v>
                </c:pt>
                <c:pt idx="23">
                  <c:v>38.902782000000002</c:v>
                </c:pt>
                <c:pt idx="24">
                  <c:v>39.068516000000002</c:v>
                </c:pt>
                <c:pt idx="25">
                  <c:v>39.271403999999997</c:v>
                </c:pt>
                <c:pt idx="26">
                  <c:v>39.448132000000001</c:v>
                </c:pt>
                <c:pt idx="27">
                  <c:v>39.59684</c:v>
                </c:pt>
                <c:pt idx="28">
                  <c:v>39.813606</c:v>
                </c:pt>
                <c:pt idx="29">
                  <c:v>40.124302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9-4E36-9F50-5B99AAE1E0C1}"/>
            </c:ext>
          </c:extLst>
        </c:ser>
        <c:ser>
          <c:idx val="1"/>
          <c:order val="1"/>
          <c:tx>
            <c:strRef>
              <c:f>'EIA outlook'!$B$29</c:f>
              <c:strCache>
                <c:ptCount val="1"/>
                <c:pt idx="0">
                  <c:v>   Natural Gas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'EIA outlook'!$C$27:$AF$27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'EIA outlook'!$C$29:$AF$29</c:f>
              <c:numCache>
                <c:formatCode>#,##0.00</c:formatCode>
                <c:ptCount val="30"/>
                <c:pt idx="0">
                  <c:v>31.364001999999999</c:v>
                </c:pt>
                <c:pt idx="1">
                  <c:v>31.590693000000002</c:v>
                </c:pt>
                <c:pt idx="2">
                  <c:v>31.669806000000001</c:v>
                </c:pt>
                <c:pt idx="3">
                  <c:v>31.834752999999999</c:v>
                </c:pt>
                <c:pt idx="4">
                  <c:v>31.606369000000001</c:v>
                </c:pt>
                <c:pt idx="5">
                  <c:v>31.646839</c:v>
                </c:pt>
                <c:pt idx="6">
                  <c:v>31.648223999999999</c:v>
                </c:pt>
                <c:pt idx="7">
                  <c:v>31.834326000000001</c:v>
                </c:pt>
                <c:pt idx="8">
                  <c:v>31.667535999999998</c:v>
                </c:pt>
                <c:pt idx="9">
                  <c:v>31.540631999999999</c:v>
                </c:pt>
                <c:pt idx="10">
                  <c:v>31.508800999999998</c:v>
                </c:pt>
                <c:pt idx="11">
                  <c:v>31.644221999999999</c:v>
                </c:pt>
                <c:pt idx="12">
                  <c:v>31.724525</c:v>
                </c:pt>
                <c:pt idx="13">
                  <c:v>31.748529000000001</c:v>
                </c:pt>
                <c:pt idx="14">
                  <c:v>31.702368</c:v>
                </c:pt>
                <c:pt idx="15">
                  <c:v>31.800056000000001</c:v>
                </c:pt>
                <c:pt idx="16">
                  <c:v>32.000366</c:v>
                </c:pt>
                <c:pt idx="17">
                  <c:v>32.228591999999999</c:v>
                </c:pt>
                <c:pt idx="18">
                  <c:v>32.384529000000001</c:v>
                </c:pt>
                <c:pt idx="19">
                  <c:v>32.631245</c:v>
                </c:pt>
                <c:pt idx="20">
                  <c:v>32.928466999999998</c:v>
                </c:pt>
                <c:pt idx="21">
                  <c:v>33.218964</c:v>
                </c:pt>
                <c:pt idx="22">
                  <c:v>33.452292999999997</c:v>
                </c:pt>
                <c:pt idx="23">
                  <c:v>33.794918000000003</c:v>
                </c:pt>
                <c:pt idx="24">
                  <c:v>34.070728000000003</c:v>
                </c:pt>
                <c:pt idx="25">
                  <c:v>34.311028</c:v>
                </c:pt>
                <c:pt idx="26">
                  <c:v>34.532719</c:v>
                </c:pt>
                <c:pt idx="27">
                  <c:v>34.766818999999998</c:v>
                </c:pt>
                <c:pt idx="28">
                  <c:v>34.970325000000003</c:v>
                </c:pt>
                <c:pt idx="29">
                  <c:v>35.272995000000002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9-4E36-9F50-5B99AAE1E0C1}"/>
            </c:ext>
          </c:extLst>
        </c:ser>
        <c:ser>
          <c:idx val="2"/>
          <c:order val="2"/>
          <c:tx>
            <c:strRef>
              <c:f>'EIA outlook'!$B$30</c:f>
              <c:strCache>
                <c:ptCount val="1"/>
                <c:pt idx="0">
                  <c:v>Coal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'EIA outlook'!$C$27:$AF$27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'EIA outlook'!$C$30:$AF$30</c:f>
              <c:numCache>
                <c:formatCode>#,##0.00</c:formatCode>
                <c:ptCount val="30"/>
                <c:pt idx="0">
                  <c:v>10.883175</c:v>
                </c:pt>
                <c:pt idx="1">
                  <c:v>10.445541</c:v>
                </c:pt>
                <c:pt idx="2">
                  <c:v>10.101284</c:v>
                </c:pt>
                <c:pt idx="3">
                  <c:v>8.709911</c:v>
                </c:pt>
                <c:pt idx="4">
                  <c:v>8.4682560000000002</c:v>
                </c:pt>
                <c:pt idx="5">
                  <c:v>8.3823170000000005</c:v>
                </c:pt>
                <c:pt idx="6">
                  <c:v>8.3112879999999993</c:v>
                </c:pt>
                <c:pt idx="7">
                  <c:v>8.2223109999999995</c:v>
                </c:pt>
                <c:pt idx="8">
                  <c:v>7.9810280000000002</c:v>
                </c:pt>
                <c:pt idx="9">
                  <c:v>7.8595860000000002</c:v>
                </c:pt>
                <c:pt idx="10">
                  <c:v>7.763439</c:v>
                </c:pt>
                <c:pt idx="11">
                  <c:v>7.6234830000000002</c:v>
                </c:pt>
                <c:pt idx="12">
                  <c:v>7.6946349999999999</c:v>
                </c:pt>
                <c:pt idx="13">
                  <c:v>7.3000720000000001</c:v>
                </c:pt>
                <c:pt idx="14">
                  <c:v>7.1232829999999998</c:v>
                </c:pt>
                <c:pt idx="15">
                  <c:v>6.8965509999999997</c:v>
                </c:pt>
                <c:pt idx="16">
                  <c:v>6.7943470000000001</c:v>
                </c:pt>
                <c:pt idx="17">
                  <c:v>6.7756059999999998</c:v>
                </c:pt>
                <c:pt idx="18">
                  <c:v>6.7576470000000004</c:v>
                </c:pt>
                <c:pt idx="19">
                  <c:v>6.6525119999999998</c:v>
                </c:pt>
                <c:pt idx="20">
                  <c:v>6.6026619999999996</c:v>
                </c:pt>
                <c:pt idx="21">
                  <c:v>6.549118</c:v>
                </c:pt>
                <c:pt idx="22">
                  <c:v>6.4690919999999998</c:v>
                </c:pt>
                <c:pt idx="23">
                  <c:v>6.3793249999999997</c:v>
                </c:pt>
                <c:pt idx="24">
                  <c:v>6.3075530000000004</c:v>
                </c:pt>
                <c:pt idx="25">
                  <c:v>6.2796469999999998</c:v>
                </c:pt>
                <c:pt idx="26">
                  <c:v>6.2360530000000001</c:v>
                </c:pt>
                <c:pt idx="27">
                  <c:v>6.2113950000000004</c:v>
                </c:pt>
                <c:pt idx="28">
                  <c:v>6.2032030000000002</c:v>
                </c:pt>
                <c:pt idx="29">
                  <c:v>6.2120629999999997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9-4E36-9F50-5B99AAE1E0C1}"/>
            </c:ext>
          </c:extLst>
        </c:ser>
        <c:ser>
          <c:idx val="3"/>
          <c:order val="3"/>
          <c:tx>
            <c:strRef>
              <c:f>'EIA outlook'!$B$31</c:f>
              <c:strCache>
                <c:ptCount val="1"/>
                <c:pt idx="0">
                  <c:v>Nuclear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'EIA outlook'!$C$27:$AF$27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'EIA outlook'!$C$31:$AF$31</c:f>
              <c:numCache>
                <c:formatCode>#,##0.00</c:formatCode>
                <c:ptCount val="30"/>
                <c:pt idx="0">
                  <c:v>8.1211500000000001</c:v>
                </c:pt>
                <c:pt idx="1">
                  <c:v>8.1831110000000002</c:v>
                </c:pt>
                <c:pt idx="2">
                  <c:v>8.2025790000000001</c:v>
                </c:pt>
                <c:pt idx="3">
                  <c:v>8.239058</c:v>
                </c:pt>
                <c:pt idx="4">
                  <c:v>8.1638990000000007</c:v>
                </c:pt>
                <c:pt idx="5">
                  <c:v>8.0757549999999991</c:v>
                </c:pt>
                <c:pt idx="6">
                  <c:v>7.9302669999999997</c:v>
                </c:pt>
                <c:pt idx="7">
                  <c:v>7.5376779999999997</c:v>
                </c:pt>
                <c:pt idx="8">
                  <c:v>7.4682399999999998</c:v>
                </c:pt>
                <c:pt idx="9">
                  <c:v>7.3830489999999998</c:v>
                </c:pt>
                <c:pt idx="10">
                  <c:v>7.3944660000000004</c:v>
                </c:pt>
                <c:pt idx="11">
                  <c:v>7.4023870000000001</c:v>
                </c:pt>
                <c:pt idx="12">
                  <c:v>6.97715</c:v>
                </c:pt>
                <c:pt idx="13">
                  <c:v>6.9844030000000004</c:v>
                </c:pt>
                <c:pt idx="14">
                  <c:v>6.9990759999999996</c:v>
                </c:pt>
                <c:pt idx="15">
                  <c:v>7.0099830000000001</c:v>
                </c:pt>
                <c:pt idx="16">
                  <c:v>6.9454250000000002</c:v>
                </c:pt>
                <c:pt idx="17">
                  <c:v>6.9476250000000004</c:v>
                </c:pt>
                <c:pt idx="18">
                  <c:v>6.9433559999999996</c:v>
                </c:pt>
                <c:pt idx="19">
                  <c:v>6.9481529999999996</c:v>
                </c:pt>
                <c:pt idx="20">
                  <c:v>6.9605319999999997</c:v>
                </c:pt>
                <c:pt idx="21">
                  <c:v>6.9737629999999999</c:v>
                </c:pt>
                <c:pt idx="22">
                  <c:v>6.982812</c:v>
                </c:pt>
                <c:pt idx="23">
                  <c:v>6.9907719999999998</c:v>
                </c:pt>
                <c:pt idx="24">
                  <c:v>6.9993160000000003</c:v>
                </c:pt>
                <c:pt idx="25">
                  <c:v>7.0037760000000002</c:v>
                </c:pt>
                <c:pt idx="26">
                  <c:v>7.0082190000000004</c:v>
                </c:pt>
                <c:pt idx="27">
                  <c:v>6.9090119999999997</c:v>
                </c:pt>
                <c:pt idx="28">
                  <c:v>6.9123650000000003</c:v>
                </c:pt>
                <c:pt idx="29">
                  <c:v>6.9172060000000002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9-4E36-9F50-5B99AAE1E0C1}"/>
            </c:ext>
          </c:extLst>
        </c:ser>
        <c:ser>
          <c:idx val="4"/>
          <c:order val="4"/>
          <c:tx>
            <c:strRef>
              <c:f>'EIA outlook'!$B$32</c:f>
              <c:strCache>
                <c:ptCount val="1"/>
                <c:pt idx="0">
                  <c:v>Renewables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'EIA outlook'!$C$27:$AF$27</c:f>
              <c:numCache>
                <c:formatCode>General</c:formatCode>
                <c:ptCount val="3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  <c:pt idx="21">
                  <c:v>2042</c:v>
                </c:pt>
                <c:pt idx="22">
                  <c:v>2043</c:v>
                </c:pt>
                <c:pt idx="23">
                  <c:v>2044</c:v>
                </c:pt>
                <c:pt idx="24">
                  <c:v>2045</c:v>
                </c:pt>
                <c:pt idx="25">
                  <c:v>2046</c:v>
                </c:pt>
                <c:pt idx="26">
                  <c:v>2047</c:v>
                </c:pt>
                <c:pt idx="27">
                  <c:v>2048</c:v>
                </c:pt>
                <c:pt idx="28">
                  <c:v>2049</c:v>
                </c:pt>
                <c:pt idx="29">
                  <c:v>2050</c:v>
                </c:pt>
              </c:numCache>
            </c:numRef>
          </c:cat>
          <c:val>
            <c:numRef>
              <c:f>'EIA outlook'!$C$32:$AF$32</c:f>
              <c:numCache>
                <c:formatCode>#,##0.00</c:formatCode>
                <c:ptCount val="30"/>
                <c:pt idx="0">
                  <c:v>10.586352999999999</c:v>
                </c:pt>
                <c:pt idx="1">
                  <c:v>11.377997000000001</c:v>
                </c:pt>
                <c:pt idx="2">
                  <c:v>11.946964999999999</c:v>
                </c:pt>
                <c:pt idx="3">
                  <c:v>13.031611</c:v>
                </c:pt>
                <c:pt idx="4">
                  <c:v>13.652735</c:v>
                </c:pt>
                <c:pt idx="5">
                  <c:v>13.931640999999999</c:v>
                </c:pt>
                <c:pt idx="6">
                  <c:v>14.109070999999998</c:v>
                </c:pt>
                <c:pt idx="7">
                  <c:v>14.374713999999999</c:v>
                </c:pt>
                <c:pt idx="8">
                  <c:v>14.915314</c:v>
                </c:pt>
                <c:pt idx="9">
                  <c:v>15.344276000000001</c:v>
                </c:pt>
                <c:pt idx="10">
                  <c:v>15.587249</c:v>
                </c:pt>
                <c:pt idx="11">
                  <c:v>15.802173999999999</c:v>
                </c:pt>
                <c:pt idx="12">
                  <c:v>16.141524</c:v>
                </c:pt>
                <c:pt idx="13">
                  <c:v>16.619517000000002</c:v>
                </c:pt>
                <c:pt idx="14">
                  <c:v>17.004774999999999</c:v>
                </c:pt>
                <c:pt idx="15">
                  <c:v>17.355214999999998</c:v>
                </c:pt>
                <c:pt idx="16">
                  <c:v>17.580897</c:v>
                </c:pt>
                <c:pt idx="17">
                  <c:v>17.725215000000002</c:v>
                </c:pt>
                <c:pt idx="18">
                  <c:v>17.920308000000002</c:v>
                </c:pt>
                <c:pt idx="19">
                  <c:v>18.109774999999999</c:v>
                </c:pt>
                <c:pt idx="20">
                  <c:v>18.213851000000002</c:v>
                </c:pt>
                <c:pt idx="21">
                  <c:v>18.380528000000002</c:v>
                </c:pt>
                <c:pt idx="22">
                  <c:v>18.635282</c:v>
                </c:pt>
                <c:pt idx="23">
                  <c:v>18.771842000000003</c:v>
                </c:pt>
                <c:pt idx="24">
                  <c:v>18.937435000000001</c:v>
                </c:pt>
                <c:pt idx="25">
                  <c:v>19.136748000000001</c:v>
                </c:pt>
                <c:pt idx="26">
                  <c:v>19.367623999999999</c:v>
                </c:pt>
                <c:pt idx="27">
                  <c:v>19.614006</c:v>
                </c:pt>
                <c:pt idx="28">
                  <c:v>19.879768000000002</c:v>
                </c:pt>
                <c:pt idx="29">
                  <c:v>20.153828000000001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29-4E36-9F50-5B99AAE1E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5941072"/>
        <c:axId val="1705097760"/>
      </c:lineChart>
      <c:catAx>
        <c:axId val="175594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5097760"/>
        <c:crosses val="autoZero"/>
        <c:auto val="1"/>
        <c:lblAlgn val="ctr"/>
        <c:lblOffset val="100"/>
        <c:noMultiLvlLbl val="0"/>
      </c:catAx>
      <c:valAx>
        <c:axId val="17050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594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cat>
            <c:strRef>
              <c:f>Base!$F$177:$F$184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-5% @4/27</c:v>
                </c:pt>
                <c:pt idx="3">
                  <c:v>CoolCo Shares -5% @4/27</c:v>
                </c:pt>
                <c:pt idx="4">
                  <c:v>Avenier LNG @ Book Value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Base!$G$177:$G$184</c:f>
              <c:numCache>
                <c:formatCode>General</c:formatCode>
                <c:ptCount val="8"/>
                <c:pt idx="1">
                  <c:v>35.294355273661722</c:v>
                </c:pt>
                <c:pt idx="2">
                  <c:v>40.006864316596968</c:v>
                </c:pt>
                <c:pt idx="3">
                  <c:v>44.356499074969626</c:v>
                </c:pt>
                <c:pt idx="4">
                  <c:v>45.51111719892458</c:v>
                </c:pt>
                <c:pt idx="5">
                  <c:v>45.954647461789072</c:v>
                </c:pt>
                <c:pt idx="6">
                  <c:v>15.30179406882503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6-4AF8-82DA-B039C074890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strRef>
              <c:f>Base!$F$177:$F$184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-5% @4/27</c:v>
                </c:pt>
                <c:pt idx="3">
                  <c:v>CoolCo Shares -5% @4/27</c:v>
                </c:pt>
                <c:pt idx="4">
                  <c:v>Avenier LNG @ Book Value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Base!$H$177:$H$184</c:f>
              <c:numCache>
                <c:formatCode>General</c:formatCode>
                <c:ptCount val="8"/>
                <c:pt idx="6">
                  <c:v>15.30179406882503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6-4AF8-82DA-B039C074890F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D6-4AF8-82DA-B039C074890F}"/>
              </c:ext>
            </c:extLst>
          </c:dPt>
          <c:cat>
            <c:strRef>
              <c:f>Base!$F$177:$F$184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-5% @4/27</c:v>
                </c:pt>
                <c:pt idx="3">
                  <c:v>CoolCo Shares -5% @4/27</c:v>
                </c:pt>
                <c:pt idx="4">
                  <c:v>Avenier LNG @ Book Value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Base!$I$177:$I$184</c:f>
              <c:numCache>
                <c:formatCode>_("$"* #,##0.00_);_("$"* \(#,##0.00\);_("$"* "-"??_);_(@_)</c:formatCode>
                <c:ptCount val="8"/>
                <c:pt idx="1">
                  <c:v>4.7125090429352445</c:v>
                </c:pt>
                <c:pt idx="2">
                  <c:v>4.3496347583726589</c:v>
                </c:pt>
                <c:pt idx="3">
                  <c:v>1.1546181239549547</c:v>
                </c:pt>
                <c:pt idx="4">
                  <c:v>0.4435302628644936</c:v>
                </c:pt>
                <c:pt idx="5">
                  <c:v>3.6960855238707802</c:v>
                </c:pt>
                <c:pt idx="6" formatCode="General">
                  <c:v>15.30179406882503</c:v>
                </c:pt>
                <c:pt idx="7">
                  <c:v>34.446461665642744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D6-4AF8-82DA-B039C074890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Base!$F$177:$F$184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-5% @4/27</c:v>
                </c:pt>
                <c:pt idx="3">
                  <c:v>CoolCo Shares -5% @4/27</c:v>
                </c:pt>
                <c:pt idx="4">
                  <c:v>Avenier LNG @ Book Value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Base!$J$177:$J$184</c:f>
              <c:numCache>
                <c:formatCode>General</c:formatCode>
                <c:ptCount val="8"/>
                <c:pt idx="0" formatCode="_(&quot;$&quot;* #,##0.00_);_(&quot;$&quot;* \(#,##0.00\);_(&quot;$&quot;* &quot;-&quot;??_);_(@_)">
                  <c:v>35.294355273661722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D6-4AF8-82DA-B039C0748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0762864"/>
        <c:axId val="1398300096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Base!$F$177:$F$184</c15:sqref>
                        </c15:formulaRef>
                      </c:ext>
                    </c:extLst>
                    <c:strCache>
                      <c:ptCount val="8"/>
                      <c:pt idx="0">
                        <c:v>FLNG</c:v>
                      </c:pt>
                      <c:pt idx="1">
                        <c:v>Cash</c:v>
                      </c:pt>
                      <c:pt idx="2">
                        <c:v>NFE Shares -5% @4/27</c:v>
                      </c:pt>
                      <c:pt idx="3">
                        <c:v>CoolCo Shares -5% @4/27</c:v>
                      </c:pt>
                      <c:pt idx="4">
                        <c:v>Avenier LNG @ Book Value</c:v>
                      </c:pt>
                      <c:pt idx="5">
                        <c:v>Golar Tundra FLNG Valued at 400m</c:v>
                      </c:pt>
                      <c:pt idx="6">
                        <c:v>Debt</c:v>
                      </c:pt>
                      <c:pt idx="7">
                        <c:v>GLNG Shares Base Case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Base!$K$177:$K$184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DDD6-4AF8-82DA-B039C074890F}"/>
                  </c:ext>
                </c:extLst>
              </c15:ser>
            </c15:filteredBarSeries>
          </c:ext>
        </c:extLst>
      </c:barChart>
      <c:catAx>
        <c:axId val="139076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300096"/>
        <c:crosses val="autoZero"/>
        <c:auto val="1"/>
        <c:lblAlgn val="ctr"/>
        <c:lblOffset val="100"/>
        <c:noMultiLvlLbl val="0"/>
      </c:catAx>
      <c:valAx>
        <c:axId val="139830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076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Bear!$F$189:$F$196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fall 50%</c:v>
                </c:pt>
                <c:pt idx="3">
                  <c:v>CoolCo Shares fall 50%</c:v>
                </c:pt>
                <c:pt idx="4">
                  <c:v>Avenier LNG Shares fall 50%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Bear!$G$189:$G$196</c:f>
              <c:numCache>
                <c:formatCode>_("$"* #,##0.00_);_("$"* \(#,##0.00\);_("$"* "-"??_);_(@_)</c:formatCode>
                <c:ptCount val="8"/>
                <c:pt idx="1">
                  <c:v>20.760464046698779</c:v>
                </c:pt>
                <c:pt idx="2" formatCode="General">
                  <c:v>25.472973089634024</c:v>
                </c:pt>
                <c:pt idx="3" formatCode="General">
                  <c:v>27.762254541409106</c:v>
                </c:pt>
                <c:pt idx="4" formatCode="General">
                  <c:v>28.369948290859082</c:v>
                </c:pt>
                <c:pt idx="5" formatCode="General">
                  <c:v>28.591713422291328</c:v>
                </c:pt>
                <c:pt idx="6" formatCode="General">
                  <c:v>15.30179406882503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3-4D00-BD38-57C15955E4D3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Bear!$F$189:$F$196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fall 50%</c:v>
                </c:pt>
                <c:pt idx="3">
                  <c:v>CoolCo Shares fall 50%</c:v>
                </c:pt>
                <c:pt idx="4">
                  <c:v>Avenier LNG Shares fall 50%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Bear!$H$189:$H$196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0163-4D00-BD38-57C15955E4D3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Bear!$F$189:$F$196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fall 50%</c:v>
                </c:pt>
                <c:pt idx="3">
                  <c:v>CoolCo Shares fall 50%</c:v>
                </c:pt>
                <c:pt idx="4">
                  <c:v>Avenier LNG Shares fall 50%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Bear!$I$189:$I$196</c:f>
              <c:numCache>
                <c:formatCode>_("$"* #,##0.00_);_("$"* \(#,##0.00\);_("$"* "-"??_);_(@_)</c:formatCode>
                <c:ptCount val="8"/>
                <c:pt idx="1">
                  <c:v>4.7125090429352445</c:v>
                </c:pt>
                <c:pt idx="2">
                  <c:v>2.2892814517750839</c:v>
                </c:pt>
                <c:pt idx="3">
                  <c:v>0.60769374944997623</c:v>
                </c:pt>
                <c:pt idx="4">
                  <c:v>0.2217651314322468</c:v>
                </c:pt>
                <c:pt idx="5">
                  <c:v>3.6960855238707802</c:v>
                </c:pt>
                <c:pt idx="6" formatCode="General">
                  <c:v>15.30179406882503</c:v>
                </c:pt>
                <c:pt idx="7">
                  <c:v>17.024455818486786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63-4D00-BD38-57C15955E4D3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Bear!$F$189:$F$196</c:f>
              <c:strCache>
                <c:ptCount val="8"/>
                <c:pt idx="0">
                  <c:v>FLNG</c:v>
                </c:pt>
                <c:pt idx="1">
                  <c:v>Cash</c:v>
                </c:pt>
                <c:pt idx="2">
                  <c:v>NFE Shares fall 50%</c:v>
                </c:pt>
                <c:pt idx="3">
                  <c:v>CoolCo Shares fall 50%</c:v>
                </c:pt>
                <c:pt idx="4">
                  <c:v>Avenier LNG Shares fall 50%</c:v>
                </c:pt>
                <c:pt idx="5">
                  <c:v>Golar Tundra FLNG Valued at 400m</c:v>
                </c:pt>
                <c:pt idx="6">
                  <c:v>Debt</c:v>
                </c:pt>
                <c:pt idx="7">
                  <c:v>GLNG Shares Base Case</c:v>
                </c:pt>
              </c:strCache>
            </c:strRef>
          </c:cat>
          <c:val>
            <c:numRef>
              <c:f>Bear!$J$189:$J$196</c:f>
              <c:numCache>
                <c:formatCode>General</c:formatCode>
                <c:ptCount val="8"/>
                <c:pt idx="0" formatCode="_(&quot;$&quot;* #,##0.00_);_(&quot;$&quot;* \(#,##0.00\);_(&quot;$&quot;* &quot;-&quot;??_);_(@_)">
                  <c:v>20.760464046698779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63-4D00-BD38-57C15955E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2361360"/>
        <c:axId val="1351596240"/>
      </c:barChart>
      <c:catAx>
        <c:axId val="140236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1596240"/>
        <c:crosses val="autoZero"/>
        <c:auto val="1"/>
        <c:lblAlgn val="ctr"/>
        <c:lblOffset val="100"/>
        <c:noMultiLvlLbl val="0"/>
      </c:catAx>
      <c:valAx>
        <c:axId val="1351596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236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B7-43B3-8278-7B045E34E2EC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B7-43B3-8278-7B045E34E2EC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B7-43B3-8278-7B045E34E2EC}"/>
              </c:ext>
            </c:extLst>
          </c:dPt>
          <c:dPt>
            <c:idx val="3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8B7-43B3-8278-7B045E34E2EC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8B7-43B3-8278-7B045E34E2EC}"/>
              </c:ext>
            </c:extLst>
          </c:dPt>
          <c:dPt>
            <c:idx val="5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8B7-43B3-8278-7B045E34E2EC}"/>
              </c:ext>
            </c:extLst>
          </c:dPt>
          <c:dPt>
            <c:idx val="6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8B7-43B3-8278-7B045E34E2EC}"/>
              </c:ext>
            </c:extLst>
          </c:dPt>
          <c:dPt>
            <c:idx val="7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8B7-43B3-8278-7B045E34E2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'[1]Comps Weighted'!$AL$58:$AL$65</c:f>
              <c:strCache>
                <c:ptCount val="8"/>
                <c:pt idx="0">
                  <c:v>DCF GGM</c:v>
                </c:pt>
                <c:pt idx="1">
                  <c:v>DCF Multiples</c:v>
                </c:pt>
                <c:pt idx="2">
                  <c:v>EV/ LTM EBITDA</c:v>
                </c:pt>
                <c:pt idx="3">
                  <c:v>EV / 2022E EBITDA</c:v>
                </c:pt>
                <c:pt idx="4">
                  <c:v>EV/ 2023E EBITDA</c:v>
                </c:pt>
                <c:pt idx="5">
                  <c:v>LTM P/E</c:v>
                </c:pt>
                <c:pt idx="6">
                  <c:v>2022E P/E</c:v>
                </c:pt>
                <c:pt idx="7">
                  <c:v>2023E P/E</c:v>
                </c:pt>
              </c:strCache>
            </c:strRef>
          </c:cat>
          <c:val>
            <c:numRef>
              <c:f>'[1]Comps Weighted'!$AM$58:$AM$65</c:f>
              <c:numCache>
                <c:formatCode>General</c:formatCode>
                <c:ptCount val="8"/>
                <c:pt idx="0">
                  <c:v>0.35</c:v>
                </c:pt>
                <c:pt idx="1">
                  <c:v>0.35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B7-43B3-8278-7B045E34E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aseline="0">
          <a:solidFill>
            <a:sysClr val="windowText" lastClr="000000"/>
          </a:solidFill>
          <a:latin typeface="Garamond" panose="020204040303010108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strRef>
              <c:f>'Football Field'!$B$5:$B$17</c:f>
              <c:strCache>
                <c:ptCount val="13"/>
                <c:pt idx="0">
                  <c:v>Bull</c:v>
                </c:pt>
                <c:pt idx="1">
                  <c:v>Bear</c:v>
                </c:pt>
                <c:pt idx="3">
                  <c:v>Base</c:v>
                </c:pt>
                <c:pt idx="5">
                  <c:v>EV / 2022E EBITDA</c:v>
                </c:pt>
                <c:pt idx="6">
                  <c:v>EV / 2023E EBITDA</c:v>
                </c:pt>
                <c:pt idx="8">
                  <c:v>EV / 2022E EBIT</c:v>
                </c:pt>
                <c:pt idx="9">
                  <c:v>EV / 2023E EBIT</c:v>
                </c:pt>
                <c:pt idx="11">
                  <c:v>Street</c:v>
                </c:pt>
                <c:pt idx="12">
                  <c:v>52-Week Range</c:v>
                </c:pt>
              </c:strCache>
            </c:strRef>
          </c:cat>
          <c:val>
            <c:numRef>
              <c:f>'Football Field'!$C$5:$C$17</c:f>
              <c:numCache>
                <c:formatCode>#,##0.00</c:formatCode>
                <c:ptCount val="13"/>
                <c:pt idx="0">
                  <c:v>39.36</c:v>
                </c:pt>
                <c:pt idx="1">
                  <c:v>16.190000000000001</c:v>
                </c:pt>
                <c:pt idx="3">
                  <c:v>32.44</c:v>
                </c:pt>
                <c:pt idx="5" formatCode="_(&quot;$&quot;* #,##0.00_);_(&quot;$&quot;* \(#,##0.00\);_(&quot;$&quot;* &quot;-&quot;??_);_(@_)">
                  <c:v>25.523688302130907</c:v>
                </c:pt>
                <c:pt idx="6" formatCode="_(&quot;$&quot;* #,##0.00_);_(&quot;$&quot;* \(#,##0.00\);_(&quot;$&quot;* &quot;-&quot;??_);_(@_)">
                  <c:v>25.233794126355274</c:v>
                </c:pt>
                <c:pt idx="8" formatCode="_(&quot;$&quot;* #,##0.00_);_(&quot;$&quot;* \(#,##0.00\);_(&quot;$&quot;* &quot;-&quot;??_);_(@_)">
                  <c:v>30.753819010474093</c:v>
                </c:pt>
                <c:pt idx="9" formatCode="_(&quot;$&quot;* #,##0.00_);_(&quot;$&quot;* \(#,##0.00\);_(&quot;$&quot;* &quot;-&quot;??_);_(@_)">
                  <c:v>25.93421516292938</c:v>
                </c:pt>
                <c:pt idx="11" formatCode="_(&quot;$&quot;* #,##0.00_);_(&quot;$&quot;* \(#,##0.00\);_(&quot;$&quot;* &quot;-&quot;??_);_(@_)">
                  <c:v>20</c:v>
                </c:pt>
                <c:pt idx="12" formatCode="_(&quot;$&quot;* #,##0.00_);_(&quot;$&quot;* \(#,##0.00\);_(&quot;$&quot;* &quot;-&quot;??_);_(@_)">
                  <c:v>10.01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6-4F9A-BC16-37022F976984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'Football Field'!$B$5:$B$17</c:f>
              <c:strCache>
                <c:ptCount val="13"/>
                <c:pt idx="0">
                  <c:v>Bull</c:v>
                </c:pt>
                <c:pt idx="1">
                  <c:v>Bear</c:v>
                </c:pt>
                <c:pt idx="3">
                  <c:v>Base</c:v>
                </c:pt>
                <c:pt idx="5">
                  <c:v>EV / 2022E EBITDA</c:v>
                </c:pt>
                <c:pt idx="6">
                  <c:v>EV / 2023E EBITDA</c:v>
                </c:pt>
                <c:pt idx="8">
                  <c:v>EV / 2022E EBIT</c:v>
                </c:pt>
                <c:pt idx="9">
                  <c:v>EV / 2023E EBIT</c:v>
                </c:pt>
                <c:pt idx="11">
                  <c:v>Street</c:v>
                </c:pt>
                <c:pt idx="12">
                  <c:v>52-Week Range</c:v>
                </c:pt>
              </c:strCache>
            </c:strRef>
          </c:cat>
          <c:val>
            <c:numRef>
              <c:f>'Football Field'!$D$5:$D$17</c:f>
              <c:numCache>
                <c:formatCode>_("$"* #,##0.00_);_("$"* \(#,##0.00\);_("$"* "-"??_);_(@_)</c:formatCode>
                <c:ptCount val="13"/>
                <c:pt idx="0">
                  <c:v>4.4200000000000017</c:v>
                </c:pt>
                <c:pt idx="1">
                  <c:v>1.1799999999999997</c:v>
                </c:pt>
                <c:pt idx="3">
                  <c:v>3.0200000000000031</c:v>
                </c:pt>
                <c:pt idx="5">
                  <c:v>6.6887431197110772</c:v>
                </c:pt>
                <c:pt idx="6">
                  <c:v>2.2762820238139732</c:v>
                </c:pt>
                <c:pt idx="8">
                  <c:v>11.147858128037878</c:v>
                </c:pt>
                <c:pt idx="9">
                  <c:v>4.7052300134453624</c:v>
                </c:pt>
                <c:pt idx="11">
                  <c:v>15</c:v>
                </c:pt>
                <c:pt idx="12">
                  <c:v>16.590000000000003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6-4F9A-BC16-37022F976984}"/>
            </c:ext>
          </c:extLst>
        </c:ser>
        <c:ser>
          <c:idx val="2"/>
          <c:order val="2"/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strRef>
              <c:f>'Football Field'!$B$5:$B$17</c:f>
              <c:strCache>
                <c:ptCount val="13"/>
                <c:pt idx="0">
                  <c:v>Bull</c:v>
                </c:pt>
                <c:pt idx="1">
                  <c:v>Bear</c:v>
                </c:pt>
                <c:pt idx="3">
                  <c:v>Base</c:v>
                </c:pt>
                <c:pt idx="5">
                  <c:v>EV / 2022E EBITDA</c:v>
                </c:pt>
                <c:pt idx="6">
                  <c:v>EV / 2023E EBITDA</c:v>
                </c:pt>
                <c:pt idx="8">
                  <c:v>EV / 2022E EBIT</c:v>
                </c:pt>
                <c:pt idx="9">
                  <c:v>EV / 2023E EBIT</c:v>
                </c:pt>
                <c:pt idx="11">
                  <c:v>Street</c:v>
                </c:pt>
                <c:pt idx="12">
                  <c:v>52-Week Range</c:v>
                </c:pt>
              </c:strCache>
            </c:strRef>
          </c:cat>
          <c:val>
            <c:numRef>
              <c:f>'Football Field'!$E$5:$E$17</c:f>
              <c:numCache>
                <c:formatCode>#,##0.00</c:formatCode>
                <c:ptCount val="13"/>
                <c:pt idx="0">
                  <c:v>43.78</c:v>
                </c:pt>
                <c:pt idx="1">
                  <c:v>17.37</c:v>
                </c:pt>
                <c:pt idx="3">
                  <c:v>35.46</c:v>
                </c:pt>
                <c:pt idx="5" formatCode="_(&quot;$&quot;* #,##0.00_);_(&quot;$&quot;* \(#,##0.00\);_(&quot;$&quot;* &quot;-&quot;??_);_(@_)">
                  <c:v>32.212431421841984</c:v>
                </c:pt>
                <c:pt idx="6" formatCode="_(&quot;$&quot;* #,##0.00_);_(&quot;$&quot;* \(#,##0.00\);_(&quot;$&quot;* &quot;-&quot;??_);_(@_)">
                  <c:v>27.510076150169247</c:v>
                </c:pt>
                <c:pt idx="8" formatCode="_(&quot;$&quot;* #,##0.00_);_(&quot;$&quot;* \(#,##0.00\);_(&quot;$&quot;* &quot;-&quot;??_);_(@_)">
                  <c:v>41.901677138511971</c:v>
                </c:pt>
                <c:pt idx="9" formatCode="_(&quot;$&quot;* #,##0.00_);_(&quot;$&quot;* \(#,##0.00\);_(&quot;$&quot;* &quot;-&quot;??_);_(@_)">
                  <c:v>30.639445176374743</c:v>
                </c:pt>
                <c:pt idx="11" formatCode="_(&quot;$&quot;* #,##0.00_);_(&quot;$&quot;* \(#,##0.00\);_(&quot;$&quot;* &quot;-&quot;??_);_(@_)">
                  <c:v>35</c:v>
                </c:pt>
                <c:pt idx="12" formatCode="_(&quot;$&quot;* #,##0.00_);_(&quot;$&quot;* \(#,##0.00\);_(&quot;$&quot;* &quot;-&quot;??_);_(@_)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6-4F9A-BC16-37022F976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2700936"/>
        <c:axId val="822698376"/>
      </c:barChart>
      <c:catAx>
        <c:axId val="822700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n-US"/>
          </a:p>
        </c:txPr>
        <c:crossAx val="822698376"/>
        <c:crosses val="autoZero"/>
        <c:auto val="1"/>
        <c:lblAlgn val="ctr"/>
        <c:lblOffset val="100"/>
        <c:noMultiLvlLbl val="0"/>
      </c:catAx>
      <c:valAx>
        <c:axId val="822698376"/>
        <c:scaling>
          <c:orientation val="minMax"/>
          <c:max val="45"/>
          <c:min val="5"/>
        </c:scaling>
        <c:delete val="0"/>
        <c:axPos val="b"/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n-US"/>
          </a:p>
        </c:txPr>
        <c:crossAx val="822700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 i="0" baseline="0">
          <a:solidFill>
            <a:sysClr val="windowText" lastClr="000000"/>
          </a:solidFill>
          <a:latin typeface="Garamond" panose="02020404030301010803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B8-4658-AE83-A4DA2A8E8A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B8-4658-AE83-A4DA2A8E8A5C}"/>
              </c:ext>
            </c:extLst>
          </c:dPt>
          <c:cat>
            <c:strRef>
              <c:f>'Football Field'!$I$28:$I$29</c:f>
              <c:strCache>
                <c:ptCount val="2"/>
                <c:pt idx="0">
                  <c:v>Base SOTP</c:v>
                </c:pt>
                <c:pt idx="1">
                  <c:v>Comps</c:v>
                </c:pt>
              </c:strCache>
            </c:strRef>
          </c:cat>
          <c:val>
            <c:numRef>
              <c:f>'Football Field'!$J$28:$J$29</c:f>
              <c:numCache>
                <c:formatCode>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4-4132-8098-F9E104CB8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'TTF and brentForward Curve'!$A$6:$A$58</c:f>
              <c:strCache>
                <c:ptCount val="53"/>
                <c:pt idx="0">
                  <c:v>May 2022</c:v>
                </c:pt>
                <c:pt idx="1">
                  <c:v>Jun 2022</c:v>
                </c:pt>
                <c:pt idx="2">
                  <c:v>Jul 2022</c:v>
                </c:pt>
                <c:pt idx="3">
                  <c:v>Aug 2022</c:v>
                </c:pt>
                <c:pt idx="4">
                  <c:v>Sep 2022</c:v>
                </c:pt>
                <c:pt idx="5">
                  <c:v>Oct 2022</c:v>
                </c:pt>
                <c:pt idx="6">
                  <c:v>Nov 2022</c:v>
                </c:pt>
                <c:pt idx="7">
                  <c:v>Dec 2022</c:v>
                </c:pt>
                <c:pt idx="8">
                  <c:v>Jan 2023</c:v>
                </c:pt>
                <c:pt idx="9">
                  <c:v>Feb 2023</c:v>
                </c:pt>
                <c:pt idx="10">
                  <c:v>Mar 2023</c:v>
                </c:pt>
                <c:pt idx="11">
                  <c:v>Apr 2023</c:v>
                </c:pt>
                <c:pt idx="12">
                  <c:v>May 2023</c:v>
                </c:pt>
                <c:pt idx="13">
                  <c:v>Jun 2023</c:v>
                </c:pt>
                <c:pt idx="14">
                  <c:v>Jul 2023</c:v>
                </c:pt>
                <c:pt idx="15">
                  <c:v>Aug 2023</c:v>
                </c:pt>
                <c:pt idx="16">
                  <c:v>Sep 2023</c:v>
                </c:pt>
                <c:pt idx="17">
                  <c:v>Oct 2023</c:v>
                </c:pt>
                <c:pt idx="18">
                  <c:v>Nov 2023</c:v>
                </c:pt>
                <c:pt idx="19">
                  <c:v>Dec 2023</c:v>
                </c:pt>
                <c:pt idx="20">
                  <c:v>Jan 2024</c:v>
                </c:pt>
                <c:pt idx="21">
                  <c:v>Feb 2024</c:v>
                </c:pt>
                <c:pt idx="22">
                  <c:v>Mar 2024</c:v>
                </c:pt>
                <c:pt idx="23">
                  <c:v>Apr 2024</c:v>
                </c:pt>
                <c:pt idx="24">
                  <c:v>May 2024</c:v>
                </c:pt>
                <c:pt idx="25">
                  <c:v>Jun 2024</c:v>
                </c:pt>
                <c:pt idx="26">
                  <c:v>Jul 2024</c:v>
                </c:pt>
                <c:pt idx="27">
                  <c:v>Aug 2024</c:v>
                </c:pt>
                <c:pt idx="28">
                  <c:v>Sep 2024</c:v>
                </c:pt>
                <c:pt idx="29">
                  <c:v>Oct 2024</c:v>
                </c:pt>
                <c:pt idx="30">
                  <c:v>Nov 2024</c:v>
                </c:pt>
                <c:pt idx="31">
                  <c:v>Dec 2024</c:v>
                </c:pt>
                <c:pt idx="32">
                  <c:v>Jan 2025</c:v>
                </c:pt>
                <c:pt idx="33">
                  <c:v>Feb 2025</c:v>
                </c:pt>
                <c:pt idx="34">
                  <c:v>Mar 2025</c:v>
                </c:pt>
                <c:pt idx="35">
                  <c:v>Apr 2025</c:v>
                </c:pt>
                <c:pt idx="36">
                  <c:v>May 2025</c:v>
                </c:pt>
                <c:pt idx="37">
                  <c:v>Jun 2025</c:v>
                </c:pt>
                <c:pt idx="38">
                  <c:v>Jul 2025</c:v>
                </c:pt>
                <c:pt idx="39">
                  <c:v>Aug 2025</c:v>
                </c:pt>
                <c:pt idx="40">
                  <c:v>Sep 2025</c:v>
                </c:pt>
                <c:pt idx="41">
                  <c:v>Oct 2025</c:v>
                </c:pt>
                <c:pt idx="42">
                  <c:v>Nov 2025</c:v>
                </c:pt>
                <c:pt idx="43">
                  <c:v>Dec 2025</c:v>
                </c:pt>
                <c:pt idx="44">
                  <c:v>Jan 2026</c:v>
                </c:pt>
                <c:pt idx="45">
                  <c:v>Feb 2026</c:v>
                </c:pt>
                <c:pt idx="46">
                  <c:v>Mar 2026</c:v>
                </c:pt>
                <c:pt idx="47">
                  <c:v>Apr 2026</c:v>
                </c:pt>
                <c:pt idx="48">
                  <c:v>May 2026</c:v>
                </c:pt>
                <c:pt idx="49">
                  <c:v>Jun 2026</c:v>
                </c:pt>
                <c:pt idx="50">
                  <c:v>Jul 2026</c:v>
                </c:pt>
                <c:pt idx="51">
                  <c:v>Aug 2026</c:v>
                </c:pt>
                <c:pt idx="52">
                  <c:v>Sep 2026</c:v>
                </c:pt>
              </c:strCache>
            </c:strRef>
          </c:cat>
          <c:val>
            <c:numRef>
              <c:f>'TTF and brentForward Curve'!$B$6:$B$58</c:f>
              <c:numCache>
                <c:formatCode>General</c:formatCode>
                <c:ptCount val="53"/>
                <c:pt idx="0">
                  <c:v>35.72</c:v>
                </c:pt>
                <c:pt idx="1">
                  <c:v>35.549999999999997</c:v>
                </c:pt>
                <c:pt idx="2">
                  <c:v>36.090000000000003</c:v>
                </c:pt>
                <c:pt idx="3">
                  <c:v>36.18</c:v>
                </c:pt>
                <c:pt idx="4">
                  <c:v>36.36</c:v>
                </c:pt>
                <c:pt idx="5">
                  <c:v>34.799999999999997</c:v>
                </c:pt>
                <c:pt idx="6">
                  <c:v>33.83</c:v>
                </c:pt>
                <c:pt idx="7">
                  <c:v>33.68</c:v>
                </c:pt>
                <c:pt idx="8">
                  <c:v>33.07</c:v>
                </c:pt>
                <c:pt idx="9">
                  <c:v>32.46</c:v>
                </c:pt>
                <c:pt idx="10">
                  <c:v>32.200000000000003</c:v>
                </c:pt>
                <c:pt idx="11">
                  <c:v>20.100000000000001</c:v>
                </c:pt>
                <c:pt idx="12">
                  <c:v>18.66</c:v>
                </c:pt>
                <c:pt idx="13">
                  <c:v>18.8</c:v>
                </c:pt>
                <c:pt idx="14">
                  <c:v>19.53</c:v>
                </c:pt>
                <c:pt idx="15">
                  <c:v>19.670000000000002</c:v>
                </c:pt>
                <c:pt idx="16">
                  <c:v>19.86</c:v>
                </c:pt>
                <c:pt idx="17">
                  <c:v>18.940000000000001</c:v>
                </c:pt>
                <c:pt idx="18">
                  <c:v>18.88</c:v>
                </c:pt>
                <c:pt idx="19">
                  <c:v>18.91</c:v>
                </c:pt>
                <c:pt idx="20">
                  <c:v>18.11</c:v>
                </c:pt>
                <c:pt idx="21">
                  <c:v>18.73</c:v>
                </c:pt>
                <c:pt idx="22">
                  <c:v>18.27</c:v>
                </c:pt>
                <c:pt idx="23">
                  <c:v>16.920000000000002</c:v>
                </c:pt>
                <c:pt idx="24">
                  <c:v>15.26</c:v>
                </c:pt>
                <c:pt idx="25">
                  <c:v>15.01</c:v>
                </c:pt>
                <c:pt idx="26">
                  <c:v>14.81</c:v>
                </c:pt>
                <c:pt idx="27">
                  <c:v>14.69</c:v>
                </c:pt>
                <c:pt idx="28">
                  <c:v>14.85</c:v>
                </c:pt>
                <c:pt idx="29">
                  <c:v>15.03</c:v>
                </c:pt>
                <c:pt idx="30">
                  <c:v>15.29</c:v>
                </c:pt>
                <c:pt idx="31">
                  <c:v>15.17</c:v>
                </c:pt>
                <c:pt idx="32">
                  <c:v>14.56</c:v>
                </c:pt>
                <c:pt idx="33">
                  <c:v>14.02</c:v>
                </c:pt>
                <c:pt idx="34">
                  <c:v>13.12</c:v>
                </c:pt>
                <c:pt idx="35">
                  <c:v>12.57</c:v>
                </c:pt>
                <c:pt idx="36">
                  <c:v>12.07</c:v>
                </c:pt>
                <c:pt idx="37">
                  <c:v>11.69</c:v>
                </c:pt>
                <c:pt idx="38">
                  <c:v>11.23</c:v>
                </c:pt>
                <c:pt idx="39">
                  <c:v>11.25</c:v>
                </c:pt>
                <c:pt idx="40">
                  <c:v>11.25</c:v>
                </c:pt>
                <c:pt idx="41">
                  <c:v>11.01</c:v>
                </c:pt>
                <c:pt idx="42">
                  <c:v>11</c:v>
                </c:pt>
                <c:pt idx="43">
                  <c:v>10.94</c:v>
                </c:pt>
                <c:pt idx="44">
                  <c:v>10.47</c:v>
                </c:pt>
                <c:pt idx="45">
                  <c:v>10.44</c:v>
                </c:pt>
                <c:pt idx="46">
                  <c:v>10.53</c:v>
                </c:pt>
                <c:pt idx="47">
                  <c:v>9.1199999999999992</c:v>
                </c:pt>
                <c:pt idx="48">
                  <c:v>8.93</c:v>
                </c:pt>
                <c:pt idx="49">
                  <c:v>8.73</c:v>
                </c:pt>
                <c:pt idx="50">
                  <c:v>8.58</c:v>
                </c:pt>
                <c:pt idx="51">
                  <c:v>8.76</c:v>
                </c:pt>
                <c:pt idx="52">
                  <c:v>9.0399999999999991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E-4FB1-8BFC-9FBDCA21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919968"/>
        <c:axId val="687834000"/>
      </c:lineChart>
      <c:catAx>
        <c:axId val="26391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834000"/>
        <c:crosses val="autoZero"/>
        <c:auto val="1"/>
        <c:lblAlgn val="ctr"/>
        <c:lblOffset val="100"/>
        <c:noMultiLvlLbl val="0"/>
      </c:catAx>
      <c:valAx>
        <c:axId val="687834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3919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'TTF and brentForward Curve'!$X$1</c:f>
              <c:strCache>
                <c:ptCount val="1"/>
                <c:pt idx="0">
                  <c:v>Brent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'TTF and brentForward Curve'!$W$2:$W$20</c:f>
              <c:strCache>
                <c:ptCount val="19"/>
                <c:pt idx="0">
                  <c:v>Q2-22</c:v>
                </c:pt>
                <c:pt idx="1">
                  <c:v>Q3-22</c:v>
                </c:pt>
                <c:pt idx="2">
                  <c:v>Q4-22</c:v>
                </c:pt>
                <c:pt idx="3">
                  <c:v>Q1-23</c:v>
                </c:pt>
                <c:pt idx="4">
                  <c:v>Q2-23</c:v>
                </c:pt>
                <c:pt idx="5">
                  <c:v>Q3-23</c:v>
                </c:pt>
                <c:pt idx="6">
                  <c:v>Q4-23</c:v>
                </c:pt>
                <c:pt idx="7">
                  <c:v>Q1-24</c:v>
                </c:pt>
                <c:pt idx="8">
                  <c:v>Q2-24</c:v>
                </c:pt>
                <c:pt idx="9">
                  <c:v>Q3-24</c:v>
                </c:pt>
                <c:pt idx="10">
                  <c:v>Q4-24</c:v>
                </c:pt>
                <c:pt idx="11">
                  <c:v>Q1-25</c:v>
                </c:pt>
                <c:pt idx="12">
                  <c:v>Q2-25</c:v>
                </c:pt>
                <c:pt idx="13">
                  <c:v>Q3-25</c:v>
                </c:pt>
                <c:pt idx="14">
                  <c:v>Q4-25</c:v>
                </c:pt>
                <c:pt idx="15">
                  <c:v>Q1-26</c:v>
                </c:pt>
                <c:pt idx="16">
                  <c:v>Q2-26</c:v>
                </c:pt>
                <c:pt idx="17">
                  <c:v>Q3-26</c:v>
                </c:pt>
                <c:pt idx="18">
                  <c:v>Q4-26</c:v>
                </c:pt>
              </c:strCache>
            </c:strRef>
          </c:cat>
          <c:val>
            <c:numRef>
              <c:f>'TTF and brentForward Curve'!$X$2:$X$20</c:f>
              <c:numCache>
                <c:formatCode>General</c:formatCode>
                <c:ptCount val="19"/>
                <c:pt idx="0">
                  <c:v>104.13</c:v>
                </c:pt>
                <c:pt idx="1">
                  <c:v>100.45</c:v>
                </c:pt>
                <c:pt idx="2">
                  <c:v>96.14</c:v>
                </c:pt>
                <c:pt idx="3">
                  <c:v>92.78</c:v>
                </c:pt>
                <c:pt idx="4">
                  <c:v>90.23</c:v>
                </c:pt>
                <c:pt idx="5">
                  <c:v>87.88</c:v>
                </c:pt>
                <c:pt idx="6">
                  <c:v>85.64</c:v>
                </c:pt>
                <c:pt idx="7">
                  <c:v>83.55</c:v>
                </c:pt>
                <c:pt idx="8">
                  <c:v>81.84</c:v>
                </c:pt>
                <c:pt idx="9">
                  <c:v>80.31</c:v>
                </c:pt>
                <c:pt idx="10">
                  <c:v>78.98</c:v>
                </c:pt>
                <c:pt idx="11">
                  <c:v>77.67</c:v>
                </c:pt>
                <c:pt idx="12">
                  <c:v>76.459999999999994</c:v>
                </c:pt>
                <c:pt idx="13">
                  <c:v>75.42</c:v>
                </c:pt>
                <c:pt idx="14">
                  <c:v>74.58</c:v>
                </c:pt>
                <c:pt idx="15">
                  <c:v>73.94</c:v>
                </c:pt>
                <c:pt idx="16">
                  <c:v>73.28</c:v>
                </c:pt>
                <c:pt idx="17">
                  <c:v>72.61</c:v>
                </c:pt>
                <c:pt idx="18">
                  <c:v>71.959999999999994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8-4839-9F8E-BF3B3EE50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306768"/>
        <c:axId val="690741840"/>
      </c:lineChart>
      <c:catAx>
        <c:axId val="56530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741840"/>
        <c:crosses val="autoZero"/>
        <c:auto val="1"/>
        <c:lblAlgn val="ctr"/>
        <c:lblOffset val="100"/>
        <c:noMultiLvlLbl val="0"/>
      </c:catAx>
      <c:valAx>
        <c:axId val="69074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0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'Balance Sheet'!$Z$27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'Balance Sheet'!$AA$26:$AD$26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'Balance Sheet'!$AA$27:$AD$27</c:f>
              <c:numCache>
                <c:formatCode>General</c:formatCode>
                <c:ptCount val="4"/>
                <c:pt idx="0">
                  <c:v>47</c:v>
                </c:pt>
                <c:pt idx="1">
                  <c:v>47</c:v>
                </c:pt>
                <c:pt idx="2">
                  <c:v>85</c:v>
                </c:pt>
                <c:pt idx="3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5-4222-A59E-D555CCDE7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0638024"/>
        <c:axId val="540641224"/>
      </c:barChart>
      <c:catAx>
        <c:axId val="54063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641224"/>
        <c:crosses val="autoZero"/>
        <c:auto val="1"/>
        <c:lblAlgn val="ctr"/>
        <c:lblOffset val="100"/>
        <c:noMultiLvlLbl val="0"/>
      </c:catAx>
      <c:valAx>
        <c:axId val="54064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638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66675</xdr:rowOff>
    </xdr:from>
    <xdr:to>
      <xdr:col>4</xdr:col>
      <xdr:colOff>581025</xdr:colOff>
      <xdr:row>5</xdr:row>
      <xdr:rowOff>113062</xdr:rowOff>
    </xdr:to>
    <xdr:pic>
      <xdr:nvPicPr>
        <xdr:cNvPr id="3" name="Picture 2" descr="Golar LNG - Wikipedia">
          <a:extLst>
            <a:ext uri="{FF2B5EF4-FFF2-40B4-BE49-F238E27FC236}">
              <a16:creationId xmlns:a16="http://schemas.microsoft.com/office/drawing/2014/main" id="{EA87A545-89D6-4D47-BA32-11C9EA1F6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66700"/>
          <a:ext cx="2343150" cy="808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171450</xdr:colOff>
      <xdr:row>28</xdr:row>
      <xdr:rowOff>50800</xdr:rowOff>
    </xdr:from>
    <xdr:to>
      <xdr:col>31</xdr:col>
      <xdr:colOff>311150</xdr:colOff>
      <xdr:row>43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80E76B-565C-47B5-A875-E38C7D8356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0</xdr:colOff>
      <xdr:row>28</xdr:row>
      <xdr:rowOff>0</xdr:rowOff>
    </xdr:from>
    <xdr:to>
      <xdr:col>30</xdr:col>
      <xdr:colOff>173957</xdr:colOff>
      <xdr:row>46</xdr:row>
      <xdr:rowOff>19531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8CAC05-D9C7-4862-B84A-9EBB3C26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1725" y="5362575"/>
          <a:ext cx="17966657" cy="34485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1266825</xdr:colOff>
      <xdr:row>2</xdr:row>
      <xdr:rowOff>147637</xdr:rowOff>
    </xdr:from>
    <xdr:to>
      <xdr:col>10</xdr:col>
      <xdr:colOff>285750</xdr:colOff>
      <xdr:row>17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533296-B139-4B20-8609-0F5957BE51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2</xdr:row>
      <xdr:rowOff>176211</xdr:rowOff>
    </xdr:from>
    <xdr:to>
      <xdr:col>17</xdr:col>
      <xdr:colOff>419100</xdr:colOff>
      <xdr:row>22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588C39-3E3B-40D5-8F4B-03B7C7ACCC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238125</xdr:colOff>
      <xdr:row>23</xdr:row>
      <xdr:rowOff>42862</xdr:rowOff>
    </xdr:from>
    <xdr:to>
      <xdr:col>20</xdr:col>
      <xdr:colOff>542925</xdr:colOff>
      <xdr:row>37</xdr:row>
      <xdr:rowOff>119062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101F79-F739-4F63-B86F-F6A9B6071E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704850</xdr:colOff>
      <xdr:row>2</xdr:row>
      <xdr:rowOff>63500</xdr:rowOff>
    </xdr:from>
    <xdr:to>
      <xdr:col>6</xdr:col>
      <xdr:colOff>324160</xdr:colOff>
      <xdr:row>20</xdr:row>
      <xdr:rowOff>165276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7A8494-B292-48A9-A86B-C03045A4C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" y="431800"/>
          <a:ext cx="6026460" cy="3416476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3</xdr:row>
      <xdr:rowOff>76200</xdr:rowOff>
    </xdr:from>
    <xdr:to>
      <xdr:col>24</xdr:col>
      <xdr:colOff>514915</xdr:colOff>
      <xdr:row>32</xdr:row>
      <xdr:rowOff>95525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B121B8-F20D-4BE2-B1F1-5E9094EC8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3600" y="628650"/>
          <a:ext cx="10998765" cy="5359675"/>
        </a:xfrm>
        <a:prstGeom prst="rect">
          <a:avLst/>
        </a:prstGeom>
      </xdr:spPr>
    </xdr:pic>
    <xdr:clientData/>
  </xdr:twoCellAnchor>
  <xdr:twoCellAnchor>
    <xdr:from>
      <xdr:col>1</xdr:col>
      <xdr:colOff>909637</xdr:colOff>
      <xdr:row>37</xdr:row>
      <xdr:rowOff>52387</xdr:rowOff>
    </xdr:from>
    <xdr:to>
      <xdr:col>7</xdr:col>
      <xdr:colOff>461962</xdr:colOff>
      <xdr:row>51</xdr:row>
      <xdr:rowOff>128587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211B990-9740-44E7-84FB-0D60F27D3D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328612</xdr:colOff>
      <xdr:row>37</xdr:row>
      <xdr:rowOff>4762</xdr:rowOff>
    </xdr:from>
    <xdr:to>
      <xdr:col>19</xdr:col>
      <xdr:colOff>147637</xdr:colOff>
      <xdr:row>51</xdr:row>
      <xdr:rowOff>80962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A4D40B-6DD6-46D2-B6E5-7D8CB79071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238125</xdr:colOff>
      <xdr:row>65</xdr:row>
      <xdr:rowOff>71437</xdr:rowOff>
    </xdr:from>
    <xdr:to>
      <xdr:col>11</xdr:col>
      <xdr:colOff>161925</xdr:colOff>
      <xdr:row>79</xdr:row>
      <xdr:rowOff>147637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DEE9163-BCED-4743-8845-A93C6EBA19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914400</xdr:colOff>
      <xdr:row>71</xdr:row>
      <xdr:rowOff>33337</xdr:rowOff>
    </xdr:from>
    <xdr:to>
      <xdr:col>27</xdr:col>
      <xdr:colOff>95250</xdr:colOff>
      <xdr:row>85</xdr:row>
      <xdr:rowOff>109537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97F124-BC3C-41CE-A87C-3BC078F233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</xdr:colOff>
      <xdr:row>39</xdr:row>
      <xdr:rowOff>61912</xdr:rowOff>
    </xdr:from>
    <xdr:to>
      <xdr:col>22</xdr:col>
      <xdr:colOff>371475</xdr:colOff>
      <xdr:row>62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C07800-BD3E-4B1F-9887-48A496FEC1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538162</xdr:colOff>
      <xdr:row>39</xdr:row>
      <xdr:rowOff>180981</xdr:rowOff>
    </xdr:from>
    <xdr:to>
      <xdr:col>31</xdr:col>
      <xdr:colOff>233362</xdr:colOff>
      <xdr:row>54</xdr:row>
      <xdr:rowOff>66681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DB06D4-F46D-48D1-8527-27D7B3510C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519112</xdr:colOff>
      <xdr:row>169</xdr:row>
      <xdr:rowOff>33336</xdr:rowOff>
    </xdr:from>
    <xdr:to>
      <xdr:col>19</xdr:col>
      <xdr:colOff>247650</xdr:colOff>
      <xdr:row>187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EFE66E-FE1A-49B8-A2D0-EBFD76663C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500062</xdr:colOff>
      <xdr:row>192</xdr:row>
      <xdr:rowOff>33336</xdr:rowOff>
    </xdr:from>
    <xdr:to>
      <xdr:col>5</xdr:col>
      <xdr:colOff>219075</xdr:colOff>
      <xdr:row>215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DC5C2F-1BCD-4894-9F31-57EE043AE2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195261</xdr:colOff>
      <xdr:row>180</xdr:row>
      <xdr:rowOff>42862</xdr:rowOff>
    </xdr:from>
    <xdr:to>
      <xdr:col>22</xdr:col>
      <xdr:colOff>600074</xdr:colOff>
      <xdr:row>201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0FC11C-F20F-4769-AD5A-5AC1E72BA8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56</xdr:row>
      <xdr:rowOff>145343</xdr:rowOff>
    </xdr:from>
    <xdr:to>
      <xdr:col>23</xdr:col>
      <xdr:colOff>166687</xdr:colOff>
      <xdr:row>72</xdr:row>
      <xdr:rowOff>142874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3A619A4-76DC-4A03-A2A7-8A804F6FF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295274</xdr:colOff>
      <xdr:row>3</xdr:row>
      <xdr:rowOff>73023</xdr:rowOff>
    </xdr:from>
    <xdr:to>
      <xdr:col>15</xdr:col>
      <xdr:colOff>9525</xdr:colOff>
      <xdr:row>22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957291-33B5-4707-BDF0-921C1E0EBD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452437</xdr:colOff>
      <xdr:row>25</xdr:row>
      <xdr:rowOff>100012</xdr:rowOff>
    </xdr:from>
    <xdr:to>
      <xdr:col>18</xdr:col>
      <xdr:colOff>452437</xdr:colOff>
      <xdr:row>39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65AE45-530F-4303-8788-C094EC1EDD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444500</xdr:colOff>
      <xdr:row>3</xdr:row>
      <xdr:rowOff>130175</xdr:rowOff>
    </xdr:from>
    <xdr:to>
      <xdr:col>15</xdr:col>
      <xdr:colOff>578014</xdr:colOff>
      <xdr:row>19</xdr:row>
      <xdr:rowOff>92234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E37B3-2D8C-49C0-885B-590E3C10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3025" y="701675"/>
          <a:ext cx="3038639" cy="31434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508000</xdr:colOff>
      <xdr:row>2</xdr:row>
      <xdr:rowOff>114300</xdr:rowOff>
    </xdr:from>
    <xdr:to>
      <xdr:col>23</xdr:col>
      <xdr:colOff>559179</xdr:colOff>
      <xdr:row>30</xdr:row>
      <xdr:rowOff>127266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9C3A56-BF80-4324-B236-FC8037978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3600" y="482600"/>
          <a:ext cx="7366379" cy="51691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5</xdr:row>
      <xdr:rowOff>85725</xdr:rowOff>
    </xdr:from>
    <xdr:to>
      <xdr:col>20</xdr:col>
      <xdr:colOff>134657</xdr:colOff>
      <xdr:row>37</xdr:row>
      <xdr:rowOff>119345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5A1671-D5E9-4C90-A754-7B47A2FF2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1038225"/>
          <a:ext cx="7402232" cy="6129620"/>
        </a:xfrm>
        <a:prstGeom prst="rect">
          <a:avLst/>
        </a:prstGeom>
      </xdr:spPr>
    </xdr:pic>
    <xdr:clientData/>
  </xdr:twoCellAnchor>
  <xdr:twoCellAnchor>
    <xdr:from>
      <xdr:col>2</xdr:col>
      <xdr:colOff>14287</xdr:colOff>
      <xdr:row>5</xdr:row>
      <xdr:rowOff>42862</xdr:rowOff>
    </xdr:from>
    <xdr:to>
      <xdr:col>6</xdr:col>
      <xdr:colOff>300037</xdr:colOff>
      <xdr:row>19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9F323B-D006-48C3-A689-9AF5344CD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204787</xdr:colOff>
      <xdr:row>6</xdr:row>
      <xdr:rowOff>71437</xdr:rowOff>
    </xdr:from>
    <xdr:to>
      <xdr:col>34</xdr:col>
      <xdr:colOff>509587</xdr:colOff>
      <xdr:row>20</xdr:row>
      <xdr:rowOff>147637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24EC09-7AB8-49ED-8990-7CEBFF99F6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inghamton-my.sharepoint.com/personal/bsansiv1_binghamton_edu/Documents/OSK%20Model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Hist. Balance Sheet"/>
      <sheetName val="BS"/>
      <sheetName val="CF"/>
      <sheetName val="IS"/>
      <sheetName val="ProForma Balance Sheet"/>
      <sheetName val="Revenue &amp; COGS Build"/>
      <sheetName val="DCF"/>
      <sheetName val="Comps Weighted"/>
      <sheetName val="Analyst Ratings"/>
      <sheetName val="IS Projection"/>
      <sheetName val="Historical CF Statement"/>
      <sheetName val="TSM DSO"/>
      <sheetName val="Debt Schedule"/>
      <sheetName val="JLTV &amp; NGDV Revenue Build"/>
      <sheetName val="SOP Multiples Input"/>
      <sheetName val="SOP Multiples Output"/>
      <sheetName val="SOP GGM Input"/>
      <sheetName val="SOP GGM Output"/>
      <sheetName val="NWC"/>
      <sheetName val="Beta"/>
      <sheetName val="Beta Comps"/>
      <sheetName val="WACC"/>
      <sheetName val="Comps"/>
      <sheetName val="Comps SOP"/>
      <sheetName val="Comps SOP (2)"/>
      <sheetName val="Tables For Paper"/>
      <sheetName val="Football Field"/>
      <sheetName val="DDM"/>
      <sheetName val="Shareholders"/>
      <sheetName val="Financial Analysis Tables"/>
      <sheetName val="Charts 1"/>
      <sheetName val="First Page Stock Chart"/>
      <sheetName val="Corporate Gov. Visuals"/>
      <sheetName val="ESG Graphs"/>
      <sheetName val="Salary and Compensation"/>
      <sheetName val="Committee"/>
      <sheetName val="EPS Growth"/>
      <sheetName val="Porter"/>
      <sheetName val="Stock Chart"/>
      <sheetName val="Access Drivers"/>
      <sheetName val="Defense Drivers"/>
      <sheetName val="Commercial Drivers"/>
      <sheetName val="Tax Receipts"/>
      <sheetName val="Risk Matrix"/>
      <sheetName val="Inflation"/>
      <sheetName val="FCF"/>
      <sheetName val="Backlog"/>
      <sheetName val="Raw Materials"/>
      <sheetName val="Infrastructure"/>
      <sheetName val="Infrastructure Per Country"/>
      <sheetName val="More Raw Materials"/>
      <sheetName val="Sheet3"/>
      <sheetName val="Geographic Breakdown"/>
      <sheetName val="Revenue Segments"/>
      <sheetName val="COGS Segments"/>
      <sheetName val="Debt Ow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AL58" t="str">
            <v>DCF GGM</v>
          </cell>
          <cell r="AM58">
            <v>0.35</v>
          </cell>
        </row>
        <row r="59">
          <cell r="AL59" t="str">
            <v>DCF Multiples</v>
          </cell>
          <cell r="AM59">
            <v>0.35</v>
          </cell>
        </row>
        <row r="60">
          <cell r="AL60" t="str">
            <v>EV/ LTM EBITDA</v>
          </cell>
          <cell r="AM60">
            <v>0.05</v>
          </cell>
        </row>
        <row r="61">
          <cell r="AL61" t="str">
            <v>EV / 2022E EBITDA</v>
          </cell>
          <cell r="AM61">
            <v>0.05</v>
          </cell>
        </row>
        <row r="62">
          <cell r="AL62" t="str">
            <v>EV/ 2023E EBITDA</v>
          </cell>
          <cell r="AM62">
            <v>0.05</v>
          </cell>
        </row>
        <row r="63">
          <cell r="AL63" t="str">
            <v>LTM P/E</v>
          </cell>
          <cell r="AM63">
            <v>0.05</v>
          </cell>
        </row>
        <row r="64">
          <cell r="AL64" t="str">
            <v>2022E P/E</v>
          </cell>
          <cell r="AM64">
            <v>0.05</v>
          </cell>
        </row>
        <row r="65">
          <cell r="AL65" t="str">
            <v>2023E P/E</v>
          </cell>
          <cell r="AM65">
            <v>0.05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
<Relationships xmlns="http://schemas.openxmlformats.org/package/2006/relationships"><Relationship Type="http://schemas.openxmlformats.org/officeDocument/2006/relationships/drawing" Target="../drawings/drawing1.xml" Id="rId1"></Relationship><Relationship Target="../comments6.xml" Type="http://schemas.openxmlformats.org/officeDocument/2006/relationships/comments" Id="rId2"></Relationship><Relationship Target="../drawings/vmlDrawing6.vml" Type="http://schemas.openxmlformats.org/officeDocument/2006/relationships/vmlDrawing" Id="rId3"></Relationship></Relationships>
</file>

<file path=xl/worksheets/_rels/sheet10.xml.rels><?xml version="1.0" encoding="UTF-8" standalone="yes"?>
<Relationships xmlns="http://schemas.openxmlformats.org/package/2006/relationships"><Relationship Type="http://schemas.openxmlformats.org/officeDocument/2006/relationships/drawing" Target="../drawings/drawing10.xml" Id="rId2"></Relationship><Relationship Type="http://schemas.openxmlformats.org/officeDocument/2006/relationships/printerSettings" Target="../printerSettings/printerSettings5.bin" Id="rId1"></Relationship><Relationship Target="../comments12.xml" Type="http://schemas.openxmlformats.org/officeDocument/2006/relationships/comments" Id="rId3"></Relationship><Relationship Target="../drawings/vmlDrawing12.vml" Type="http://schemas.openxmlformats.org/officeDocument/2006/relationships/vmlDrawing" Id="rId4"></Relationship></Relationships>
</file>

<file path=xl/worksheets/_rels/sheet11.xml.rels><?xml version="1.0" encoding="UTF-8" standalone="yes"?>
<Relationships xmlns="http://schemas.openxmlformats.org/package/2006/relationships"><Relationship Type="http://schemas.openxmlformats.org/officeDocument/2006/relationships/printerSettings" Target="../printerSettings/printerSettings6.bin" Id="rId1"></Relationship><Relationship Target="../comments13.xml" Type="http://schemas.openxmlformats.org/officeDocument/2006/relationships/comments" Id="rId2"></Relationship><Relationship Target="../drawings/vmlDrawing13.vml" Type="http://schemas.openxmlformats.org/officeDocument/2006/relationships/vmlDrawing" Id="rId3"></Relationship></Relationships>
</file>

<file path=xl/worksheets/_rels/sheet12.xml.rels><?xml version="1.0" encoding="UTF-8" standalone="yes"?>
<Relationships xmlns="http://schemas.openxmlformats.org/package/2006/relationships"><Relationship Type="http://schemas.openxmlformats.org/officeDocument/2006/relationships/printerSettings" Target="../printerSettings/printerSettings7.bin" Id="rId1"></Relationship><Relationship Target="../comments14.xml" Type="http://schemas.openxmlformats.org/officeDocument/2006/relationships/comments" Id="rId2"></Relationship><Relationship Target="../drawings/vmlDrawing14.vml" Type="http://schemas.openxmlformats.org/officeDocument/2006/relationships/vmlDrawing" Id="rId3"></Relationship></Relationships>
</file>

<file path=xl/worksheets/_rels/sheet13.xml.rels><?xml version="1.0" encoding="UTF-8" standalone="yes"?>
<Relationships xmlns="http://schemas.openxmlformats.org/package/2006/relationships"><Relationship Type="http://schemas.openxmlformats.org/officeDocument/2006/relationships/drawing" Target="../drawings/drawing11.xml" Id="rId1"></Relationship><Relationship Target="../comments15.xml" Type="http://schemas.openxmlformats.org/officeDocument/2006/relationships/comments" Id="rId2"></Relationship><Relationship Target="../drawings/vmlDrawing15.vml" Type="http://schemas.openxmlformats.org/officeDocument/2006/relationships/vmlDrawing" Id="rId3"></Relationship></Relationships>
</file>

<file path=xl/worksheets/_rels/sheet14.xml.rels><?xml version="1.0" encoding="UTF-8" standalone="yes"?>
<Relationships xmlns="http://schemas.openxmlformats.org/package/2006/relationships"><Relationship Type="http://schemas.openxmlformats.org/officeDocument/2006/relationships/drawing" Target="../drawings/drawing12.xml" Id="rId2"></Relationship><Relationship Type="http://schemas.openxmlformats.org/officeDocument/2006/relationships/printerSettings" Target="../printerSettings/printerSettings8.bin" Id="rId1"></Relationship><Relationship Target="../comments16.xml" Type="http://schemas.openxmlformats.org/officeDocument/2006/relationships/comments" Id="rId3"></Relationship><Relationship Target="../drawings/vmlDrawing16.vml" Type="http://schemas.openxmlformats.org/officeDocument/2006/relationships/vmlDrawing" Id="rId4"></Relationship></Relationships>
</file>

<file path=xl/worksheets/_rels/sheet15.xml.rels><?xml version="1.0" encoding="UTF-8" standalone="yes"?>
<Relationships xmlns="http://schemas.openxmlformats.org/package/2006/relationships"><Relationship Target="../comments17.xml" Type="http://schemas.openxmlformats.org/officeDocument/2006/relationships/comments" Id="rId1"></Relationship><Relationship Target="../drawings/vmlDrawing17.vml" Type="http://schemas.openxmlformats.org/officeDocument/2006/relationships/vmlDrawing" Id="rId2"></Relationship></Relationships>
</file>

<file path=xl/worksheets/_rels/sheet16.xml.rels><?xml version="1.0" encoding="UTF-8" standalone="yes"?>
<Relationships xmlns="http://schemas.openxmlformats.org/package/2006/relationships"><Relationship Type="http://schemas.openxmlformats.org/officeDocument/2006/relationships/drawing" Target="../drawings/drawing13.xml" Id="rId2"></Relationship><Relationship Type="http://schemas.openxmlformats.org/officeDocument/2006/relationships/printerSettings" Target="../printerSettings/printerSettings9.bin" Id="rId1"></Relationship><Relationship Target="../comments18.xml" Type="http://schemas.openxmlformats.org/officeDocument/2006/relationships/comments" Id="rId3"></Relationship><Relationship Target="../drawings/vmlDrawing18.vml" Type="http://schemas.openxmlformats.org/officeDocument/2006/relationships/vmlDrawing" Id="rId4"></Relationship></Relationships>
</file>

<file path=xl/worksheets/_rels/sheet17.xml.rels><?xml version="1.0" encoding="UTF-8" standalone="yes"?>
<Relationships xmlns="http://schemas.openxmlformats.org/package/2006/relationships"><Relationship Type="http://schemas.openxmlformats.org/officeDocument/2006/relationships/drawing" Target="../drawings/drawing14.xml" Id="rId1"></Relationship><Relationship Target="../comments19.xml" Type="http://schemas.openxmlformats.org/officeDocument/2006/relationships/comments" Id="rId2"></Relationship><Relationship Target="../drawings/vmlDrawing19.vml" Type="http://schemas.openxmlformats.org/officeDocument/2006/relationships/vmlDrawing" Id="rId3"></Relationship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
<Relationships xmlns="http://schemas.openxmlformats.org/package/2006/relationships"><Relationship Target="../comments20.xml" Type="http://schemas.openxmlformats.org/officeDocument/2006/relationships/comments" Id="rId1"></Relationship><Relationship Target="../drawings/vmlDrawing20.vml" Type="http://schemas.openxmlformats.org/officeDocument/2006/relationships/vmlDrawing" Id="rId2"></Relationship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
<Relationships xmlns="http://schemas.openxmlformats.org/package/2006/relationships"><Relationship Type="http://schemas.openxmlformats.org/officeDocument/2006/relationships/drawing" Target="../drawings/drawing5.xml" Id="rId1"></Relationship><Relationship Target="../comments7.xml" Type="http://schemas.openxmlformats.org/officeDocument/2006/relationships/comments" Id="rId2"></Relationship><Relationship Target="../drawings/vmlDrawing7.vml" Type="http://schemas.openxmlformats.org/officeDocument/2006/relationships/vmlDrawing" Id="rId3"></Relationship></Relationships>
</file>

<file path=xl/worksheets/_rels/sheet6.xml.rels><?xml version="1.0" encoding="UTF-8" standalone="yes"?>
<Relationships xmlns="http://schemas.openxmlformats.org/package/2006/relationships"><Relationship Type="http://schemas.openxmlformats.org/officeDocument/2006/relationships/drawing" Target="../drawings/drawing6.xml" Id="rId1"></Relationship><Relationship Target="../comments8.xml" Type="http://schemas.openxmlformats.org/officeDocument/2006/relationships/comments" Id="rId2"></Relationship><Relationship Target="../drawings/vmlDrawing8.vml" Type="http://schemas.openxmlformats.org/officeDocument/2006/relationships/vmlDrawing" Id="rId3"></Relationship></Relationships>
</file>

<file path=xl/worksheets/_rels/sheet7.xml.rels><?xml version="1.0" encoding="UTF-8" standalone="yes"?>
<Relationships xmlns="http://schemas.openxmlformats.org/package/2006/relationships"><Relationship Type="http://schemas.openxmlformats.org/officeDocument/2006/relationships/drawing" Target="../drawings/drawing7.xml" Id="rId2"></Relationship><Relationship Type="http://schemas.openxmlformats.org/officeDocument/2006/relationships/printerSettings" Target="../printerSettings/printerSettings4.bin" Id="rId1"></Relationship><Relationship Target="../comments9.xml" Type="http://schemas.openxmlformats.org/officeDocument/2006/relationships/comments" Id="rId3"></Relationship><Relationship Target="../drawings/vmlDrawing9.vml" Type="http://schemas.openxmlformats.org/officeDocument/2006/relationships/vmlDrawing" Id="rId4"></Relationship></Relationships>
</file>

<file path=xl/worksheets/_rels/sheet8.xml.rels><?xml version="1.0" encoding="UTF-8" standalone="yes"?>
<Relationships xmlns="http://schemas.openxmlformats.org/package/2006/relationships"><Relationship Type="http://schemas.openxmlformats.org/officeDocument/2006/relationships/drawing" Target="../drawings/drawing8.xml" Id="rId1"></Relationship><Relationship Target="../comments10.xml" Type="http://schemas.openxmlformats.org/officeDocument/2006/relationships/comments" Id="rId2"></Relationship><Relationship Target="../drawings/vmlDrawing10.vml" Type="http://schemas.openxmlformats.org/officeDocument/2006/relationships/vmlDrawing" Id="rId3"></Relationship></Relationships>
</file>

<file path=xl/worksheets/_rels/sheet9.xml.rels><?xml version="1.0" encoding="UTF-8" standalone="yes"?>
<Relationships xmlns="http://schemas.openxmlformats.org/package/2006/relationships"><Relationship Type="http://schemas.openxmlformats.org/officeDocument/2006/relationships/drawing" Target="../drawings/drawing9.xml" Id="rId1"></Relationship><Relationship Target="../comments11.xml" Type="http://schemas.openxmlformats.org/officeDocument/2006/relationships/comments" Id="rId2"></Relationship><Relationship Target="../drawings/vmlDrawing11.vml" Type="http://schemas.openxmlformats.org/officeDocument/2006/relationships/vmlDrawing" Id="rId3"></Relationship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8FF0C-7316-4105-AD6D-CD6D75510AD6}">
  <dimension ref="B1:N16"/>
  <sheetViews>
    <sheetView tabSelected="1" zoomScale="180" zoomScaleNormal="180" workbookViewId="0">
      <selection activeCell="J7" sqref="J7"/>
    </sheetView>
  </sheetViews>
  <sheetFormatPr defaultColWidth="9.42578125" defaultRowHeight="15" x14ac:dyDescent="0.25"/>
  <cols>
    <col min="1" max="13" width="9.42578125" style="2"/>
    <col min="14" max="14" width="11.28515625" style="2" bestFit="1" customWidth="1"/>
    <col min="15" max="16384" width="9.42578125" style="2"/>
  </cols>
  <sheetData>
    <row r="1" spans="2:14" ht="15.75" thickBot="1" x14ac:dyDescent="0.3"/>
    <row r="2" spans="2:14" x14ac:dyDescent="0.25">
      <c r="B2" s="3"/>
      <c r="C2" s="4"/>
      <c r="D2" s="4"/>
      <c r="E2" s="5"/>
    </row>
    <row r="3" spans="2:14" x14ac:dyDescent="0.25">
      <c r="B3" s="6"/>
      <c r="E3" s="7"/>
    </row>
    <row r="4" spans="2:14" x14ac:dyDescent="0.25">
      <c r="B4" s="6"/>
      <c r="D4" s="8"/>
      <c r="E4" s="7"/>
      <c r="G4"/>
    </row>
    <row r="5" spans="2:14" x14ac:dyDescent="0.25">
      <c r="B5" s="6"/>
      <c r="E5" s="7"/>
    </row>
    <row r="6" spans="2:14" ht="15.75" thickBot="1" x14ac:dyDescent="0.3">
      <c r="B6" s="6"/>
      <c r="E6" s="7"/>
    </row>
    <row r="7" spans="2:14" ht="21.75" thickBot="1" x14ac:dyDescent="0.4">
      <c r="B7" s="357" t="s">
        <v>0</v>
      </c>
      <c r="C7" s="358"/>
      <c r="D7" s="358"/>
      <c r="E7" s="359"/>
    </row>
    <row r="8" spans="2:14" ht="21.75" thickBot="1" x14ac:dyDescent="0.4">
      <c r="B8" s="360" t="s">
        <v>1</v>
      </c>
      <c r="C8" s="361"/>
      <c r="D8" s="361"/>
      <c r="E8" s="362"/>
    </row>
    <row r="9" spans="2:14" x14ac:dyDescent="0.25">
      <c r="B9" s="363" t="s">
        <v>2</v>
      </c>
      <c r="C9" s="364"/>
      <c r="D9" s="364"/>
      <c r="E9" s="365"/>
    </row>
    <row r="10" spans="2:14" x14ac:dyDescent="0.25">
      <c r="B10" s="363" t="s">
        <v>3</v>
      </c>
      <c r="C10" s="364"/>
      <c r="D10" s="364"/>
      <c r="E10" s="365"/>
    </row>
    <row r="11" spans="2:14" x14ac:dyDescent="0.25">
      <c r="B11" s="366" t="s">
        <v>4</v>
      </c>
      <c r="C11" s="367"/>
      <c r="D11" s="367"/>
      <c r="E11" s="368"/>
    </row>
    <row r="12" spans="2:14" ht="15.75" thickBot="1" x14ac:dyDescent="0.3">
      <c r="B12" s="354" t="s">
        <v>5</v>
      </c>
      <c r="C12" s="355"/>
      <c r="D12" s="355"/>
      <c r="E12" s="356"/>
    </row>
    <row r="15" spans="2:14" x14ac:dyDescent="0.25">
      <c r="N15" s="20"/>
    </row>
    <row r="16" spans="2:14" x14ac:dyDescent="0.25">
      <c r="N16" s="20"/>
    </row>
  </sheetData>
  <mergeCells count="6">
    <mergeCell ref="B12:E12"/>
    <mergeCell ref="B7:E7"/>
    <mergeCell ref="B8:E8"/>
    <mergeCell ref="B9:E9"/>
    <mergeCell ref="B10:E10"/>
    <mergeCell ref="B11:E1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162-0485-4012-8D32-BC67C9E1EDAF}">
  <dimension ref="A1:AD39"/>
  <sheetViews>
    <sheetView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E43" sqref="E43"/>
    </sheetView>
  </sheetViews>
  <sheetFormatPr defaultColWidth="9.140625" defaultRowHeight="15" x14ac:dyDescent="0.25"/>
  <cols>
    <col min="1" max="1" width="9.140625" style="2"/>
    <col min="2" max="2" width="50.5703125" style="2" bestFit="1" customWidth="1"/>
    <col min="3" max="4" width="9.5703125" style="2" bestFit="1" customWidth="1"/>
    <col min="5" max="5" width="13.85546875" style="2" bestFit="1" customWidth="1"/>
    <col min="6" max="6" width="13.85546875" style="2" customWidth="1"/>
    <col min="7" max="7" width="33.85546875" style="2" bestFit="1" customWidth="1"/>
    <col min="8" max="20" width="9.140625" style="2"/>
    <col min="21" max="21" width="9.5703125" style="2" bestFit="1" customWidth="1"/>
    <col min="22" max="25" width="9.140625" style="2"/>
    <col min="26" max="26" width="17.5703125" style="2" bestFit="1" customWidth="1"/>
    <col min="27" max="16384" width="9.140625" style="2"/>
  </cols>
  <sheetData>
    <row r="1" spans="1:26" x14ac:dyDescent="0.25">
      <c r="A1" s="16"/>
    </row>
    <row r="2" spans="1:26" ht="15.75" x14ac:dyDescent="0.25">
      <c r="B2" s="292" t="s">
        <v>0</v>
      </c>
      <c r="C2" s="293"/>
      <c r="D2" s="294"/>
      <c r="F2" s="2" t="s">
        <v>311</v>
      </c>
      <c r="U2" s="2" t="s">
        <v>312</v>
      </c>
    </row>
    <row r="3" spans="1:26" ht="15.75" x14ac:dyDescent="0.25">
      <c r="B3" s="295" t="s">
        <v>313</v>
      </c>
      <c r="C3" s="296" t="s">
        <v>314</v>
      </c>
      <c r="D3" s="297" t="s">
        <v>315</v>
      </c>
      <c r="G3" s="2" t="s">
        <v>316</v>
      </c>
      <c r="I3" s="2">
        <f>E3+1</f>
        <v>1</v>
      </c>
    </row>
    <row r="4" spans="1:26" ht="15.75" x14ac:dyDescent="0.25">
      <c r="B4" s="60" t="s">
        <v>317</v>
      </c>
      <c r="C4" s="298" t="s">
        <v>318</v>
      </c>
      <c r="D4" s="299" t="s">
        <v>319</v>
      </c>
      <c r="H4" s="12" t="s">
        <v>320</v>
      </c>
      <c r="K4" s="2" t="s">
        <v>321</v>
      </c>
      <c r="Z4" s="2" t="s">
        <v>322</v>
      </c>
    </row>
    <row r="5" spans="1:26" x14ac:dyDescent="0.25">
      <c r="B5" s="300" t="s">
        <v>323</v>
      </c>
      <c r="C5" s="301"/>
      <c r="D5" s="302"/>
      <c r="G5" s="164">
        <f>'Income Statment'!E6/'Income Statment'!E8</f>
        <v>0.49028231694597035</v>
      </c>
      <c r="H5" s="164">
        <f>'Income Statment'!F6/'Income Statment'!F8</f>
        <v>0.48923666065321569</v>
      </c>
      <c r="I5" s="12"/>
      <c r="J5" s="12"/>
      <c r="K5" s="12">
        <v>24.06</v>
      </c>
      <c r="L5" s="12"/>
      <c r="M5" s="12"/>
      <c r="N5" s="12"/>
      <c r="Z5" s="2" t="s">
        <v>324</v>
      </c>
    </row>
    <row r="6" spans="1:26" x14ac:dyDescent="0.25">
      <c r="B6" s="303" t="s">
        <v>325</v>
      </c>
      <c r="D6" s="34"/>
      <c r="K6" s="2" t="s">
        <v>326</v>
      </c>
      <c r="Z6" s="2" t="s">
        <v>327</v>
      </c>
    </row>
    <row r="7" spans="1:26" x14ac:dyDescent="0.25">
      <c r="B7" s="304" t="s">
        <v>328</v>
      </c>
      <c r="C7" s="20">
        <v>127691</v>
      </c>
      <c r="D7" s="70">
        <v>268627</v>
      </c>
      <c r="G7" s="20"/>
      <c r="K7" s="20">
        <f>K5*(18.6)*1000</f>
        <v>447516</v>
      </c>
      <c r="U7" s="2" t="s">
        <v>329</v>
      </c>
      <c r="Z7" s="2" t="s">
        <v>330</v>
      </c>
    </row>
    <row r="8" spans="1:26" x14ac:dyDescent="0.25">
      <c r="B8" s="304" t="s">
        <v>331</v>
      </c>
      <c r="C8" s="20">
        <v>100361</v>
      </c>
      <c r="D8" s="70">
        <v>77337</v>
      </c>
      <c r="Z8" s="2" t="s">
        <v>332</v>
      </c>
    </row>
    <row r="9" spans="1:26" x14ac:dyDescent="0.25">
      <c r="B9" s="304" t="s">
        <v>333</v>
      </c>
      <c r="C9" s="20">
        <v>39863</v>
      </c>
      <c r="D9" s="70">
        <v>576149</v>
      </c>
      <c r="F9" s="20">
        <f>C9*G5</f>
        <v>19544.124000417218</v>
      </c>
      <c r="G9" s="20">
        <f>(D9-K7)*H5</f>
        <v>62931.979369805093</v>
      </c>
      <c r="Z9" s="2" t="s">
        <v>334</v>
      </c>
    </row>
    <row r="10" spans="1:26" x14ac:dyDescent="0.25">
      <c r="B10" s="304" t="s">
        <v>335</v>
      </c>
      <c r="C10" s="20">
        <v>267766</v>
      </c>
      <c r="D10" s="34">
        <v>0</v>
      </c>
      <c r="G10" s="2">
        <v>0</v>
      </c>
      <c r="Z10" s="2" t="s">
        <v>336</v>
      </c>
    </row>
    <row r="11" spans="1:26" x14ac:dyDescent="0.25">
      <c r="B11" s="304" t="s">
        <v>337</v>
      </c>
      <c r="C11" s="20">
        <v>2112</v>
      </c>
      <c r="D11" s="70">
        <v>3484</v>
      </c>
      <c r="F11" s="20">
        <f>C11*G5</f>
        <v>1035.4762533898893</v>
      </c>
      <c r="G11" s="20">
        <f>D11*H5</f>
        <v>1704.5005257158034</v>
      </c>
    </row>
    <row r="12" spans="1:26" x14ac:dyDescent="0.25">
      <c r="B12" s="305" t="s">
        <v>338</v>
      </c>
      <c r="C12" s="21">
        <f>SUM(C7:C11)</f>
        <v>537793</v>
      </c>
      <c r="D12" s="306">
        <f>SUM(D7:D11)</f>
        <v>925597</v>
      </c>
      <c r="Z12" s="2" t="s">
        <v>339</v>
      </c>
    </row>
    <row r="13" spans="1:26" x14ac:dyDescent="0.25">
      <c r="B13" s="307" t="s">
        <v>340</v>
      </c>
      <c r="D13" s="34"/>
      <c r="I13" s="20"/>
      <c r="J13" s="20"/>
      <c r="K13" s="20"/>
      <c r="L13" s="20"/>
      <c r="M13" s="20"/>
      <c r="N13" s="20"/>
      <c r="O13" s="20"/>
      <c r="Z13" s="2" t="s">
        <v>341</v>
      </c>
    </row>
    <row r="14" spans="1:26" x14ac:dyDescent="0.25">
      <c r="B14" s="304" t="s">
        <v>342</v>
      </c>
      <c r="C14" s="20">
        <v>62820</v>
      </c>
      <c r="D14" s="70">
        <v>72828</v>
      </c>
      <c r="O14" s="20"/>
      <c r="Z14" s="2" t="s">
        <v>343</v>
      </c>
    </row>
    <row r="15" spans="1:26" x14ac:dyDescent="0.25">
      <c r="B15" s="304" t="s">
        <v>344</v>
      </c>
      <c r="C15" s="20">
        <v>44385</v>
      </c>
      <c r="D15" s="70">
        <v>52215</v>
      </c>
      <c r="U15" s="2" t="s">
        <v>345</v>
      </c>
    </row>
    <row r="16" spans="1:26" x14ac:dyDescent="0.25">
      <c r="B16" s="304" t="s">
        <v>346</v>
      </c>
      <c r="C16" s="20">
        <v>658247</v>
      </c>
      <c r="D16" s="70">
        <v>877838</v>
      </c>
    </row>
    <row r="17" spans="2:30" x14ac:dyDescent="0.25">
      <c r="B17" s="304" t="s">
        <v>347</v>
      </c>
      <c r="C17" s="20">
        <v>2983073</v>
      </c>
      <c r="D17" s="70">
        <v>2877674</v>
      </c>
      <c r="U17" s="2" t="s">
        <v>348</v>
      </c>
      <c r="Z17" s="2" t="s">
        <v>349</v>
      </c>
    </row>
    <row r="18" spans="2:30" x14ac:dyDescent="0.25">
      <c r="B18" s="304" t="s">
        <v>350</v>
      </c>
      <c r="C18" s="20">
        <v>27911</v>
      </c>
      <c r="D18" s="70">
        <v>142143</v>
      </c>
      <c r="Z18" s="2" t="s">
        <v>351</v>
      </c>
    </row>
    <row r="19" spans="2:30" x14ac:dyDescent="0.25">
      <c r="B19" s="305" t="s">
        <v>352</v>
      </c>
      <c r="C19" s="21">
        <f>SUM(C13:C18)+C12</f>
        <v>4314229</v>
      </c>
      <c r="D19" s="306">
        <f>SUM(D13:D18)+D12</f>
        <v>4948295</v>
      </c>
    </row>
    <row r="20" spans="2:30" x14ac:dyDescent="0.25">
      <c r="B20" s="29"/>
      <c r="D20" s="34"/>
    </row>
    <row r="21" spans="2:30" x14ac:dyDescent="0.25">
      <c r="B21" s="300" t="s">
        <v>353</v>
      </c>
      <c r="C21" s="301"/>
      <c r="D21" s="302"/>
    </row>
    <row r="22" spans="2:30" x14ac:dyDescent="0.25">
      <c r="B22" s="303" t="s">
        <v>354</v>
      </c>
      <c r="D22" s="34"/>
      <c r="Z22" s="12" t="s">
        <v>355</v>
      </c>
    </row>
    <row r="23" spans="2:30" x14ac:dyDescent="0.25">
      <c r="B23" s="304" t="s">
        <v>356</v>
      </c>
      <c r="C23" s="20">
        <v>-982845</v>
      </c>
      <c r="D23" s="70">
        <v>-1050851</v>
      </c>
      <c r="E23" s="2" t="s">
        <v>357</v>
      </c>
      <c r="U23" s="2" t="s">
        <v>358</v>
      </c>
      <c r="Z23" s="2" t="s">
        <v>359</v>
      </c>
    </row>
    <row r="24" spans="2:30" x14ac:dyDescent="0.25">
      <c r="B24" s="304" t="s">
        <v>360</v>
      </c>
      <c r="C24" s="20">
        <v>-12006</v>
      </c>
      <c r="D24" s="34">
        <v>0</v>
      </c>
      <c r="U24" s="20">
        <f>D23+D28</f>
        <v>-2409801</v>
      </c>
      <c r="Z24" s="2" t="s">
        <v>361</v>
      </c>
    </row>
    <row r="25" spans="2:30" x14ac:dyDescent="0.25">
      <c r="B25" s="304" t="s">
        <v>362</v>
      </c>
      <c r="C25" s="20">
        <v>-185355</v>
      </c>
      <c r="D25" s="70">
        <v>-256806</v>
      </c>
      <c r="F25" s="20">
        <f>-(C25*G5)</f>
        <v>90876.27885752033</v>
      </c>
      <c r="G25" s="20">
        <f>-(D25*H5)</f>
        <v>125638.90987570971</v>
      </c>
      <c r="U25" s="2">
        <f>U24/1000</f>
        <v>-2409.8009999999999</v>
      </c>
    </row>
    <row r="26" spans="2:30" x14ac:dyDescent="0.25">
      <c r="B26" s="29" t="s">
        <v>363</v>
      </c>
      <c r="C26" s="19">
        <f>SUM(C23:C25)</f>
        <v>-1180206</v>
      </c>
      <c r="D26" s="308">
        <f>SUM(D23:D25)</f>
        <v>-1307657</v>
      </c>
      <c r="U26" s="2">
        <f>-U25-832.9</f>
        <v>1576.9009999999998</v>
      </c>
      <c r="Z26" s="2" t="s">
        <v>364</v>
      </c>
      <c r="AA26" s="2">
        <v>2022</v>
      </c>
      <c r="AB26" s="2">
        <f>AA26+1</f>
        <v>2023</v>
      </c>
      <c r="AC26" s="2">
        <f t="shared" ref="AC26:AD26" si="0">AB26+1</f>
        <v>2024</v>
      </c>
      <c r="AD26" s="2">
        <f t="shared" si="0"/>
        <v>2025</v>
      </c>
    </row>
    <row r="27" spans="2:30" x14ac:dyDescent="0.25">
      <c r="B27" s="307" t="s">
        <v>365</v>
      </c>
      <c r="D27" s="34"/>
      <c r="AA27" s="2">
        <v>47</v>
      </c>
      <c r="AB27" s="2">
        <v>47</v>
      </c>
      <c r="AC27" s="2">
        <v>85</v>
      </c>
      <c r="AD27" s="2">
        <v>380</v>
      </c>
    </row>
    <row r="28" spans="2:30" x14ac:dyDescent="0.25">
      <c r="B28" s="304" t="s">
        <v>366</v>
      </c>
      <c r="C28" s="20">
        <v>-1367937</v>
      </c>
      <c r="D28" s="70">
        <v>-1358950</v>
      </c>
      <c r="U28" s="2" t="s">
        <v>367</v>
      </c>
    </row>
    <row r="29" spans="2:30" x14ac:dyDescent="0.25">
      <c r="B29" s="304" t="s">
        <v>368</v>
      </c>
      <c r="C29" s="20">
        <v>-135439</v>
      </c>
      <c r="D29" s="70">
        <v>-104937</v>
      </c>
    </row>
    <row r="30" spans="2:30" x14ac:dyDescent="0.25">
      <c r="B30" s="29" t="s">
        <v>369</v>
      </c>
      <c r="C30" s="19">
        <f>SUM(C28:C29)+C26</f>
        <v>-2683582</v>
      </c>
      <c r="D30" s="308">
        <f>SUM(D28:D29)+D26</f>
        <v>-2771544</v>
      </c>
    </row>
    <row r="31" spans="2:30" x14ac:dyDescent="0.25">
      <c r="B31" s="29"/>
      <c r="D31" s="34"/>
    </row>
    <row r="32" spans="2:30" x14ac:dyDescent="0.25">
      <c r="B32" s="300" t="s">
        <v>370</v>
      </c>
      <c r="C32" s="301"/>
      <c r="D32" s="302"/>
    </row>
    <row r="33" spans="2:4" x14ac:dyDescent="0.25">
      <c r="B33" s="29" t="s">
        <v>371</v>
      </c>
      <c r="C33" s="20">
        <v>-1292523</v>
      </c>
      <c r="D33" s="70">
        <v>-1729484</v>
      </c>
    </row>
    <row r="34" spans="2:4" x14ac:dyDescent="0.25">
      <c r="B34" s="29" t="s">
        <v>372</v>
      </c>
      <c r="C34" s="20">
        <v>-338124</v>
      </c>
      <c r="D34" s="70">
        <v>-447267</v>
      </c>
    </row>
    <row r="35" spans="2:4" x14ac:dyDescent="0.25">
      <c r="B35" s="29"/>
      <c r="D35" s="34"/>
    </row>
    <row r="36" spans="2:4" x14ac:dyDescent="0.25">
      <c r="B36" s="71" t="s">
        <v>373</v>
      </c>
      <c r="C36" s="309">
        <f>SUM(C33:C34)+C30</f>
        <v>-4314229</v>
      </c>
      <c r="D36" s="310">
        <f>SUM(D33:D34)+D30</f>
        <v>-4948295</v>
      </c>
    </row>
    <row r="39" spans="2:4" x14ac:dyDescent="0.25">
      <c r="B39" s="2" t="s">
        <v>374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7A97-CBC7-4173-991D-91D117886D5A}">
  <dimension ref="A2:H43"/>
  <sheetViews>
    <sheetView workbookViewId="0">
      <pane xSplit="1" ySplit="3" topLeftCell="B5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9.140625" defaultRowHeight="15" outlineLevelCol="1" x14ac:dyDescent="0.25"/>
  <cols>
    <col min="1" max="1" width="9.140625" style="2"/>
    <col min="2" max="2" width="91.42578125" style="2" bestFit="1" customWidth="1"/>
    <col min="3" max="3" width="9.7109375" style="2" bestFit="1" customWidth="1"/>
    <col min="4" max="5" width="9.140625" style="2" customWidth="1" outlineLevel="1"/>
    <col min="6" max="6" width="9.7109375" style="2" bestFit="1" customWidth="1"/>
    <col min="7" max="16384" width="9.140625" style="2"/>
  </cols>
  <sheetData>
    <row r="2" spans="1:8" ht="15.75" x14ac:dyDescent="0.25">
      <c r="B2" s="292" t="s">
        <v>419</v>
      </c>
      <c r="C2" s="293"/>
      <c r="D2" s="293"/>
      <c r="E2" s="293"/>
      <c r="F2" s="294"/>
    </row>
    <row r="3" spans="1:8" ht="15.75" x14ac:dyDescent="0.25">
      <c r="B3" s="311" t="s">
        <v>317</v>
      </c>
      <c r="C3" s="312" t="s">
        <v>314</v>
      </c>
      <c r="D3" s="312" t="s">
        <v>420</v>
      </c>
      <c r="E3" s="312" t="s">
        <v>421</v>
      </c>
      <c r="F3" s="313" t="s">
        <v>315</v>
      </c>
    </row>
    <row r="4" spans="1:8" ht="15.75" x14ac:dyDescent="0.25">
      <c r="B4" s="60"/>
      <c r="C4" s="298"/>
      <c r="D4" s="298"/>
      <c r="E4" s="298"/>
      <c r="F4" s="299"/>
      <c r="H4" s="2" t="s">
        <v>422</v>
      </c>
    </row>
    <row r="5" spans="1:8" x14ac:dyDescent="0.25">
      <c r="B5" s="314" t="s">
        <v>423</v>
      </c>
      <c r="C5" s="14">
        <v>191881</v>
      </c>
      <c r="D5" s="14">
        <v>45829</v>
      </c>
      <c r="E5" s="14">
        <v>52440</v>
      </c>
      <c r="F5" s="264">
        <v>202968</v>
      </c>
    </row>
    <row r="6" spans="1:8" x14ac:dyDescent="0.25">
      <c r="A6" s="65"/>
      <c r="B6" s="29" t="s">
        <v>424</v>
      </c>
      <c r="C6" s="315">
        <v>226061</v>
      </c>
      <c r="D6" s="315">
        <v>54480</v>
      </c>
      <c r="E6" s="315">
        <v>56406</v>
      </c>
      <c r="F6" s="316">
        <v>221020</v>
      </c>
    </row>
    <row r="7" spans="1:8" x14ac:dyDescent="0.25">
      <c r="B7" s="29" t="s">
        <v>425</v>
      </c>
      <c r="C7" s="315">
        <v>20695</v>
      </c>
      <c r="D7" s="315">
        <v>6294</v>
      </c>
      <c r="E7" s="315">
        <v>6202</v>
      </c>
      <c r="F7" s="316">
        <v>27777</v>
      </c>
    </row>
    <row r="8" spans="1:8" x14ac:dyDescent="0.25">
      <c r="B8" s="305" t="s">
        <v>426</v>
      </c>
      <c r="C8" s="15">
        <f>SUM(C5:C7)</f>
        <v>438637</v>
      </c>
      <c r="D8" s="13">
        <f t="shared" ref="D8:F8" si="0">SUM(D5:D7)</f>
        <v>106603</v>
      </c>
      <c r="E8" s="13">
        <f t="shared" si="0"/>
        <v>115048</v>
      </c>
      <c r="F8" s="317">
        <f t="shared" si="0"/>
        <v>451765</v>
      </c>
    </row>
    <row r="9" spans="1:8" x14ac:dyDescent="0.25">
      <c r="B9" s="29"/>
      <c r="C9" s="1"/>
      <c r="D9" s="315"/>
      <c r="E9" s="315"/>
      <c r="F9" s="316"/>
    </row>
    <row r="10" spans="1:8" x14ac:dyDescent="0.25">
      <c r="B10" s="29" t="s">
        <v>427</v>
      </c>
      <c r="C10" s="1">
        <v>-108926</v>
      </c>
      <c r="D10" s="315">
        <v>-31936</v>
      </c>
      <c r="E10" s="315">
        <v>-26260</v>
      </c>
      <c r="F10" s="316">
        <v>-120325</v>
      </c>
    </row>
    <row r="11" spans="1:8" x14ac:dyDescent="0.25">
      <c r="B11" s="29" t="s">
        <v>428</v>
      </c>
      <c r="C11" s="1">
        <v>-12634</v>
      </c>
      <c r="D11" s="315">
        <v>-1386</v>
      </c>
      <c r="E11" s="315">
        <v>342</v>
      </c>
      <c r="F11" s="316">
        <v>-10774</v>
      </c>
    </row>
    <row r="12" spans="1:8" x14ac:dyDescent="0.25">
      <c r="B12" s="29" t="s">
        <v>429</v>
      </c>
      <c r="C12" s="1">
        <v>-35311</v>
      </c>
      <c r="D12" s="315">
        <v>-8603</v>
      </c>
      <c r="E12" s="315">
        <v>-7950</v>
      </c>
      <c r="F12" s="316">
        <v>-35021</v>
      </c>
    </row>
    <row r="13" spans="1:8" x14ac:dyDescent="0.25">
      <c r="B13" s="29" t="s">
        <v>30</v>
      </c>
      <c r="C13" s="1">
        <v>-8891</v>
      </c>
      <c r="D13" s="315">
        <v>-1301</v>
      </c>
      <c r="E13" s="315">
        <v>-592</v>
      </c>
      <c r="F13" s="316">
        <v>-2787</v>
      </c>
    </row>
    <row r="14" spans="1:8" x14ac:dyDescent="0.25">
      <c r="B14" s="29" t="s">
        <v>430</v>
      </c>
      <c r="C14" s="315">
        <v>-107923</v>
      </c>
      <c r="D14" s="315">
        <v>-26489</v>
      </c>
      <c r="E14" s="315">
        <v>-26464</v>
      </c>
      <c r="F14" s="316">
        <v>-105952</v>
      </c>
    </row>
    <row r="15" spans="1:8" x14ac:dyDescent="0.25">
      <c r="B15" s="29" t="s">
        <v>431</v>
      </c>
      <c r="C15" s="13">
        <f>SUM(C10:C14)</f>
        <v>-273685</v>
      </c>
      <c r="D15" s="13">
        <f t="shared" ref="D15:F15" si="1">SUM(D10:D14)</f>
        <v>-69715</v>
      </c>
      <c r="E15" s="13">
        <f t="shared" si="1"/>
        <v>-60924</v>
      </c>
      <c r="F15" s="317">
        <f t="shared" si="1"/>
        <v>-274859</v>
      </c>
    </row>
    <row r="16" spans="1:8" x14ac:dyDescent="0.25">
      <c r="B16" s="29"/>
      <c r="C16" s="315"/>
      <c r="D16" s="315"/>
      <c r="E16" s="315"/>
      <c r="F16" s="316"/>
    </row>
    <row r="17" spans="2:6" x14ac:dyDescent="0.25">
      <c r="B17" s="305" t="s">
        <v>432</v>
      </c>
      <c r="C17" s="315"/>
      <c r="D17" s="315"/>
      <c r="E17" s="315"/>
      <c r="F17" s="316"/>
    </row>
    <row r="18" spans="2:6" x14ac:dyDescent="0.25">
      <c r="B18" s="29" t="s">
        <v>433</v>
      </c>
      <c r="C18" s="315">
        <v>-42561</v>
      </c>
      <c r="D18" s="315">
        <v>72954</v>
      </c>
      <c r="E18" s="315">
        <v>45879</v>
      </c>
      <c r="F18" s="316">
        <v>202998</v>
      </c>
    </row>
    <row r="19" spans="2:6" x14ac:dyDescent="0.25">
      <c r="B19" s="29" t="s">
        <v>434</v>
      </c>
      <c r="C19" s="315">
        <v>3262</v>
      </c>
      <c r="D19" s="315">
        <v>2250</v>
      </c>
      <c r="E19" s="315">
        <v>0</v>
      </c>
      <c r="F19" s="316">
        <v>5020</v>
      </c>
    </row>
    <row r="20" spans="2:6" x14ac:dyDescent="0.25">
      <c r="B20" s="305" t="s">
        <v>435</v>
      </c>
      <c r="C20" s="13">
        <f>SUM(C18:C19)</f>
        <v>-39299</v>
      </c>
      <c r="D20" s="13">
        <f t="shared" ref="D20:F20" si="2">SUM(D18:D19)</f>
        <v>75204</v>
      </c>
      <c r="E20" s="13">
        <f t="shared" si="2"/>
        <v>45879</v>
      </c>
      <c r="F20" s="317">
        <f t="shared" si="2"/>
        <v>208018</v>
      </c>
    </row>
    <row r="21" spans="2:6" x14ac:dyDescent="0.25">
      <c r="B21" s="29"/>
      <c r="C21" s="315"/>
      <c r="D21" s="315"/>
      <c r="E21" s="315"/>
      <c r="F21" s="316"/>
    </row>
    <row r="22" spans="2:6" x14ac:dyDescent="0.25">
      <c r="B22" s="305" t="s">
        <v>436</v>
      </c>
      <c r="C22" s="315">
        <f>C8+C15+C20</f>
        <v>125653</v>
      </c>
      <c r="D22" s="315">
        <f t="shared" ref="D22:E22" si="3">D8+D15+D20</f>
        <v>112092</v>
      </c>
      <c r="E22" s="315">
        <f t="shared" si="3"/>
        <v>100003</v>
      </c>
      <c r="F22" s="316">
        <f>F8+F15+F20</f>
        <v>384924</v>
      </c>
    </row>
    <row r="23" spans="2:6" x14ac:dyDescent="0.25">
      <c r="B23" s="29"/>
      <c r="C23" s="315"/>
      <c r="D23" s="315"/>
      <c r="E23" s="315"/>
      <c r="F23" s="316"/>
    </row>
    <row r="24" spans="2:6" x14ac:dyDescent="0.25">
      <c r="B24" s="305" t="s">
        <v>437</v>
      </c>
      <c r="C24" s="315">
        <v>5682</v>
      </c>
      <c r="D24" s="315">
        <v>-153791</v>
      </c>
      <c r="E24" s="315">
        <v>100003</v>
      </c>
      <c r="F24" s="316">
        <v>-361928</v>
      </c>
    </row>
    <row r="25" spans="2:6" x14ac:dyDescent="0.25">
      <c r="B25" s="29"/>
      <c r="C25" s="315"/>
      <c r="D25" s="315"/>
      <c r="E25" s="315"/>
      <c r="F25" s="316"/>
    </row>
    <row r="26" spans="2:6" x14ac:dyDescent="0.25">
      <c r="B26" s="305" t="s">
        <v>438</v>
      </c>
      <c r="C26" s="315"/>
      <c r="D26" s="315"/>
      <c r="E26" s="315"/>
      <c r="F26" s="316"/>
    </row>
    <row r="27" spans="2:6" x14ac:dyDescent="0.25">
      <c r="B27" s="29" t="s">
        <v>439</v>
      </c>
      <c r="C27" s="315">
        <v>1572</v>
      </c>
      <c r="D27" s="315">
        <v>6</v>
      </c>
      <c r="E27" s="315">
        <v>72</v>
      </c>
      <c r="F27" s="316">
        <v>139</v>
      </c>
    </row>
    <row r="28" spans="2:6" x14ac:dyDescent="0.25">
      <c r="B28" s="29" t="s">
        <v>440</v>
      </c>
      <c r="C28" s="315">
        <v>-69354</v>
      </c>
      <c r="D28" s="315">
        <v>-13763</v>
      </c>
      <c r="E28" s="315">
        <v>-13553</v>
      </c>
      <c r="F28" s="316">
        <v>-56329</v>
      </c>
    </row>
    <row r="29" spans="2:6" x14ac:dyDescent="0.25">
      <c r="B29" s="29" t="s">
        <v>441</v>
      </c>
      <c r="C29" s="315">
        <v>-52423</v>
      </c>
      <c r="D29" s="315">
        <v>581</v>
      </c>
      <c r="E29" s="315">
        <v>8950</v>
      </c>
      <c r="F29" s="316">
        <v>26013</v>
      </c>
    </row>
    <row r="30" spans="2:6" x14ac:dyDescent="0.25">
      <c r="B30" s="29" t="s">
        <v>442</v>
      </c>
      <c r="C30" s="315">
        <v>-1552</v>
      </c>
      <c r="D30" s="315">
        <v>227</v>
      </c>
      <c r="E30" s="315">
        <v>-1283</v>
      </c>
      <c r="F30" s="316">
        <v>-759</v>
      </c>
    </row>
    <row r="31" spans="2:6" x14ac:dyDescent="0.25">
      <c r="B31" s="29" t="s">
        <v>443</v>
      </c>
      <c r="C31" s="13">
        <f>SUM(C27:C30)</f>
        <v>-121757</v>
      </c>
      <c r="D31" s="13">
        <f t="shared" ref="D31:F31" si="4">SUM(D27:D30)</f>
        <v>-12949</v>
      </c>
      <c r="E31" s="13">
        <f t="shared" si="4"/>
        <v>-5814</v>
      </c>
      <c r="F31" s="317">
        <f t="shared" si="4"/>
        <v>-30936</v>
      </c>
    </row>
    <row r="32" spans="2:6" x14ac:dyDescent="0.25">
      <c r="B32" s="29"/>
      <c r="C32" s="315"/>
      <c r="D32" s="315"/>
      <c r="E32" s="315"/>
      <c r="F32" s="316"/>
    </row>
    <row r="33" spans="2:6" x14ac:dyDescent="0.25">
      <c r="B33" s="305" t="s">
        <v>444</v>
      </c>
      <c r="C33" s="315">
        <v>9578</v>
      </c>
      <c r="D33" s="315">
        <v>-54648</v>
      </c>
      <c r="E33" s="315">
        <v>44177</v>
      </c>
      <c r="F33" s="316">
        <v>-7940</v>
      </c>
    </row>
    <row r="34" spans="2:6" x14ac:dyDescent="0.25">
      <c r="B34" s="29" t="s">
        <v>445</v>
      </c>
      <c r="C34" s="315">
        <v>-981</v>
      </c>
      <c r="D34" s="315">
        <v>-152</v>
      </c>
      <c r="E34" s="315">
        <v>-1175</v>
      </c>
      <c r="F34" s="316">
        <v>-1740</v>
      </c>
    </row>
    <row r="35" spans="2:6" x14ac:dyDescent="0.25">
      <c r="B35" s="29" t="s">
        <v>446</v>
      </c>
      <c r="C35" s="315">
        <v>-538</v>
      </c>
      <c r="D35" s="315">
        <v>-718</v>
      </c>
      <c r="E35" s="315">
        <v>1641</v>
      </c>
      <c r="F35" s="316">
        <v>1080</v>
      </c>
    </row>
    <row r="36" spans="2:6" x14ac:dyDescent="0.25">
      <c r="B36" s="29" t="s">
        <v>447</v>
      </c>
      <c r="C36" s="315">
        <f>SUM(C33:C35)</f>
        <v>8059</v>
      </c>
      <c r="D36" s="315">
        <f t="shared" ref="D36:F36" si="5">SUM(D33:D35)</f>
        <v>-55518</v>
      </c>
      <c r="E36" s="315">
        <f t="shared" si="5"/>
        <v>44643</v>
      </c>
      <c r="F36" s="316">
        <f t="shared" si="5"/>
        <v>-8600</v>
      </c>
    </row>
    <row r="37" spans="2:6" x14ac:dyDescent="0.25">
      <c r="B37" s="29"/>
      <c r="C37" s="315"/>
      <c r="D37" s="315"/>
      <c r="E37" s="315"/>
      <c r="F37" s="316"/>
    </row>
    <row r="38" spans="2:6" x14ac:dyDescent="0.25">
      <c r="B38" s="29" t="s">
        <v>448</v>
      </c>
      <c r="C38" s="315">
        <v>-175989</v>
      </c>
      <c r="D38" s="315">
        <v>-117</v>
      </c>
      <c r="E38" s="315">
        <v>2</v>
      </c>
      <c r="F38" s="316">
        <v>568049</v>
      </c>
    </row>
    <row r="39" spans="2:6" x14ac:dyDescent="0.25">
      <c r="B39" s="29"/>
      <c r="C39" s="315"/>
      <c r="D39" s="315"/>
      <c r="E39" s="315"/>
      <c r="F39" s="316"/>
    </row>
    <row r="40" spans="2:6" x14ac:dyDescent="0.25">
      <c r="B40" s="29" t="s">
        <v>449</v>
      </c>
      <c r="C40" s="315">
        <f>C36+C38</f>
        <v>-167930</v>
      </c>
      <c r="D40" s="315">
        <f t="shared" ref="D40:F40" si="6">D36+D38</f>
        <v>-55635</v>
      </c>
      <c r="E40" s="315">
        <f t="shared" si="6"/>
        <v>44645</v>
      </c>
      <c r="F40" s="316">
        <f t="shared" si="6"/>
        <v>559449</v>
      </c>
    </row>
    <row r="41" spans="2:6" x14ac:dyDescent="0.25">
      <c r="B41" s="29" t="s">
        <v>450</v>
      </c>
      <c r="C41" s="315">
        <v>-105627</v>
      </c>
      <c r="D41" s="315">
        <v>-35320</v>
      </c>
      <c r="E41" s="315">
        <v>-37802</v>
      </c>
      <c r="F41" s="316">
        <v>-146764</v>
      </c>
    </row>
    <row r="42" spans="2:6" x14ac:dyDescent="0.25">
      <c r="B42" s="29"/>
      <c r="C42" s="315"/>
      <c r="D42" s="315"/>
      <c r="E42" s="315"/>
      <c r="F42" s="316"/>
    </row>
    <row r="43" spans="2:6" x14ac:dyDescent="0.25">
      <c r="B43" s="71" t="s">
        <v>451</v>
      </c>
      <c r="C43" s="318">
        <f>SUM(C40:C41)</f>
        <v>-273557</v>
      </c>
      <c r="D43" s="318">
        <f t="shared" ref="D43:F43" si="7">SUM(D40:D41)</f>
        <v>-90955</v>
      </c>
      <c r="E43" s="318">
        <f t="shared" si="7"/>
        <v>6843</v>
      </c>
      <c r="F43" s="319">
        <f t="shared" si="7"/>
        <v>412685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AC599-78F9-421A-BA07-9C5B8DDAB8BE}">
  <dimension ref="B2:H55"/>
  <sheetViews>
    <sheetView workbookViewId="0">
      <pane xSplit="1" ySplit="4" topLeftCell="B20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.140625" defaultRowHeight="15" outlineLevelCol="1" x14ac:dyDescent="0.25"/>
  <cols>
    <col min="1" max="1" width="9.140625" style="2"/>
    <col min="2" max="2" width="80.7109375" style="2" bestFit="1" customWidth="1"/>
    <col min="3" max="3" width="9.140625" style="2"/>
    <col min="4" max="5" width="9.140625" style="2" hidden="1" customWidth="1" outlineLevel="1"/>
    <col min="6" max="6" width="9.140625" style="2" collapsed="1"/>
    <col min="7" max="16384" width="9.140625" style="2"/>
  </cols>
  <sheetData>
    <row r="2" spans="2:8" ht="15.75" x14ac:dyDescent="0.25">
      <c r="B2" s="292" t="s">
        <v>452</v>
      </c>
      <c r="C2" s="293"/>
      <c r="D2" s="293"/>
      <c r="E2" s="293"/>
      <c r="F2" s="294"/>
    </row>
    <row r="3" spans="2:8" ht="15.75" x14ac:dyDescent="0.25">
      <c r="B3" s="311" t="s">
        <v>0</v>
      </c>
      <c r="C3" s="312" t="s">
        <v>314</v>
      </c>
      <c r="D3" s="312" t="s">
        <v>420</v>
      </c>
      <c r="E3" s="312" t="s">
        <v>421</v>
      </c>
      <c r="F3" s="313" t="s">
        <v>315</v>
      </c>
    </row>
    <row r="4" spans="2:8" ht="15.75" x14ac:dyDescent="0.25">
      <c r="B4" s="60" t="s">
        <v>453</v>
      </c>
      <c r="C4" s="298"/>
      <c r="D4" s="298"/>
      <c r="E4" s="298"/>
      <c r="F4" s="34"/>
    </row>
    <row r="5" spans="2:8" x14ac:dyDescent="0.25">
      <c r="B5" s="320" t="s">
        <v>449</v>
      </c>
      <c r="C5" s="321">
        <v>-167930</v>
      </c>
      <c r="D5" s="321">
        <v>-55635</v>
      </c>
      <c r="E5" s="321">
        <v>44645</v>
      </c>
      <c r="F5" s="70">
        <v>559449</v>
      </c>
    </row>
    <row r="6" spans="2:8" x14ac:dyDescent="0.25">
      <c r="B6" s="29" t="s">
        <v>454</v>
      </c>
      <c r="F6" s="34"/>
    </row>
    <row r="7" spans="2:8" x14ac:dyDescent="0.25">
      <c r="B7" s="322" t="s">
        <v>430</v>
      </c>
      <c r="C7" s="20">
        <v>107923</v>
      </c>
      <c r="D7" s="20">
        <v>26489</v>
      </c>
      <c r="E7" s="20">
        <v>26464</v>
      </c>
      <c r="F7" s="70">
        <v>105952</v>
      </c>
    </row>
    <row r="8" spans="2:8" x14ac:dyDescent="0.25">
      <c r="B8" s="322" t="s">
        <v>455</v>
      </c>
      <c r="C8" s="20">
        <v>3890</v>
      </c>
      <c r="D8" s="2">
        <v>692</v>
      </c>
      <c r="E8" s="20">
        <v>1046</v>
      </c>
      <c r="F8" s="70">
        <v>3049</v>
      </c>
    </row>
    <row r="9" spans="2:8" x14ac:dyDescent="0.25">
      <c r="B9" s="322" t="s">
        <v>456</v>
      </c>
      <c r="C9" s="20">
        <v>-5682</v>
      </c>
      <c r="D9" s="2">
        <v>0</v>
      </c>
      <c r="E9" s="2">
        <v>0</v>
      </c>
      <c r="F9" s="34">
        <v>0</v>
      </c>
    </row>
    <row r="10" spans="2:8" x14ac:dyDescent="0.25">
      <c r="B10" s="322" t="s">
        <v>457</v>
      </c>
      <c r="C10" s="20">
        <v>-4809</v>
      </c>
      <c r="D10" s="2">
        <v>0</v>
      </c>
      <c r="E10" s="20">
        <v>-25888</v>
      </c>
      <c r="F10" s="70">
        <v>-25888</v>
      </c>
    </row>
    <row r="11" spans="2:8" x14ac:dyDescent="0.25">
      <c r="B11" s="322" t="s">
        <v>458</v>
      </c>
      <c r="C11" s="2">
        <v>538</v>
      </c>
      <c r="D11" s="2">
        <v>718</v>
      </c>
      <c r="E11" s="20">
        <v>-1641</v>
      </c>
      <c r="F11" s="70">
        <v>-1080</v>
      </c>
    </row>
    <row r="12" spans="2:8" x14ac:dyDescent="0.25">
      <c r="B12" s="322" t="s">
        <v>459</v>
      </c>
      <c r="C12" s="20">
        <v>175989</v>
      </c>
      <c r="D12" s="2">
        <v>117</v>
      </c>
      <c r="E12" s="2">
        <v>2</v>
      </c>
      <c r="F12" s="70">
        <v>-568045</v>
      </c>
    </row>
    <row r="13" spans="2:8" x14ac:dyDescent="0.25">
      <c r="B13" s="322" t="s">
        <v>460</v>
      </c>
      <c r="C13" s="20">
        <v>-10622</v>
      </c>
      <c r="D13" s="2">
        <v>0</v>
      </c>
      <c r="E13" s="2">
        <v>0</v>
      </c>
      <c r="F13" s="70">
        <v>-1591</v>
      </c>
    </row>
    <row r="14" spans="2:8" x14ac:dyDescent="0.25">
      <c r="B14" s="322" t="s">
        <v>461</v>
      </c>
      <c r="C14" s="20">
        <v>5421</v>
      </c>
      <c r="D14" s="20">
        <v>1141</v>
      </c>
      <c r="E14" s="20">
        <v>498</v>
      </c>
      <c r="F14" s="70">
        <v>3520</v>
      </c>
      <c r="H14" s="2" t="s">
        <v>462</v>
      </c>
    </row>
    <row r="15" spans="2:8" x14ac:dyDescent="0.25">
      <c r="B15" s="322" t="s">
        <v>463</v>
      </c>
      <c r="C15" s="20">
        <v>3221</v>
      </c>
      <c r="D15" s="2">
        <v>187</v>
      </c>
      <c r="E15" s="2">
        <v>-348</v>
      </c>
      <c r="F15" s="34">
        <v>466</v>
      </c>
    </row>
    <row r="16" spans="2:8" x14ac:dyDescent="0.25">
      <c r="B16" s="322" t="s">
        <v>464</v>
      </c>
      <c r="C16" s="2">
        <v>0</v>
      </c>
      <c r="D16" s="20">
        <v>157546</v>
      </c>
      <c r="E16" s="20">
        <v>51566</v>
      </c>
      <c r="F16" s="70">
        <v>295776</v>
      </c>
    </row>
    <row r="17" spans="2:6" x14ac:dyDescent="0.25">
      <c r="B17" s="322" t="s">
        <v>465</v>
      </c>
      <c r="C17" s="20">
        <v>46208</v>
      </c>
      <c r="D17" s="20">
        <v>-1753</v>
      </c>
      <c r="E17" s="20">
        <v>-8459</v>
      </c>
      <c r="F17" s="70">
        <v>-27016</v>
      </c>
    </row>
    <row r="18" spans="2:6" x14ac:dyDescent="0.25">
      <c r="B18" s="322" t="s">
        <v>466</v>
      </c>
      <c r="C18" s="20">
        <v>45100</v>
      </c>
      <c r="D18" s="20">
        <v>-64092</v>
      </c>
      <c r="E18" s="20">
        <v>-34609</v>
      </c>
      <c r="F18" s="70">
        <v>-179891</v>
      </c>
    </row>
    <row r="19" spans="2:6" x14ac:dyDescent="0.25">
      <c r="B19" s="323" t="s">
        <v>467</v>
      </c>
      <c r="F19" s="34"/>
    </row>
    <row r="20" spans="2:6" x14ac:dyDescent="0.25">
      <c r="B20" s="322" t="s">
        <v>468</v>
      </c>
      <c r="C20" s="20">
        <v>-4178</v>
      </c>
      <c r="D20" s="20">
        <v>-3639</v>
      </c>
      <c r="E20" s="20">
        <v>-1151</v>
      </c>
      <c r="F20" s="70">
        <v>-1247</v>
      </c>
    </row>
    <row r="21" spans="2:6" x14ac:dyDescent="0.25">
      <c r="B21" s="322" t="s">
        <v>469</v>
      </c>
      <c r="C21" s="2">
        <v>-305</v>
      </c>
      <c r="D21" s="2">
        <v>117</v>
      </c>
      <c r="E21" s="2">
        <v>542</v>
      </c>
      <c r="F21" s="34">
        <v>998</v>
      </c>
    </row>
    <row r="22" spans="2:6" x14ac:dyDescent="0.25">
      <c r="B22" s="322" t="s">
        <v>470</v>
      </c>
      <c r="C22" s="20">
        <v>-15822</v>
      </c>
      <c r="D22" s="20">
        <v>-3697</v>
      </c>
      <c r="E22" s="20">
        <v>-3479</v>
      </c>
      <c r="F22" s="34">
        <v>978</v>
      </c>
    </row>
    <row r="23" spans="2:6" x14ac:dyDescent="0.25">
      <c r="B23" s="322" t="s">
        <v>471</v>
      </c>
      <c r="C23" s="20">
        <v>11632</v>
      </c>
      <c r="D23" s="2">
        <v>-112</v>
      </c>
      <c r="E23" s="2">
        <v>-150</v>
      </c>
      <c r="F23" s="70">
        <v>-9419</v>
      </c>
    </row>
    <row r="24" spans="2:6" x14ac:dyDescent="0.25">
      <c r="B24" s="322" t="s">
        <v>472</v>
      </c>
      <c r="C24" s="20">
        <v>3832</v>
      </c>
      <c r="D24" s="20">
        <v>2269</v>
      </c>
      <c r="E24" s="20">
        <v>1145</v>
      </c>
      <c r="F24" s="34">
        <v>857</v>
      </c>
    </row>
    <row r="25" spans="2:6" x14ac:dyDescent="0.25">
      <c r="B25" s="322" t="s">
        <v>473</v>
      </c>
      <c r="C25" s="20">
        <v>3769</v>
      </c>
      <c r="D25" s="20">
        <v>4755</v>
      </c>
      <c r="E25" s="20">
        <v>8041</v>
      </c>
      <c r="F25" s="70">
        <v>8118</v>
      </c>
    </row>
    <row r="26" spans="2:6" ht="15.75" thickBot="1" x14ac:dyDescent="0.3">
      <c r="B26" s="322" t="s">
        <v>474</v>
      </c>
      <c r="C26" s="20">
        <v>-52392</v>
      </c>
      <c r="D26" s="20">
        <v>-6667</v>
      </c>
      <c r="E26" s="20">
        <v>2695</v>
      </c>
      <c r="F26" s="70">
        <v>65019</v>
      </c>
    </row>
    <row r="27" spans="2:6" ht="15.75" thickBot="1" x14ac:dyDescent="0.3">
      <c r="B27" s="324" t="s">
        <v>475</v>
      </c>
      <c r="C27" s="325">
        <f>C5+SUM(C7:C26)</f>
        <v>145783</v>
      </c>
      <c r="D27" s="325">
        <f t="shared" ref="D27:F27" si="0">D5+SUM(D7:D26)</f>
        <v>58436</v>
      </c>
      <c r="E27" s="325">
        <f t="shared" si="0"/>
        <v>60919</v>
      </c>
      <c r="F27" s="326">
        <f t="shared" si="0"/>
        <v>230005</v>
      </c>
    </row>
    <row r="28" spans="2:6" x14ac:dyDescent="0.25">
      <c r="B28" s="305" t="s">
        <v>476</v>
      </c>
      <c r="F28" s="34"/>
    </row>
    <row r="29" spans="2:6" x14ac:dyDescent="0.25">
      <c r="B29" s="304" t="s">
        <v>477</v>
      </c>
      <c r="C29" s="20">
        <v>-3880</v>
      </c>
      <c r="D29" s="2" t="s">
        <v>478</v>
      </c>
      <c r="E29" s="2" t="s">
        <v>478</v>
      </c>
      <c r="F29" s="34">
        <v>-925</v>
      </c>
    </row>
    <row r="30" spans="2:6" x14ac:dyDescent="0.25">
      <c r="B30" s="304" t="s">
        <v>479</v>
      </c>
      <c r="C30" s="20">
        <v>-298304</v>
      </c>
      <c r="D30" s="20">
        <v>-14913</v>
      </c>
      <c r="E30" s="20">
        <v>-30176</v>
      </c>
      <c r="F30" s="70">
        <v>-213481</v>
      </c>
    </row>
    <row r="31" spans="2:6" x14ac:dyDescent="0.25">
      <c r="B31" s="304" t="s">
        <v>480</v>
      </c>
      <c r="C31" s="20">
        <v>-10230</v>
      </c>
      <c r="D31" s="2" t="s">
        <v>478</v>
      </c>
      <c r="E31" s="2" t="s">
        <v>478</v>
      </c>
      <c r="F31" s="70">
        <v>-8625</v>
      </c>
    </row>
    <row r="32" spans="2:6" x14ac:dyDescent="0.25">
      <c r="B32" s="304" t="s">
        <v>481</v>
      </c>
      <c r="C32" s="20">
        <v>11081</v>
      </c>
      <c r="D32" s="20">
        <v>4060</v>
      </c>
      <c r="E32" s="20">
        <v>8531</v>
      </c>
      <c r="F32" s="70">
        <v>25403</v>
      </c>
    </row>
    <row r="33" spans="2:6" x14ac:dyDescent="0.25">
      <c r="B33" s="304" t="s">
        <v>482</v>
      </c>
      <c r="C33" s="2" t="s">
        <v>478</v>
      </c>
      <c r="D33" s="20">
        <v>3725</v>
      </c>
      <c r="E33" s="20">
        <v>1304</v>
      </c>
      <c r="F33" s="70">
        <v>5029</v>
      </c>
    </row>
    <row r="34" spans="2:6" x14ac:dyDescent="0.25">
      <c r="B34" s="304" t="s">
        <v>483</v>
      </c>
      <c r="C34" s="20">
        <v>190131</v>
      </c>
      <c r="D34" s="2" t="s">
        <v>478</v>
      </c>
      <c r="E34" s="2" t="s">
        <v>478</v>
      </c>
      <c r="F34" s="34" t="s">
        <v>478</v>
      </c>
    </row>
    <row r="35" spans="2:6" ht="15.75" thickBot="1" x14ac:dyDescent="0.3">
      <c r="B35" s="304" t="s">
        <v>484</v>
      </c>
      <c r="C35" s="2" t="s">
        <v>478</v>
      </c>
      <c r="D35" s="2" t="s">
        <v>478</v>
      </c>
      <c r="E35" s="20">
        <v>-1750</v>
      </c>
      <c r="F35" s="70">
        <v>-1750</v>
      </c>
    </row>
    <row r="36" spans="2:6" ht="15.75" thickBot="1" x14ac:dyDescent="0.3">
      <c r="B36" s="324" t="s">
        <v>485</v>
      </c>
      <c r="C36" s="325">
        <f>SUM(C29:C35)</f>
        <v>-111202</v>
      </c>
      <c r="D36" s="325">
        <f t="shared" ref="D36:F36" si="1">SUM(D29:D35)</f>
        <v>-7128</v>
      </c>
      <c r="E36" s="325">
        <f t="shared" si="1"/>
        <v>-22091</v>
      </c>
      <c r="F36" s="326">
        <f t="shared" si="1"/>
        <v>-194349</v>
      </c>
    </row>
    <row r="37" spans="2:6" x14ac:dyDescent="0.25">
      <c r="B37" s="304" t="s">
        <v>480</v>
      </c>
      <c r="C37" s="20">
        <v>-2410</v>
      </c>
      <c r="D37" s="2">
        <v>0</v>
      </c>
      <c r="E37" s="2">
        <v>0</v>
      </c>
      <c r="F37" s="34">
        <v>0</v>
      </c>
    </row>
    <row r="38" spans="2:6" x14ac:dyDescent="0.25">
      <c r="B38" s="304" t="s">
        <v>486</v>
      </c>
      <c r="C38" s="20">
        <v>10584</v>
      </c>
      <c r="D38" s="2">
        <v>0</v>
      </c>
      <c r="E38" s="2">
        <v>0</v>
      </c>
      <c r="F38" s="34">
        <v>460</v>
      </c>
    </row>
    <row r="39" spans="2:6" x14ac:dyDescent="0.25">
      <c r="B39" s="304" t="s">
        <v>487</v>
      </c>
      <c r="C39" s="2">
        <v>0</v>
      </c>
      <c r="D39" s="20">
        <v>-2043</v>
      </c>
      <c r="E39" s="2">
        <v>-25</v>
      </c>
      <c r="F39" s="70">
        <v>119535</v>
      </c>
    </row>
    <row r="40" spans="2:6" x14ac:dyDescent="0.25">
      <c r="B40" s="304" t="s">
        <v>484</v>
      </c>
      <c r="C40" s="20">
        <v>-45000</v>
      </c>
      <c r="D40" s="2">
        <v>0</v>
      </c>
      <c r="E40" s="2">
        <v>0</v>
      </c>
      <c r="F40" s="34">
        <v>0</v>
      </c>
    </row>
    <row r="41" spans="2:6" ht="15.75" thickBot="1" x14ac:dyDescent="0.3">
      <c r="B41" s="304" t="s">
        <v>488</v>
      </c>
      <c r="C41" s="20">
        <v>45000</v>
      </c>
      <c r="D41" s="2">
        <v>0</v>
      </c>
      <c r="E41" s="2">
        <v>0</v>
      </c>
      <c r="F41" s="34">
        <v>0</v>
      </c>
    </row>
    <row r="42" spans="2:6" ht="15.75" thickBot="1" x14ac:dyDescent="0.3">
      <c r="B42" s="324" t="s">
        <v>489</v>
      </c>
      <c r="C42" s="325">
        <f>SUM(C37:C41)</f>
        <v>8174</v>
      </c>
      <c r="D42" s="325">
        <f t="shared" ref="D42:F42" si="2">SUM(D37:D41)</f>
        <v>-2043</v>
      </c>
      <c r="E42" s="325">
        <f t="shared" si="2"/>
        <v>-25</v>
      </c>
      <c r="F42" s="326">
        <f t="shared" si="2"/>
        <v>119995</v>
      </c>
    </row>
    <row r="43" spans="2:6" x14ac:dyDescent="0.25">
      <c r="B43" s="305" t="s">
        <v>490</v>
      </c>
      <c r="F43" s="34"/>
    </row>
    <row r="44" spans="2:6" x14ac:dyDescent="0.25">
      <c r="B44" s="304" t="s">
        <v>491</v>
      </c>
      <c r="C44" s="20">
        <v>729707</v>
      </c>
      <c r="D44" s="20">
        <v>1557</v>
      </c>
      <c r="E44" s="20">
        <v>457348</v>
      </c>
      <c r="F44" s="70">
        <v>580268</v>
      </c>
    </row>
    <row r="45" spans="2:6" x14ac:dyDescent="0.25">
      <c r="B45" s="304" t="s">
        <v>492</v>
      </c>
      <c r="C45" s="20">
        <v>-934534</v>
      </c>
      <c r="D45" s="20">
        <v>-105278</v>
      </c>
      <c r="E45" s="20">
        <v>-325129</v>
      </c>
      <c r="F45" s="70">
        <v>-533379</v>
      </c>
    </row>
    <row r="46" spans="2:6" x14ac:dyDescent="0.25">
      <c r="B46" s="304" t="s">
        <v>493</v>
      </c>
      <c r="C46" s="20">
        <v>99831</v>
      </c>
      <c r="D46" s="2">
        <v>0</v>
      </c>
      <c r="E46" s="2">
        <v>0</v>
      </c>
      <c r="F46" s="34">
        <v>0</v>
      </c>
    </row>
    <row r="47" spans="2:6" x14ac:dyDescent="0.25">
      <c r="B47" s="304" t="s">
        <v>494</v>
      </c>
      <c r="C47" s="20">
        <v>-26072</v>
      </c>
      <c r="D47" s="20">
        <v>-7735</v>
      </c>
      <c r="E47" s="20">
        <v>-8699</v>
      </c>
      <c r="F47" s="70">
        <v>-33136</v>
      </c>
    </row>
    <row r="48" spans="2:6" x14ac:dyDescent="0.25">
      <c r="B48" s="304" t="s">
        <v>495</v>
      </c>
      <c r="C48" s="20">
        <v>-14577</v>
      </c>
      <c r="D48" s="20">
        <v>-1523</v>
      </c>
      <c r="E48" s="20">
        <v>-11701</v>
      </c>
      <c r="F48" s="70">
        <v>-17000</v>
      </c>
    </row>
    <row r="49" spans="2:6" ht="15.75" thickBot="1" x14ac:dyDescent="0.3">
      <c r="B49" s="304" t="s">
        <v>496</v>
      </c>
      <c r="C49" s="20">
        <v>-16650</v>
      </c>
      <c r="D49" s="20">
        <v>-6656</v>
      </c>
      <c r="E49" s="2">
        <v>0</v>
      </c>
      <c r="F49" s="70">
        <v>-24484</v>
      </c>
    </row>
    <row r="50" spans="2:6" ht="15.75" thickBot="1" x14ac:dyDescent="0.3">
      <c r="B50" s="324" t="s">
        <v>497</v>
      </c>
      <c r="C50" s="325">
        <f>SUM(C44:C49)</f>
        <v>-162295</v>
      </c>
      <c r="D50" s="325">
        <f t="shared" ref="D50:F50" si="3">SUM(D44:D49)</f>
        <v>-119635</v>
      </c>
      <c r="E50" s="325">
        <f t="shared" si="3"/>
        <v>111819</v>
      </c>
      <c r="F50" s="326">
        <f t="shared" si="3"/>
        <v>-27731</v>
      </c>
    </row>
    <row r="51" spans="2:6" x14ac:dyDescent="0.25">
      <c r="B51" s="29"/>
      <c r="F51" s="34"/>
    </row>
    <row r="52" spans="2:6" x14ac:dyDescent="0.25">
      <c r="B52" s="327" t="s">
        <v>498</v>
      </c>
      <c r="C52" s="328">
        <f>C27+C36+C42+C50</f>
        <v>-119540</v>
      </c>
      <c r="D52" s="328">
        <f t="shared" ref="D52:F52" si="4">D27+D36+D42+D50</f>
        <v>-70370</v>
      </c>
      <c r="E52" s="328">
        <f t="shared" si="4"/>
        <v>150622</v>
      </c>
      <c r="F52" s="329">
        <f t="shared" si="4"/>
        <v>127920</v>
      </c>
    </row>
    <row r="54" spans="2:6" x14ac:dyDescent="0.25">
      <c r="B54" s="2" t="s">
        <v>499</v>
      </c>
      <c r="C54" s="20">
        <v>410412</v>
      </c>
    </row>
    <row r="55" spans="2:6" x14ac:dyDescent="0.25">
      <c r="B55" s="2" t="s">
        <v>500</v>
      </c>
      <c r="C55" s="20">
        <f>C54+C52</f>
        <v>290872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AFE22-3EEB-424C-8DB6-10771AD6757C}">
  <dimension ref="A1:B1346"/>
  <sheetViews>
    <sheetView showGridLines="0" workbookViewId="0">
      <selection activeCell="F24" sqref="F24"/>
    </sheetView>
  </sheetViews>
  <sheetFormatPr defaultRowHeight="15" x14ac:dyDescent="0.25"/>
  <cols>
    <col min="1" max="1" width="10.7109375" bestFit="1" customWidth="1"/>
    <col min="2" max="2" width="24.5703125" bestFit="1" customWidth="1"/>
    <col min="3" max="3" width="19.28515625" bestFit="1" customWidth="1"/>
  </cols>
  <sheetData>
    <row r="1" spans="1:2" x14ac:dyDescent="0.25">
      <c r="A1" t="s">
        <v>396</v>
      </c>
      <c r="B1" t="s">
        <v>397</v>
      </c>
    </row>
    <row r="2" spans="1:2" x14ac:dyDescent="0.25">
      <c r="A2" s="201">
        <v>44678</v>
      </c>
      <c r="B2">
        <v>107000</v>
      </c>
    </row>
    <row r="3" spans="1:2" x14ac:dyDescent="0.25">
      <c r="A3" s="201">
        <v>44677</v>
      </c>
    </row>
    <row r="4" spans="1:2" x14ac:dyDescent="0.25">
      <c r="A4" s="201">
        <v>44676</v>
      </c>
    </row>
    <row r="5" spans="1:2" x14ac:dyDescent="0.25">
      <c r="A5" s="201">
        <v>44673</v>
      </c>
    </row>
    <row r="6" spans="1:2" x14ac:dyDescent="0.25">
      <c r="A6" s="201">
        <v>44672</v>
      </c>
    </row>
    <row r="7" spans="1:2" x14ac:dyDescent="0.25">
      <c r="A7" s="201">
        <v>44671</v>
      </c>
      <c r="B7">
        <v>105000</v>
      </c>
    </row>
    <row r="8" spans="1:2" x14ac:dyDescent="0.25">
      <c r="A8" s="201">
        <v>44670</v>
      </c>
    </row>
    <row r="9" spans="1:2" x14ac:dyDescent="0.25">
      <c r="A9" s="201">
        <v>44669</v>
      </c>
    </row>
    <row r="10" spans="1:2" x14ac:dyDescent="0.25">
      <c r="A10" s="201">
        <v>44665</v>
      </c>
    </row>
    <row r="11" spans="1:2" x14ac:dyDescent="0.25">
      <c r="A11" s="201">
        <v>44664</v>
      </c>
      <c r="B11">
        <v>105000</v>
      </c>
    </row>
    <row r="12" spans="1:2" x14ac:dyDescent="0.25">
      <c r="A12" s="201">
        <v>44663</v>
      </c>
    </row>
    <row r="13" spans="1:2" x14ac:dyDescent="0.25">
      <c r="A13" s="201">
        <v>44662</v>
      </c>
    </row>
    <row r="14" spans="1:2" x14ac:dyDescent="0.25">
      <c r="A14" s="201">
        <v>44659</v>
      </c>
    </row>
    <row r="15" spans="1:2" x14ac:dyDescent="0.25">
      <c r="A15" s="201">
        <v>44658</v>
      </c>
    </row>
    <row r="16" spans="1:2" x14ac:dyDescent="0.25">
      <c r="A16" s="201">
        <v>44657</v>
      </c>
      <c r="B16">
        <v>102500</v>
      </c>
    </row>
    <row r="17" spans="1:2" x14ac:dyDescent="0.25">
      <c r="A17" s="201">
        <v>44656</v>
      </c>
    </row>
    <row r="18" spans="1:2" x14ac:dyDescent="0.25">
      <c r="A18" s="201">
        <v>44655</v>
      </c>
    </row>
    <row r="19" spans="1:2" x14ac:dyDescent="0.25">
      <c r="A19" s="201">
        <v>44652</v>
      </c>
    </row>
    <row r="20" spans="1:2" x14ac:dyDescent="0.25">
      <c r="A20" s="201">
        <v>44651</v>
      </c>
    </row>
    <row r="21" spans="1:2" x14ac:dyDescent="0.25">
      <c r="A21" s="201">
        <v>44650</v>
      </c>
      <c r="B21">
        <v>102500</v>
      </c>
    </row>
    <row r="22" spans="1:2" x14ac:dyDescent="0.25">
      <c r="A22" s="201">
        <v>44649</v>
      </c>
    </row>
    <row r="23" spans="1:2" x14ac:dyDescent="0.25">
      <c r="A23" s="201">
        <v>44648</v>
      </c>
    </row>
    <row r="24" spans="1:2" x14ac:dyDescent="0.25">
      <c r="A24" s="201">
        <v>44645</v>
      </c>
    </row>
    <row r="25" spans="1:2" x14ac:dyDescent="0.25">
      <c r="A25" s="201">
        <v>44644</v>
      </c>
    </row>
    <row r="26" spans="1:2" x14ac:dyDescent="0.25">
      <c r="A26" s="201">
        <v>44643</v>
      </c>
      <c r="B26">
        <v>102500</v>
      </c>
    </row>
    <row r="27" spans="1:2" x14ac:dyDescent="0.25">
      <c r="A27" s="201">
        <v>44642</v>
      </c>
    </row>
    <row r="28" spans="1:2" x14ac:dyDescent="0.25">
      <c r="A28" s="201">
        <v>44641</v>
      </c>
    </row>
    <row r="29" spans="1:2" x14ac:dyDescent="0.25">
      <c r="A29" s="201">
        <v>44638</v>
      </c>
    </row>
    <row r="30" spans="1:2" x14ac:dyDescent="0.25">
      <c r="A30" s="201">
        <v>44637</v>
      </c>
    </row>
    <row r="31" spans="1:2" x14ac:dyDescent="0.25">
      <c r="A31" s="201">
        <v>44636</v>
      </c>
      <c r="B31">
        <v>99000</v>
      </c>
    </row>
    <row r="32" spans="1:2" x14ac:dyDescent="0.25">
      <c r="A32" s="201">
        <v>44635</v>
      </c>
    </row>
    <row r="33" spans="1:2" x14ac:dyDescent="0.25">
      <c r="A33" s="201">
        <v>44634</v>
      </c>
    </row>
    <row r="34" spans="1:2" x14ac:dyDescent="0.25">
      <c r="A34" s="201">
        <v>44631</v>
      </c>
    </row>
    <row r="35" spans="1:2" x14ac:dyDescent="0.25">
      <c r="A35" s="201">
        <v>44630</v>
      </c>
    </row>
    <row r="36" spans="1:2" x14ac:dyDescent="0.25">
      <c r="A36" s="201">
        <v>44629</v>
      </c>
      <c r="B36">
        <v>100000</v>
      </c>
    </row>
    <row r="37" spans="1:2" x14ac:dyDescent="0.25">
      <c r="A37" s="201">
        <v>44628</v>
      </c>
    </row>
    <row r="38" spans="1:2" x14ac:dyDescent="0.25">
      <c r="A38" s="201">
        <v>44627</v>
      </c>
    </row>
    <row r="39" spans="1:2" x14ac:dyDescent="0.25">
      <c r="A39" s="201">
        <v>44624</v>
      </c>
    </row>
    <row r="40" spans="1:2" x14ac:dyDescent="0.25">
      <c r="A40" s="201">
        <v>44623</v>
      </c>
      <c r="B40">
        <v>76000</v>
      </c>
    </row>
    <row r="41" spans="1:2" x14ac:dyDescent="0.25">
      <c r="A41" s="201">
        <v>44622</v>
      </c>
    </row>
    <row r="42" spans="1:2" x14ac:dyDescent="0.25">
      <c r="A42" s="201">
        <v>44621</v>
      </c>
    </row>
    <row r="43" spans="1:2" x14ac:dyDescent="0.25">
      <c r="A43" s="201">
        <v>44620</v>
      </c>
    </row>
    <row r="44" spans="1:2" x14ac:dyDescent="0.25">
      <c r="A44" s="201">
        <v>44617</v>
      </c>
    </row>
    <row r="45" spans="1:2" x14ac:dyDescent="0.25">
      <c r="A45" s="201">
        <v>44616</v>
      </c>
    </row>
    <row r="46" spans="1:2" x14ac:dyDescent="0.25">
      <c r="A46" s="201">
        <v>44615</v>
      </c>
      <c r="B46">
        <v>75000</v>
      </c>
    </row>
    <row r="47" spans="1:2" x14ac:dyDescent="0.25">
      <c r="A47" s="201">
        <v>44614</v>
      </c>
    </row>
    <row r="48" spans="1:2" x14ac:dyDescent="0.25">
      <c r="A48" s="201">
        <v>44610</v>
      </c>
    </row>
    <row r="49" spans="1:2" x14ac:dyDescent="0.25">
      <c r="A49" s="201">
        <v>44609</v>
      </c>
    </row>
    <row r="50" spans="1:2" x14ac:dyDescent="0.25">
      <c r="A50" s="201">
        <v>44608</v>
      </c>
      <c r="B50">
        <v>75000</v>
      </c>
    </row>
    <row r="51" spans="1:2" x14ac:dyDescent="0.25">
      <c r="A51" s="201">
        <v>44607</v>
      </c>
    </row>
    <row r="52" spans="1:2" x14ac:dyDescent="0.25">
      <c r="A52" s="201">
        <v>44606</v>
      </c>
    </row>
    <row r="53" spans="1:2" x14ac:dyDescent="0.25">
      <c r="A53" s="201">
        <v>44603</v>
      </c>
    </row>
    <row r="54" spans="1:2" x14ac:dyDescent="0.25">
      <c r="A54" s="201">
        <v>44602</v>
      </c>
    </row>
    <row r="55" spans="1:2" x14ac:dyDescent="0.25">
      <c r="A55" s="201">
        <v>44601</v>
      </c>
      <c r="B55">
        <v>80000</v>
      </c>
    </row>
    <row r="56" spans="1:2" x14ac:dyDescent="0.25">
      <c r="A56" s="201">
        <v>44600</v>
      </c>
    </row>
    <row r="57" spans="1:2" x14ac:dyDescent="0.25">
      <c r="A57" s="201">
        <v>44599</v>
      </c>
    </row>
    <row r="58" spans="1:2" x14ac:dyDescent="0.25">
      <c r="A58" s="201">
        <v>44596</v>
      </c>
    </row>
    <row r="59" spans="1:2" x14ac:dyDescent="0.25">
      <c r="A59" s="201">
        <v>44595</v>
      </c>
    </row>
    <row r="60" spans="1:2" x14ac:dyDescent="0.25">
      <c r="A60" s="201">
        <v>44594</v>
      </c>
      <c r="B60">
        <v>87000</v>
      </c>
    </row>
    <row r="61" spans="1:2" x14ac:dyDescent="0.25">
      <c r="A61" s="201">
        <v>44593</v>
      </c>
    </row>
    <row r="62" spans="1:2" x14ac:dyDescent="0.25">
      <c r="A62" s="201">
        <v>44592</v>
      </c>
    </row>
    <row r="63" spans="1:2" x14ac:dyDescent="0.25">
      <c r="A63" s="201">
        <v>44589</v>
      </c>
    </row>
    <row r="64" spans="1:2" x14ac:dyDescent="0.25">
      <c r="A64" s="201">
        <v>44588</v>
      </c>
    </row>
    <row r="65" spans="1:2" x14ac:dyDescent="0.25">
      <c r="A65" s="201">
        <v>44587</v>
      </c>
      <c r="B65">
        <v>89000</v>
      </c>
    </row>
    <row r="66" spans="1:2" x14ac:dyDescent="0.25">
      <c r="A66" s="201">
        <v>44586</v>
      </c>
    </row>
    <row r="67" spans="1:2" x14ac:dyDescent="0.25">
      <c r="A67" s="201">
        <v>44585</v>
      </c>
    </row>
    <row r="68" spans="1:2" x14ac:dyDescent="0.25">
      <c r="A68" s="201">
        <v>44582</v>
      </c>
    </row>
    <row r="69" spans="1:2" x14ac:dyDescent="0.25">
      <c r="A69" s="201">
        <v>44581</v>
      </c>
    </row>
    <row r="70" spans="1:2" x14ac:dyDescent="0.25">
      <c r="A70" s="201">
        <v>44580</v>
      </c>
      <c r="B70">
        <v>91000</v>
      </c>
    </row>
    <row r="71" spans="1:2" x14ac:dyDescent="0.25">
      <c r="A71" s="201">
        <v>44579</v>
      </c>
    </row>
    <row r="72" spans="1:2" x14ac:dyDescent="0.25">
      <c r="A72" s="201">
        <v>44575</v>
      </c>
    </row>
    <row r="73" spans="1:2" x14ac:dyDescent="0.25">
      <c r="A73" s="201">
        <v>44574</v>
      </c>
    </row>
    <row r="74" spans="1:2" x14ac:dyDescent="0.25">
      <c r="A74" s="201">
        <v>44573</v>
      </c>
      <c r="B74">
        <v>92000</v>
      </c>
    </row>
    <row r="75" spans="1:2" x14ac:dyDescent="0.25">
      <c r="A75" s="201">
        <v>44572</v>
      </c>
    </row>
    <row r="76" spans="1:2" x14ac:dyDescent="0.25">
      <c r="A76" s="201">
        <v>44571</v>
      </c>
    </row>
    <row r="77" spans="1:2" x14ac:dyDescent="0.25">
      <c r="A77" s="201">
        <v>44568</v>
      </c>
    </row>
    <row r="78" spans="1:2" x14ac:dyDescent="0.25">
      <c r="A78" s="201">
        <v>44567</v>
      </c>
    </row>
    <row r="79" spans="1:2" x14ac:dyDescent="0.25">
      <c r="A79" s="201">
        <v>44566</v>
      </c>
      <c r="B79">
        <v>94000</v>
      </c>
    </row>
    <row r="80" spans="1:2" x14ac:dyDescent="0.25">
      <c r="A80" s="201">
        <v>44565</v>
      </c>
    </row>
    <row r="81" spans="1:2" x14ac:dyDescent="0.25">
      <c r="A81" s="201">
        <v>44564</v>
      </c>
    </row>
    <row r="82" spans="1:2" x14ac:dyDescent="0.25">
      <c r="A82" s="201">
        <v>44561</v>
      </c>
    </row>
    <row r="83" spans="1:2" x14ac:dyDescent="0.25">
      <c r="A83" s="201">
        <v>44560</v>
      </c>
    </row>
    <row r="84" spans="1:2" x14ac:dyDescent="0.25">
      <c r="A84" s="201">
        <v>44559</v>
      </c>
      <c r="B84">
        <v>95000</v>
      </c>
    </row>
    <row r="85" spans="1:2" x14ac:dyDescent="0.25">
      <c r="A85" s="201">
        <v>44558</v>
      </c>
    </row>
    <row r="86" spans="1:2" x14ac:dyDescent="0.25">
      <c r="A86" s="201">
        <v>44557</v>
      </c>
    </row>
    <row r="87" spans="1:2" x14ac:dyDescent="0.25">
      <c r="A87" s="201">
        <v>44553</v>
      </c>
    </row>
    <row r="88" spans="1:2" x14ac:dyDescent="0.25">
      <c r="A88" s="201">
        <v>44552</v>
      </c>
      <c r="B88">
        <v>98000</v>
      </c>
    </row>
    <row r="89" spans="1:2" x14ac:dyDescent="0.25">
      <c r="A89" s="201">
        <v>44551</v>
      </c>
    </row>
    <row r="90" spans="1:2" x14ac:dyDescent="0.25">
      <c r="A90" s="201">
        <v>44550</v>
      </c>
    </row>
    <row r="91" spans="1:2" x14ac:dyDescent="0.25">
      <c r="A91" s="201">
        <v>44547</v>
      </c>
    </row>
    <row r="92" spans="1:2" x14ac:dyDescent="0.25">
      <c r="A92" s="201">
        <v>44546</v>
      </c>
    </row>
    <row r="93" spans="1:2" x14ac:dyDescent="0.25">
      <c r="A93" s="201">
        <v>44545</v>
      </c>
      <c r="B93">
        <v>102000</v>
      </c>
    </row>
    <row r="94" spans="1:2" x14ac:dyDescent="0.25">
      <c r="A94" s="201">
        <v>44544</v>
      </c>
    </row>
    <row r="95" spans="1:2" x14ac:dyDescent="0.25">
      <c r="A95" s="201">
        <v>44543</v>
      </c>
    </row>
    <row r="96" spans="1:2" x14ac:dyDescent="0.25">
      <c r="A96" s="201">
        <v>44540</v>
      </c>
    </row>
    <row r="97" spans="1:2" x14ac:dyDescent="0.25">
      <c r="A97" s="201">
        <v>44539</v>
      </c>
    </row>
    <row r="98" spans="1:2" x14ac:dyDescent="0.25">
      <c r="A98" s="201">
        <v>44538</v>
      </c>
      <c r="B98">
        <v>102000</v>
      </c>
    </row>
    <row r="99" spans="1:2" x14ac:dyDescent="0.25">
      <c r="A99" s="201">
        <v>44537</v>
      </c>
    </row>
    <row r="100" spans="1:2" x14ac:dyDescent="0.25">
      <c r="A100" s="201">
        <v>44536</v>
      </c>
    </row>
    <row r="101" spans="1:2" x14ac:dyDescent="0.25">
      <c r="A101" s="201">
        <v>44533</v>
      </c>
    </row>
    <row r="102" spans="1:2" x14ac:dyDescent="0.25">
      <c r="A102" s="201">
        <v>44532</v>
      </c>
    </row>
    <row r="103" spans="1:2" x14ac:dyDescent="0.25">
      <c r="A103" s="201">
        <v>44531</v>
      </c>
      <c r="B103">
        <v>102000</v>
      </c>
    </row>
    <row r="104" spans="1:2" x14ac:dyDescent="0.25">
      <c r="A104" s="201">
        <v>44530</v>
      </c>
    </row>
    <row r="105" spans="1:2" x14ac:dyDescent="0.25">
      <c r="A105" s="201">
        <v>44529</v>
      </c>
    </row>
    <row r="106" spans="1:2" x14ac:dyDescent="0.25">
      <c r="A106" s="201">
        <v>44526</v>
      </c>
    </row>
    <row r="107" spans="1:2" x14ac:dyDescent="0.25">
      <c r="A107" s="201">
        <v>44524</v>
      </c>
      <c r="B107">
        <v>102000</v>
      </c>
    </row>
    <row r="108" spans="1:2" x14ac:dyDescent="0.25">
      <c r="A108" s="201">
        <v>44523</v>
      </c>
    </row>
    <row r="109" spans="1:2" x14ac:dyDescent="0.25">
      <c r="A109" s="201">
        <v>44522</v>
      </c>
    </row>
    <row r="110" spans="1:2" x14ac:dyDescent="0.25">
      <c r="A110" s="201">
        <v>44519</v>
      </c>
    </row>
    <row r="111" spans="1:2" x14ac:dyDescent="0.25">
      <c r="A111" s="201">
        <v>44518</v>
      </c>
    </row>
    <row r="112" spans="1:2" x14ac:dyDescent="0.25">
      <c r="A112" s="201">
        <v>44517</v>
      </c>
      <c r="B112">
        <v>102000</v>
      </c>
    </row>
    <row r="113" spans="1:2" x14ac:dyDescent="0.25">
      <c r="A113" s="201">
        <v>44516</v>
      </c>
    </row>
    <row r="114" spans="1:2" x14ac:dyDescent="0.25">
      <c r="A114" s="201">
        <v>44515</v>
      </c>
    </row>
    <row r="115" spans="1:2" x14ac:dyDescent="0.25">
      <c r="A115" s="201">
        <v>44512</v>
      </c>
    </row>
    <row r="116" spans="1:2" x14ac:dyDescent="0.25">
      <c r="A116" s="201">
        <v>44511</v>
      </c>
    </row>
    <row r="117" spans="1:2" x14ac:dyDescent="0.25">
      <c r="A117" s="201">
        <v>44510</v>
      </c>
      <c r="B117">
        <v>100000</v>
      </c>
    </row>
    <row r="118" spans="1:2" x14ac:dyDescent="0.25">
      <c r="A118" s="201">
        <v>44509</v>
      </c>
    </row>
    <row r="119" spans="1:2" x14ac:dyDescent="0.25">
      <c r="A119" s="201">
        <v>44508</v>
      </c>
    </row>
    <row r="120" spans="1:2" x14ac:dyDescent="0.25">
      <c r="A120" s="201">
        <v>44505</v>
      </c>
    </row>
    <row r="121" spans="1:2" x14ac:dyDescent="0.25">
      <c r="A121" s="201">
        <v>44504</v>
      </c>
    </row>
    <row r="122" spans="1:2" x14ac:dyDescent="0.25">
      <c r="A122" s="201">
        <v>44503</v>
      </c>
      <c r="B122">
        <v>100000</v>
      </c>
    </row>
    <row r="123" spans="1:2" x14ac:dyDescent="0.25">
      <c r="A123" s="201">
        <v>44502</v>
      </c>
    </row>
    <row r="124" spans="1:2" x14ac:dyDescent="0.25">
      <c r="A124" s="201">
        <v>44501</v>
      </c>
    </row>
    <row r="125" spans="1:2" x14ac:dyDescent="0.25">
      <c r="A125" s="201">
        <v>44498</v>
      </c>
    </row>
    <row r="126" spans="1:2" x14ac:dyDescent="0.25">
      <c r="A126" s="201">
        <v>44497</v>
      </c>
    </row>
    <row r="127" spans="1:2" x14ac:dyDescent="0.25">
      <c r="A127" s="201">
        <v>44496</v>
      </c>
      <c r="B127">
        <v>100000</v>
      </c>
    </row>
    <row r="128" spans="1:2" x14ac:dyDescent="0.25">
      <c r="A128" s="201">
        <v>44495</v>
      </c>
    </row>
    <row r="129" spans="1:2" x14ac:dyDescent="0.25">
      <c r="A129" s="201">
        <v>44494</v>
      </c>
    </row>
    <row r="130" spans="1:2" x14ac:dyDescent="0.25">
      <c r="A130" s="201">
        <v>44491</v>
      </c>
    </row>
    <row r="131" spans="1:2" x14ac:dyDescent="0.25">
      <c r="A131" s="201">
        <v>44490</v>
      </c>
    </row>
    <row r="132" spans="1:2" x14ac:dyDescent="0.25">
      <c r="A132" s="201">
        <v>44489</v>
      </c>
      <c r="B132">
        <v>100000</v>
      </c>
    </row>
    <row r="133" spans="1:2" x14ac:dyDescent="0.25">
      <c r="A133" s="201">
        <v>44488</v>
      </c>
    </row>
    <row r="134" spans="1:2" x14ac:dyDescent="0.25">
      <c r="A134" s="201">
        <v>44487</v>
      </c>
    </row>
    <row r="135" spans="1:2" x14ac:dyDescent="0.25">
      <c r="A135" s="201">
        <v>44484</v>
      </c>
    </row>
    <row r="136" spans="1:2" x14ac:dyDescent="0.25">
      <c r="A136" s="201">
        <v>44483</v>
      </c>
    </row>
    <row r="137" spans="1:2" x14ac:dyDescent="0.25">
      <c r="A137" s="201">
        <v>44482</v>
      </c>
      <c r="B137">
        <v>93000</v>
      </c>
    </row>
    <row r="138" spans="1:2" x14ac:dyDescent="0.25">
      <c r="A138" s="201">
        <v>44481</v>
      </c>
    </row>
    <row r="139" spans="1:2" x14ac:dyDescent="0.25">
      <c r="A139" s="201">
        <v>44480</v>
      </c>
    </row>
    <row r="140" spans="1:2" x14ac:dyDescent="0.25">
      <c r="A140" s="201">
        <v>44477</v>
      </c>
    </row>
    <row r="141" spans="1:2" x14ac:dyDescent="0.25">
      <c r="A141" s="201">
        <v>44476</v>
      </c>
    </row>
    <row r="142" spans="1:2" x14ac:dyDescent="0.25">
      <c r="A142" s="201">
        <v>44475</v>
      </c>
      <c r="B142">
        <v>93000</v>
      </c>
    </row>
    <row r="143" spans="1:2" x14ac:dyDescent="0.25">
      <c r="A143" s="201">
        <v>44474</v>
      </c>
    </row>
    <row r="144" spans="1:2" x14ac:dyDescent="0.25">
      <c r="A144" s="201">
        <v>44473</v>
      </c>
    </row>
    <row r="145" spans="1:2" x14ac:dyDescent="0.25">
      <c r="A145" s="201">
        <v>44470</v>
      </c>
    </row>
    <row r="146" spans="1:2" x14ac:dyDescent="0.25">
      <c r="A146" s="201">
        <v>44469</v>
      </c>
    </row>
    <row r="147" spans="1:2" x14ac:dyDescent="0.25">
      <c r="A147" s="201">
        <v>44468</v>
      </c>
      <c r="B147">
        <v>93000</v>
      </c>
    </row>
    <row r="148" spans="1:2" x14ac:dyDescent="0.25">
      <c r="A148" s="201">
        <v>44467</v>
      </c>
    </row>
    <row r="149" spans="1:2" x14ac:dyDescent="0.25">
      <c r="A149" s="201">
        <v>44466</v>
      </c>
    </row>
    <row r="150" spans="1:2" x14ac:dyDescent="0.25">
      <c r="A150" s="201">
        <v>44463</v>
      </c>
    </row>
    <row r="151" spans="1:2" x14ac:dyDescent="0.25">
      <c r="A151" s="201">
        <v>44462</v>
      </c>
    </row>
    <row r="152" spans="1:2" x14ac:dyDescent="0.25">
      <c r="A152" s="201">
        <v>44461</v>
      </c>
      <c r="B152">
        <v>93000</v>
      </c>
    </row>
    <row r="153" spans="1:2" x14ac:dyDescent="0.25">
      <c r="A153" s="201">
        <v>44460</v>
      </c>
    </row>
    <row r="154" spans="1:2" x14ac:dyDescent="0.25">
      <c r="A154" s="201">
        <v>44459</v>
      </c>
    </row>
    <row r="155" spans="1:2" x14ac:dyDescent="0.25">
      <c r="A155" s="201">
        <v>44456</v>
      </c>
    </row>
    <row r="156" spans="1:2" x14ac:dyDescent="0.25">
      <c r="A156" s="201">
        <v>44455</v>
      </c>
    </row>
    <row r="157" spans="1:2" x14ac:dyDescent="0.25">
      <c r="A157" s="201">
        <v>44454</v>
      </c>
      <c r="B157">
        <v>93000</v>
      </c>
    </row>
    <row r="158" spans="1:2" x14ac:dyDescent="0.25">
      <c r="A158" s="201">
        <v>44453</v>
      </c>
    </row>
    <row r="159" spans="1:2" x14ac:dyDescent="0.25">
      <c r="A159" s="201">
        <v>44452</v>
      </c>
    </row>
    <row r="160" spans="1:2" x14ac:dyDescent="0.25">
      <c r="A160" s="201">
        <v>44449</v>
      </c>
    </row>
    <row r="161" spans="1:2" x14ac:dyDescent="0.25">
      <c r="A161" s="201">
        <v>44448</v>
      </c>
    </row>
    <row r="162" spans="1:2" x14ac:dyDescent="0.25">
      <c r="A162" s="201">
        <v>44447</v>
      </c>
      <c r="B162">
        <v>93000</v>
      </c>
    </row>
    <row r="163" spans="1:2" x14ac:dyDescent="0.25">
      <c r="A163" s="201">
        <v>44446</v>
      </c>
    </row>
    <row r="164" spans="1:2" x14ac:dyDescent="0.25">
      <c r="A164" s="201">
        <v>44442</v>
      </c>
    </row>
    <row r="165" spans="1:2" x14ac:dyDescent="0.25">
      <c r="A165" s="201">
        <v>44441</v>
      </c>
    </row>
    <row r="166" spans="1:2" x14ac:dyDescent="0.25">
      <c r="A166" s="201">
        <v>44440</v>
      </c>
      <c r="B166">
        <v>93000</v>
      </c>
    </row>
    <row r="167" spans="1:2" x14ac:dyDescent="0.25">
      <c r="A167" s="201">
        <v>44439</v>
      </c>
    </row>
    <row r="168" spans="1:2" x14ac:dyDescent="0.25">
      <c r="A168" s="201">
        <v>44438</v>
      </c>
    </row>
    <row r="169" spans="1:2" x14ac:dyDescent="0.25">
      <c r="A169" s="201">
        <v>44435</v>
      </c>
    </row>
    <row r="170" spans="1:2" x14ac:dyDescent="0.25">
      <c r="A170" s="201">
        <v>44434</v>
      </c>
    </row>
    <row r="171" spans="1:2" x14ac:dyDescent="0.25">
      <c r="A171" s="201">
        <v>44433</v>
      </c>
      <c r="B171">
        <v>93000</v>
      </c>
    </row>
    <row r="172" spans="1:2" x14ac:dyDescent="0.25">
      <c r="A172" s="201">
        <v>44432</v>
      </c>
    </row>
    <row r="173" spans="1:2" x14ac:dyDescent="0.25">
      <c r="A173" s="201">
        <v>44431</v>
      </c>
    </row>
    <row r="174" spans="1:2" x14ac:dyDescent="0.25">
      <c r="A174" s="201">
        <v>44428</v>
      </c>
    </row>
    <row r="175" spans="1:2" x14ac:dyDescent="0.25">
      <c r="A175" s="201">
        <v>44427</v>
      </c>
    </row>
    <row r="176" spans="1:2" x14ac:dyDescent="0.25">
      <c r="A176" s="201">
        <v>44426</v>
      </c>
      <c r="B176">
        <v>93000</v>
      </c>
    </row>
    <row r="177" spans="1:2" x14ac:dyDescent="0.25">
      <c r="A177" s="201">
        <v>44425</v>
      </c>
    </row>
    <row r="178" spans="1:2" x14ac:dyDescent="0.25">
      <c r="A178" s="201">
        <v>44424</v>
      </c>
    </row>
    <row r="179" spans="1:2" x14ac:dyDescent="0.25">
      <c r="A179" s="201">
        <v>44421</v>
      </c>
    </row>
    <row r="180" spans="1:2" x14ac:dyDescent="0.25">
      <c r="A180" s="201">
        <v>44420</v>
      </c>
    </row>
    <row r="181" spans="1:2" x14ac:dyDescent="0.25">
      <c r="A181" s="201">
        <v>44419</v>
      </c>
      <c r="B181">
        <v>93000</v>
      </c>
    </row>
    <row r="182" spans="1:2" x14ac:dyDescent="0.25">
      <c r="A182" s="201">
        <v>44418</v>
      </c>
    </row>
    <row r="183" spans="1:2" x14ac:dyDescent="0.25">
      <c r="A183" s="201">
        <v>44417</v>
      </c>
    </row>
    <row r="184" spans="1:2" x14ac:dyDescent="0.25">
      <c r="A184" s="201">
        <v>44414</v>
      </c>
    </row>
    <row r="185" spans="1:2" x14ac:dyDescent="0.25">
      <c r="A185" s="201">
        <v>44413</v>
      </c>
    </row>
    <row r="186" spans="1:2" x14ac:dyDescent="0.25">
      <c r="A186" s="201">
        <v>44412</v>
      </c>
      <c r="B186">
        <v>93000</v>
      </c>
    </row>
    <row r="187" spans="1:2" x14ac:dyDescent="0.25">
      <c r="A187" s="201">
        <v>44411</v>
      </c>
    </row>
    <row r="188" spans="1:2" x14ac:dyDescent="0.25">
      <c r="A188" s="201">
        <v>44410</v>
      </c>
    </row>
    <row r="189" spans="1:2" x14ac:dyDescent="0.25">
      <c r="A189" s="201">
        <v>44407</v>
      </c>
    </row>
    <row r="190" spans="1:2" x14ac:dyDescent="0.25">
      <c r="A190" s="201">
        <v>44406</v>
      </c>
    </row>
    <row r="191" spans="1:2" x14ac:dyDescent="0.25">
      <c r="A191" s="201">
        <v>44405</v>
      </c>
      <c r="B191">
        <v>93000</v>
      </c>
    </row>
    <row r="192" spans="1:2" x14ac:dyDescent="0.25">
      <c r="A192" s="201">
        <v>44404</v>
      </c>
    </row>
    <row r="193" spans="1:2" x14ac:dyDescent="0.25">
      <c r="A193" s="201">
        <v>44403</v>
      </c>
    </row>
    <row r="194" spans="1:2" x14ac:dyDescent="0.25">
      <c r="A194" s="201">
        <v>44400</v>
      </c>
    </row>
    <row r="195" spans="1:2" x14ac:dyDescent="0.25">
      <c r="A195" s="201">
        <v>44399</v>
      </c>
    </row>
    <row r="196" spans="1:2" x14ac:dyDescent="0.25">
      <c r="A196" s="201">
        <v>44398</v>
      </c>
      <c r="B196">
        <v>93000</v>
      </c>
    </row>
    <row r="197" spans="1:2" x14ac:dyDescent="0.25">
      <c r="A197" s="201">
        <v>44397</v>
      </c>
    </row>
    <row r="198" spans="1:2" x14ac:dyDescent="0.25">
      <c r="A198" s="201">
        <v>44396</v>
      </c>
    </row>
    <row r="199" spans="1:2" x14ac:dyDescent="0.25">
      <c r="A199" s="201">
        <v>44393</v>
      </c>
    </row>
    <row r="200" spans="1:2" x14ac:dyDescent="0.25">
      <c r="A200" s="201">
        <v>44392</v>
      </c>
    </row>
    <row r="201" spans="1:2" x14ac:dyDescent="0.25">
      <c r="A201" s="201">
        <v>44391</v>
      </c>
      <c r="B201">
        <v>92500</v>
      </c>
    </row>
    <row r="202" spans="1:2" x14ac:dyDescent="0.25">
      <c r="A202" s="201">
        <v>44390</v>
      </c>
    </row>
    <row r="203" spans="1:2" x14ac:dyDescent="0.25">
      <c r="A203" s="201">
        <v>44389</v>
      </c>
    </row>
    <row r="204" spans="1:2" x14ac:dyDescent="0.25">
      <c r="A204" s="201">
        <v>44386</v>
      </c>
    </row>
    <row r="205" spans="1:2" x14ac:dyDescent="0.25">
      <c r="A205" s="201">
        <v>44385</v>
      </c>
    </row>
    <row r="206" spans="1:2" x14ac:dyDescent="0.25">
      <c r="A206" s="201">
        <v>44384</v>
      </c>
      <c r="B206">
        <v>90000</v>
      </c>
    </row>
    <row r="207" spans="1:2" x14ac:dyDescent="0.25">
      <c r="A207" s="201">
        <v>44383</v>
      </c>
    </row>
    <row r="208" spans="1:2" x14ac:dyDescent="0.25">
      <c r="A208" s="201">
        <v>44379</v>
      </c>
    </row>
    <row r="209" spans="1:2" x14ac:dyDescent="0.25">
      <c r="A209" s="201">
        <v>44378</v>
      </c>
    </row>
    <row r="210" spans="1:2" x14ac:dyDescent="0.25">
      <c r="A210" s="201">
        <v>44377</v>
      </c>
      <c r="B210">
        <v>85000</v>
      </c>
    </row>
    <row r="211" spans="1:2" x14ac:dyDescent="0.25">
      <c r="A211" s="201">
        <v>44376</v>
      </c>
    </row>
    <row r="212" spans="1:2" x14ac:dyDescent="0.25">
      <c r="A212" s="201">
        <v>44375</v>
      </c>
    </row>
    <row r="213" spans="1:2" x14ac:dyDescent="0.25">
      <c r="A213" s="201">
        <v>44372</v>
      </c>
    </row>
    <row r="214" spans="1:2" x14ac:dyDescent="0.25">
      <c r="A214" s="201">
        <v>44371</v>
      </c>
    </row>
    <row r="215" spans="1:2" x14ac:dyDescent="0.25">
      <c r="A215" s="201">
        <v>44370</v>
      </c>
      <c r="B215">
        <v>82000</v>
      </c>
    </row>
    <row r="216" spans="1:2" x14ac:dyDescent="0.25">
      <c r="A216" s="201">
        <v>44369</v>
      </c>
    </row>
    <row r="217" spans="1:2" x14ac:dyDescent="0.25">
      <c r="A217" s="201">
        <v>44368</v>
      </c>
    </row>
    <row r="218" spans="1:2" x14ac:dyDescent="0.25">
      <c r="A218" s="201">
        <v>44365</v>
      </c>
    </row>
    <row r="219" spans="1:2" x14ac:dyDescent="0.25">
      <c r="A219" s="201">
        <v>44364</v>
      </c>
    </row>
    <row r="220" spans="1:2" x14ac:dyDescent="0.25">
      <c r="A220" s="201">
        <v>44363</v>
      </c>
      <c r="B220">
        <v>79000</v>
      </c>
    </row>
    <row r="221" spans="1:2" x14ac:dyDescent="0.25">
      <c r="A221" s="201">
        <v>44362</v>
      </c>
    </row>
    <row r="222" spans="1:2" x14ac:dyDescent="0.25">
      <c r="A222" s="201">
        <v>44361</v>
      </c>
    </row>
    <row r="223" spans="1:2" x14ac:dyDescent="0.25">
      <c r="A223" s="201">
        <v>44358</v>
      </c>
    </row>
    <row r="224" spans="1:2" x14ac:dyDescent="0.25">
      <c r="A224" s="201">
        <v>44357</v>
      </c>
    </row>
    <row r="225" spans="1:2" x14ac:dyDescent="0.25">
      <c r="A225" s="201">
        <v>44356</v>
      </c>
      <c r="B225">
        <v>78000</v>
      </c>
    </row>
    <row r="226" spans="1:2" x14ac:dyDescent="0.25">
      <c r="A226" s="201">
        <v>44355</v>
      </c>
    </row>
    <row r="227" spans="1:2" x14ac:dyDescent="0.25">
      <c r="A227" s="201">
        <v>44354</v>
      </c>
    </row>
    <row r="228" spans="1:2" x14ac:dyDescent="0.25">
      <c r="A228" s="201">
        <v>44351</v>
      </c>
    </row>
    <row r="229" spans="1:2" x14ac:dyDescent="0.25">
      <c r="A229" s="201">
        <v>44350</v>
      </c>
    </row>
    <row r="230" spans="1:2" x14ac:dyDescent="0.25">
      <c r="A230" s="201">
        <v>44349</v>
      </c>
      <c r="B230">
        <v>77000</v>
      </c>
    </row>
    <row r="231" spans="1:2" x14ac:dyDescent="0.25">
      <c r="A231" s="201">
        <v>44348</v>
      </c>
    </row>
    <row r="232" spans="1:2" x14ac:dyDescent="0.25">
      <c r="A232" s="201">
        <v>44344</v>
      </c>
    </row>
    <row r="233" spans="1:2" x14ac:dyDescent="0.25">
      <c r="A233" s="201">
        <v>44343</v>
      </c>
    </row>
    <row r="234" spans="1:2" x14ac:dyDescent="0.25">
      <c r="A234" s="201">
        <v>44342</v>
      </c>
      <c r="B234">
        <v>77000</v>
      </c>
    </row>
    <row r="235" spans="1:2" x14ac:dyDescent="0.25">
      <c r="A235" s="201">
        <v>44341</v>
      </c>
    </row>
    <row r="236" spans="1:2" x14ac:dyDescent="0.25">
      <c r="A236" s="201">
        <v>44340</v>
      </c>
    </row>
    <row r="237" spans="1:2" x14ac:dyDescent="0.25">
      <c r="A237" s="201">
        <v>44337</v>
      </c>
    </row>
    <row r="238" spans="1:2" x14ac:dyDescent="0.25">
      <c r="A238" s="201">
        <v>44336</v>
      </c>
    </row>
    <row r="239" spans="1:2" x14ac:dyDescent="0.25">
      <c r="A239" s="201">
        <v>44335</v>
      </c>
      <c r="B239">
        <v>77000</v>
      </c>
    </row>
    <row r="240" spans="1:2" x14ac:dyDescent="0.25">
      <c r="A240" s="201">
        <v>44334</v>
      </c>
    </row>
    <row r="241" spans="1:2" x14ac:dyDescent="0.25">
      <c r="A241" s="201">
        <v>44333</v>
      </c>
    </row>
    <row r="242" spans="1:2" x14ac:dyDescent="0.25">
      <c r="A242" s="201">
        <v>44330</v>
      </c>
    </row>
    <row r="243" spans="1:2" x14ac:dyDescent="0.25">
      <c r="A243" s="201">
        <v>44329</v>
      </c>
    </row>
    <row r="244" spans="1:2" x14ac:dyDescent="0.25">
      <c r="A244" s="201">
        <v>44328</v>
      </c>
      <c r="B244">
        <v>77000</v>
      </c>
    </row>
    <row r="245" spans="1:2" x14ac:dyDescent="0.25">
      <c r="A245" s="201">
        <v>44327</v>
      </c>
    </row>
    <row r="246" spans="1:2" x14ac:dyDescent="0.25">
      <c r="A246" s="201">
        <v>44326</v>
      </c>
    </row>
    <row r="247" spans="1:2" x14ac:dyDescent="0.25">
      <c r="A247" s="201">
        <v>44323</v>
      </c>
    </row>
    <row r="248" spans="1:2" x14ac:dyDescent="0.25">
      <c r="A248" s="201">
        <v>44322</v>
      </c>
    </row>
    <row r="249" spans="1:2" x14ac:dyDescent="0.25">
      <c r="A249" s="201">
        <v>44321</v>
      </c>
      <c r="B249">
        <v>75000</v>
      </c>
    </row>
    <row r="250" spans="1:2" x14ac:dyDescent="0.25">
      <c r="A250" s="201">
        <v>44320</v>
      </c>
    </row>
    <row r="251" spans="1:2" x14ac:dyDescent="0.25">
      <c r="A251" s="201">
        <v>44319</v>
      </c>
    </row>
    <row r="252" spans="1:2" x14ac:dyDescent="0.25">
      <c r="A252" s="201">
        <v>44316</v>
      </c>
    </row>
    <row r="253" spans="1:2" x14ac:dyDescent="0.25">
      <c r="A253" s="201">
        <v>44315</v>
      </c>
    </row>
    <row r="254" spans="1:2" x14ac:dyDescent="0.25">
      <c r="A254" s="201">
        <v>44314</v>
      </c>
      <c r="B254">
        <v>74000</v>
      </c>
    </row>
    <row r="255" spans="1:2" x14ac:dyDescent="0.25">
      <c r="A255" s="201">
        <v>44313</v>
      </c>
    </row>
    <row r="256" spans="1:2" x14ac:dyDescent="0.25">
      <c r="A256" s="201">
        <v>44312</v>
      </c>
    </row>
    <row r="257" spans="1:2" x14ac:dyDescent="0.25">
      <c r="A257" s="201">
        <v>44309</v>
      </c>
    </row>
    <row r="258" spans="1:2" x14ac:dyDescent="0.25">
      <c r="A258" s="201">
        <v>44308</v>
      </c>
    </row>
    <row r="259" spans="1:2" x14ac:dyDescent="0.25">
      <c r="A259" s="201">
        <v>44307</v>
      </c>
      <c r="B259">
        <v>66500</v>
      </c>
    </row>
    <row r="260" spans="1:2" x14ac:dyDescent="0.25">
      <c r="A260" s="201">
        <v>44306</v>
      </c>
    </row>
    <row r="261" spans="1:2" x14ac:dyDescent="0.25">
      <c r="A261" s="201">
        <v>44305</v>
      </c>
    </row>
    <row r="262" spans="1:2" x14ac:dyDescent="0.25">
      <c r="A262" s="201">
        <v>44302</v>
      </c>
    </row>
    <row r="263" spans="1:2" x14ac:dyDescent="0.25">
      <c r="A263" s="201">
        <v>44301</v>
      </c>
    </row>
    <row r="264" spans="1:2" x14ac:dyDescent="0.25">
      <c r="A264" s="201">
        <v>44300</v>
      </c>
      <c r="B264">
        <v>61000</v>
      </c>
    </row>
    <row r="265" spans="1:2" x14ac:dyDescent="0.25">
      <c r="A265" s="201">
        <v>44299</v>
      </c>
    </row>
    <row r="266" spans="1:2" x14ac:dyDescent="0.25">
      <c r="A266" s="201">
        <v>44298</v>
      </c>
    </row>
    <row r="267" spans="1:2" x14ac:dyDescent="0.25">
      <c r="A267" s="201">
        <v>44295</v>
      </c>
    </row>
    <row r="268" spans="1:2" x14ac:dyDescent="0.25">
      <c r="A268" s="201">
        <v>44294</v>
      </c>
    </row>
    <row r="269" spans="1:2" x14ac:dyDescent="0.25">
      <c r="A269" s="201">
        <v>44293</v>
      </c>
      <c r="B269">
        <v>60000</v>
      </c>
    </row>
    <row r="270" spans="1:2" x14ac:dyDescent="0.25">
      <c r="A270" s="201">
        <v>44292</v>
      </c>
    </row>
    <row r="271" spans="1:2" x14ac:dyDescent="0.25">
      <c r="A271" s="201">
        <v>44291</v>
      </c>
    </row>
    <row r="272" spans="1:2" x14ac:dyDescent="0.25">
      <c r="A272" s="201">
        <v>44287</v>
      </c>
    </row>
    <row r="273" spans="1:2" x14ac:dyDescent="0.25">
      <c r="A273" s="201">
        <v>44286</v>
      </c>
      <c r="B273">
        <v>56000</v>
      </c>
    </row>
    <row r="274" spans="1:2" x14ac:dyDescent="0.25">
      <c r="A274" s="201">
        <v>44285</v>
      </c>
    </row>
    <row r="275" spans="1:2" x14ac:dyDescent="0.25">
      <c r="A275" s="201">
        <v>44284</v>
      </c>
    </row>
    <row r="276" spans="1:2" x14ac:dyDescent="0.25">
      <c r="A276" s="201">
        <v>44281</v>
      </c>
    </row>
    <row r="277" spans="1:2" x14ac:dyDescent="0.25">
      <c r="A277" s="201">
        <v>44280</v>
      </c>
    </row>
    <row r="278" spans="1:2" x14ac:dyDescent="0.25">
      <c r="A278" s="201">
        <v>44279</v>
      </c>
      <c r="B278">
        <v>53000</v>
      </c>
    </row>
    <row r="279" spans="1:2" x14ac:dyDescent="0.25">
      <c r="A279" s="201">
        <v>44278</v>
      </c>
    </row>
    <row r="280" spans="1:2" x14ac:dyDescent="0.25">
      <c r="A280" s="201">
        <v>44277</v>
      </c>
    </row>
    <row r="281" spans="1:2" x14ac:dyDescent="0.25">
      <c r="A281" s="201">
        <v>44274</v>
      </c>
    </row>
    <row r="282" spans="1:2" x14ac:dyDescent="0.25">
      <c r="A282" s="201">
        <v>44273</v>
      </c>
    </row>
    <row r="283" spans="1:2" x14ac:dyDescent="0.25">
      <c r="A283" s="201">
        <v>44272</v>
      </c>
      <c r="B283">
        <v>49000</v>
      </c>
    </row>
    <row r="284" spans="1:2" x14ac:dyDescent="0.25">
      <c r="A284" s="201">
        <v>44271</v>
      </c>
    </row>
    <row r="285" spans="1:2" x14ac:dyDescent="0.25">
      <c r="A285" s="201">
        <v>44270</v>
      </c>
    </row>
    <row r="286" spans="1:2" x14ac:dyDescent="0.25">
      <c r="A286" s="201">
        <v>44267</v>
      </c>
    </row>
    <row r="287" spans="1:2" x14ac:dyDescent="0.25">
      <c r="A287" s="201">
        <v>44266</v>
      </c>
    </row>
    <row r="288" spans="1:2" x14ac:dyDescent="0.25">
      <c r="A288" s="201">
        <v>44265</v>
      </c>
      <c r="B288">
        <v>48000</v>
      </c>
    </row>
    <row r="289" spans="1:2" x14ac:dyDescent="0.25">
      <c r="A289" s="201">
        <v>44264</v>
      </c>
    </row>
    <row r="290" spans="1:2" x14ac:dyDescent="0.25">
      <c r="A290" s="201">
        <v>44263</v>
      </c>
    </row>
    <row r="291" spans="1:2" x14ac:dyDescent="0.25">
      <c r="A291" s="201">
        <v>44260</v>
      </c>
    </row>
    <row r="292" spans="1:2" x14ac:dyDescent="0.25">
      <c r="A292" s="201">
        <v>44259</v>
      </c>
    </row>
    <row r="293" spans="1:2" x14ac:dyDescent="0.25">
      <c r="A293" s="201">
        <v>44258</v>
      </c>
      <c r="B293">
        <v>48000</v>
      </c>
    </row>
    <row r="294" spans="1:2" x14ac:dyDescent="0.25">
      <c r="A294" s="201">
        <v>44257</v>
      </c>
    </row>
    <row r="295" spans="1:2" x14ac:dyDescent="0.25">
      <c r="A295" s="201">
        <v>44256</v>
      </c>
    </row>
    <row r="296" spans="1:2" x14ac:dyDescent="0.25">
      <c r="A296" s="201">
        <v>44253</v>
      </c>
    </row>
    <row r="297" spans="1:2" x14ac:dyDescent="0.25">
      <c r="A297" s="201">
        <v>44252</v>
      </c>
    </row>
    <row r="298" spans="1:2" x14ac:dyDescent="0.25">
      <c r="A298" s="201">
        <v>44251</v>
      </c>
      <c r="B298">
        <v>48000</v>
      </c>
    </row>
    <row r="299" spans="1:2" x14ac:dyDescent="0.25">
      <c r="A299" s="201">
        <v>44250</v>
      </c>
    </row>
    <row r="300" spans="1:2" x14ac:dyDescent="0.25">
      <c r="A300" s="201">
        <v>44249</v>
      </c>
    </row>
    <row r="301" spans="1:2" x14ac:dyDescent="0.25">
      <c r="A301" s="201">
        <v>44246</v>
      </c>
    </row>
    <row r="302" spans="1:2" x14ac:dyDescent="0.25">
      <c r="A302" s="201">
        <v>44245</v>
      </c>
    </row>
    <row r="303" spans="1:2" x14ac:dyDescent="0.25">
      <c r="A303" s="201">
        <v>44244</v>
      </c>
      <c r="B303">
        <v>48000</v>
      </c>
    </row>
    <row r="304" spans="1:2" x14ac:dyDescent="0.25">
      <c r="A304" s="201">
        <v>44243</v>
      </c>
    </row>
    <row r="305" spans="1:2" x14ac:dyDescent="0.25">
      <c r="A305" s="201">
        <v>44239</v>
      </c>
    </row>
    <row r="306" spans="1:2" x14ac:dyDescent="0.25">
      <c r="A306" s="201">
        <v>44238</v>
      </c>
    </row>
    <row r="307" spans="1:2" x14ac:dyDescent="0.25">
      <c r="A307" s="201">
        <v>44237</v>
      </c>
      <c r="B307">
        <v>48000</v>
      </c>
    </row>
    <row r="308" spans="1:2" x14ac:dyDescent="0.25">
      <c r="A308" s="201">
        <v>44236</v>
      </c>
    </row>
    <row r="309" spans="1:2" x14ac:dyDescent="0.25">
      <c r="A309" s="201">
        <v>44235</v>
      </c>
    </row>
    <row r="310" spans="1:2" x14ac:dyDescent="0.25">
      <c r="A310" s="201">
        <v>44232</v>
      </c>
    </row>
    <row r="311" spans="1:2" x14ac:dyDescent="0.25">
      <c r="A311" s="201">
        <v>44231</v>
      </c>
    </row>
    <row r="312" spans="1:2" x14ac:dyDescent="0.25">
      <c r="A312" s="201">
        <v>44230</v>
      </c>
      <c r="B312">
        <v>49000</v>
      </c>
    </row>
    <row r="313" spans="1:2" x14ac:dyDescent="0.25">
      <c r="A313" s="201">
        <v>44229</v>
      </c>
    </row>
    <row r="314" spans="1:2" x14ac:dyDescent="0.25">
      <c r="A314" s="201">
        <v>44228</v>
      </c>
    </row>
    <row r="315" spans="1:2" x14ac:dyDescent="0.25">
      <c r="A315" s="201">
        <v>44225</v>
      </c>
    </row>
    <row r="316" spans="1:2" x14ac:dyDescent="0.25">
      <c r="A316" s="201">
        <v>44224</v>
      </c>
    </row>
    <row r="317" spans="1:2" x14ac:dyDescent="0.25">
      <c r="A317" s="201">
        <v>44223</v>
      </c>
      <c r="B317">
        <v>49000</v>
      </c>
    </row>
    <row r="318" spans="1:2" x14ac:dyDescent="0.25">
      <c r="A318" s="201">
        <v>44222</v>
      </c>
    </row>
    <row r="319" spans="1:2" x14ac:dyDescent="0.25">
      <c r="A319" s="201">
        <v>44221</v>
      </c>
    </row>
    <row r="320" spans="1:2" x14ac:dyDescent="0.25">
      <c r="A320" s="201">
        <v>44218</v>
      </c>
    </row>
    <row r="321" spans="1:2" x14ac:dyDescent="0.25">
      <c r="A321" s="201">
        <v>44217</v>
      </c>
    </row>
    <row r="322" spans="1:2" x14ac:dyDescent="0.25">
      <c r="A322" s="201">
        <v>44216</v>
      </c>
      <c r="B322">
        <v>49000</v>
      </c>
    </row>
    <row r="323" spans="1:2" x14ac:dyDescent="0.25">
      <c r="A323" s="201">
        <v>44215</v>
      </c>
    </row>
    <row r="324" spans="1:2" x14ac:dyDescent="0.25">
      <c r="A324" s="201">
        <v>44211</v>
      </c>
    </row>
    <row r="325" spans="1:2" x14ac:dyDescent="0.25">
      <c r="A325" s="201">
        <v>44210</v>
      </c>
    </row>
    <row r="326" spans="1:2" x14ac:dyDescent="0.25">
      <c r="A326" s="201">
        <v>44209</v>
      </c>
      <c r="B326">
        <v>49000</v>
      </c>
    </row>
    <row r="327" spans="1:2" x14ac:dyDescent="0.25">
      <c r="A327" s="201">
        <v>44208</v>
      </c>
    </row>
    <row r="328" spans="1:2" x14ac:dyDescent="0.25">
      <c r="A328" s="201">
        <v>44207</v>
      </c>
    </row>
    <row r="329" spans="1:2" x14ac:dyDescent="0.25">
      <c r="A329" s="201">
        <v>44204</v>
      </c>
    </row>
    <row r="330" spans="1:2" x14ac:dyDescent="0.25">
      <c r="A330" s="201">
        <v>44203</v>
      </c>
    </row>
    <row r="331" spans="1:2" x14ac:dyDescent="0.25">
      <c r="A331" s="201">
        <v>44202</v>
      </c>
      <c r="B331">
        <v>47000</v>
      </c>
    </row>
    <row r="332" spans="1:2" x14ac:dyDescent="0.25">
      <c r="A332" s="201">
        <v>44201</v>
      </c>
    </row>
    <row r="333" spans="1:2" x14ac:dyDescent="0.25">
      <c r="A333" s="201">
        <v>44200</v>
      </c>
    </row>
    <row r="334" spans="1:2" x14ac:dyDescent="0.25">
      <c r="A334" s="201">
        <v>44196</v>
      </c>
    </row>
    <row r="335" spans="1:2" x14ac:dyDescent="0.25">
      <c r="A335" s="201">
        <v>44195</v>
      </c>
      <c r="B335">
        <v>47000</v>
      </c>
    </row>
    <row r="336" spans="1:2" x14ac:dyDescent="0.25">
      <c r="A336" s="201">
        <v>44194</v>
      </c>
    </row>
    <row r="337" spans="1:2" x14ac:dyDescent="0.25">
      <c r="A337" s="201">
        <v>44193</v>
      </c>
    </row>
    <row r="338" spans="1:2" x14ac:dyDescent="0.25">
      <c r="A338" s="201">
        <v>44189</v>
      </c>
    </row>
    <row r="339" spans="1:2" x14ac:dyDescent="0.25">
      <c r="A339" s="201">
        <v>44188</v>
      </c>
      <c r="B339">
        <v>47000</v>
      </c>
    </row>
    <row r="340" spans="1:2" x14ac:dyDescent="0.25">
      <c r="A340" s="201">
        <v>44187</v>
      </c>
    </row>
    <row r="341" spans="1:2" x14ac:dyDescent="0.25">
      <c r="A341" s="201">
        <v>44186</v>
      </c>
    </row>
    <row r="342" spans="1:2" x14ac:dyDescent="0.25">
      <c r="A342" s="201">
        <v>44183</v>
      </c>
    </row>
    <row r="343" spans="1:2" x14ac:dyDescent="0.25">
      <c r="A343" s="201">
        <v>44182</v>
      </c>
    </row>
    <row r="344" spans="1:2" x14ac:dyDescent="0.25">
      <c r="A344" s="201">
        <v>44181</v>
      </c>
      <c r="B344">
        <v>47000</v>
      </c>
    </row>
    <row r="345" spans="1:2" x14ac:dyDescent="0.25">
      <c r="A345" s="201">
        <v>44180</v>
      </c>
    </row>
    <row r="346" spans="1:2" x14ac:dyDescent="0.25">
      <c r="A346" s="201">
        <v>44179</v>
      </c>
    </row>
    <row r="347" spans="1:2" x14ac:dyDescent="0.25">
      <c r="A347" s="201">
        <v>44176</v>
      </c>
    </row>
    <row r="348" spans="1:2" x14ac:dyDescent="0.25">
      <c r="A348" s="201">
        <v>44175</v>
      </c>
    </row>
    <row r="349" spans="1:2" x14ac:dyDescent="0.25">
      <c r="A349" s="201">
        <v>44174</v>
      </c>
      <c r="B349">
        <v>47000</v>
      </c>
    </row>
    <row r="350" spans="1:2" x14ac:dyDescent="0.25">
      <c r="A350" s="201">
        <v>44173</v>
      </c>
    </row>
    <row r="351" spans="1:2" x14ac:dyDescent="0.25">
      <c r="A351" s="201">
        <v>44172</v>
      </c>
    </row>
    <row r="352" spans="1:2" x14ac:dyDescent="0.25">
      <c r="A352" s="201">
        <v>44169</v>
      </c>
    </row>
    <row r="353" spans="1:2" x14ac:dyDescent="0.25">
      <c r="A353" s="201">
        <v>44168</v>
      </c>
    </row>
    <row r="354" spans="1:2" x14ac:dyDescent="0.25">
      <c r="A354" s="201">
        <v>44167</v>
      </c>
      <c r="B354">
        <v>47000</v>
      </c>
    </row>
    <row r="355" spans="1:2" x14ac:dyDescent="0.25">
      <c r="A355" s="201">
        <v>44166</v>
      </c>
    </row>
    <row r="356" spans="1:2" x14ac:dyDescent="0.25">
      <c r="A356" s="201">
        <v>44165</v>
      </c>
    </row>
    <row r="357" spans="1:2" x14ac:dyDescent="0.25">
      <c r="A357" s="201">
        <v>44162</v>
      </c>
    </row>
    <row r="358" spans="1:2" x14ac:dyDescent="0.25">
      <c r="A358" s="201">
        <v>44160</v>
      </c>
      <c r="B358">
        <v>47000</v>
      </c>
    </row>
    <row r="359" spans="1:2" x14ac:dyDescent="0.25">
      <c r="A359" s="201">
        <v>44159</v>
      </c>
    </row>
    <row r="360" spans="1:2" x14ac:dyDescent="0.25">
      <c r="A360" s="201">
        <v>44158</v>
      </c>
    </row>
    <row r="361" spans="1:2" x14ac:dyDescent="0.25">
      <c r="A361" s="201">
        <v>44155</v>
      </c>
    </row>
    <row r="362" spans="1:2" x14ac:dyDescent="0.25">
      <c r="A362" s="201">
        <v>44154</v>
      </c>
    </row>
    <row r="363" spans="1:2" x14ac:dyDescent="0.25">
      <c r="A363" s="201">
        <v>44153</v>
      </c>
      <c r="B363">
        <v>47000</v>
      </c>
    </row>
    <row r="364" spans="1:2" x14ac:dyDescent="0.25">
      <c r="A364" s="201">
        <v>44152</v>
      </c>
    </row>
    <row r="365" spans="1:2" x14ac:dyDescent="0.25">
      <c r="A365" s="201">
        <v>44151</v>
      </c>
    </row>
    <row r="366" spans="1:2" x14ac:dyDescent="0.25">
      <c r="A366" s="201">
        <v>44148</v>
      </c>
    </row>
    <row r="367" spans="1:2" x14ac:dyDescent="0.25">
      <c r="A367" s="201">
        <v>44147</v>
      </c>
    </row>
    <row r="368" spans="1:2" x14ac:dyDescent="0.25">
      <c r="A368" s="201">
        <v>44146</v>
      </c>
      <c r="B368">
        <v>48000</v>
      </c>
    </row>
    <row r="369" spans="1:2" x14ac:dyDescent="0.25">
      <c r="A369" s="201">
        <v>44145</v>
      </c>
    </row>
    <row r="370" spans="1:2" x14ac:dyDescent="0.25">
      <c r="A370" s="201">
        <v>44144</v>
      </c>
    </row>
    <row r="371" spans="1:2" x14ac:dyDescent="0.25">
      <c r="A371" s="201">
        <v>44141</v>
      </c>
    </row>
    <row r="372" spans="1:2" x14ac:dyDescent="0.25">
      <c r="A372" s="201">
        <v>44140</v>
      </c>
    </row>
    <row r="373" spans="1:2" x14ac:dyDescent="0.25">
      <c r="A373" s="201">
        <v>44139</v>
      </c>
      <c r="B373">
        <v>48000</v>
      </c>
    </row>
    <row r="374" spans="1:2" x14ac:dyDescent="0.25">
      <c r="A374" s="201">
        <v>44138</v>
      </c>
    </row>
    <row r="375" spans="1:2" x14ac:dyDescent="0.25">
      <c r="A375" s="201">
        <v>44137</v>
      </c>
    </row>
    <row r="376" spans="1:2" x14ac:dyDescent="0.25">
      <c r="A376" s="201">
        <v>44134</v>
      </c>
    </row>
    <row r="377" spans="1:2" x14ac:dyDescent="0.25">
      <c r="A377" s="201">
        <v>44133</v>
      </c>
    </row>
    <row r="378" spans="1:2" x14ac:dyDescent="0.25">
      <c r="A378" s="201">
        <v>44132</v>
      </c>
      <c r="B378">
        <v>48000</v>
      </c>
    </row>
    <row r="379" spans="1:2" x14ac:dyDescent="0.25">
      <c r="A379" s="201">
        <v>44131</v>
      </c>
    </row>
    <row r="380" spans="1:2" x14ac:dyDescent="0.25">
      <c r="A380" s="201">
        <v>44130</v>
      </c>
    </row>
    <row r="381" spans="1:2" x14ac:dyDescent="0.25">
      <c r="A381" s="201">
        <v>44127</v>
      </c>
    </row>
    <row r="382" spans="1:2" x14ac:dyDescent="0.25">
      <c r="A382" s="201">
        <v>44126</v>
      </c>
    </row>
    <row r="383" spans="1:2" x14ac:dyDescent="0.25">
      <c r="A383" s="201">
        <v>44125</v>
      </c>
      <c r="B383">
        <v>48000</v>
      </c>
    </row>
    <row r="384" spans="1:2" x14ac:dyDescent="0.25">
      <c r="A384" s="201">
        <v>44124</v>
      </c>
    </row>
    <row r="385" spans="1:2" x14ac:dyDescent="0.25">
      <c r="A385" s="201">
        <v>44123</v>
      </c>
    </row>
    <row r="386" spans="1:2" x14ac:dyDescent="0.25">
      <c r="A386" s="201">
        <v>44120</v>
      </c>
    </row>
    <row r="387" spans="1:2" x14ac:dyDescent="0.25">
      <c r="A387" s="201">
        <v>44119</v>
      </c>
    </row>
    <row r="388" spans="1:2" x14ac:dyDescent="0.25">
      <c r="A388" s="201">
        <v>44118</v>
      </c>
      <c r="B388">
        <v>48000</v>
      </c>
    </row>
    <row r="389" spans="1:2" x14ac:dyDescent="0.25">
      <c r="A389" s="201">
        <v>44117</v>
      </c>
    </row>
    <row r="390" spans="1:2" x14ac:dyDescent="0.25">
      <c r="A390" s="201">
        <v>44116</v>
      </c>
    </row>
    <row r="391" spans="1:2" x14ac:dyDescent="0.25">
      <c r="A391" s="201">
        <v>44113</v>
      </c>
    </row>
    <row r="392" spans="1:2" x14ac:dyDescent="0.25">
      <c r="A392" s="201">
        <v>44112</v>
      </c>
      <c r="B392">
        <v>47000</v>
      </c>
    </row>
    <row r="393" spans="1:2" x14ac:dyDescent="0.25">
      <c r="A393" s="201">
        <v>44111</v>
      </c>
    </row>
    <row r="394" spans="1:2" x14ac:dyDescent="0.25">
      <c r="A394" s="201">
        <v>44110</v>
      </c>
    </row>
    <row r="395" spans="1:2" x14ac:dyDescent="0.25">
      <c r="A395" s="201">
        <v>44109</v>
      </c>
    </row>
    <row r="396" spans="1:2" x14ac:dyDescent="0.25">
      <c r="A396" s="201">
        <v>44106</v>
      </c>
    </row>
    <row r="397" spans="1:2" x14ac:dyDescent="0.25">
      <c r="A397" s="201">
        <v>44105</v>
      </c>
    </row>
    <row r="398" spans="1:2" x14ac:dyDescent="0.25">
      <c r="A398" s="201">
        <v>44104</v>
      </c>
      <c r="B398">
        <v>47000</v>
      </c>
    </row>
    <row r="399" spans="1:2" x14ac:dyDescent="0.25">
      <c r="A399" s="201">
        <v>44103</v>
      </c>
    </row>
    <row r="400" spans="1:2" x14ac:dyDescent="0.25">
      <c r="A400" s="201">
        <v>44102</v>
      </c>
    </row>
    <row r="401" spans="1:2" x14ac:dyDescent="0.25">
      <c r="A401" s="201">
        <v>44099</v>
      </c>
    </row>
    <row r="402" spans="1:2" x14ac:dyDescent="0.25">
      <c r="A402" s="201">
        <v>44098</v>
      </c>
    </row>
    <row r="403" spans="1:2" x14ac:dyDescent="0.25">
      <c r="A403" s="201">
        <v>44097</v>
      </c>
      <c r="B403">
        <v>47000</v>
      </c>
    </row>
    <row r="404" spans="1:2" x14ac:dyDescent="0.25">
      <c r="A404" s="201">
        <v>44096</v>
      </c>
    </row>
    <row r="405" spans="1:2" x14ac:dyDescent="0.25">
      <c r="A405" s="201">
        <v>44095</v>
      </c>
    </row>
    <row r="406" spans="1:2" x14ac:dyDescent="0.25">
      <c r="A406" s="201">
        <v>44092</v>
      </c>
    </row>
    <row r="407" spans="1:2" x14ac:dyDescent="0.25">
      <c r="A407" s="201">
        <v>44091</v>
      </c>
    </row>
    <row r="408" spans="1:2" x14ac:dyDescent="0.25">
      <c r="A408" s="201">
        <v>44090</v>
      </c>
      <c r="B408">
        <v>47000</v>
      </c>
    </row>
    <row r="409" spans="1:2" x14ac:dyDescent="0.25">
      <c r="A409" s="201">
        <v>44089</v>
      </c>
    </row>
    <row r="410" spans="1:2" x14ac:dyDescent="0.25">
      <c r="A410" s="201">
        <v>44088</v>
      </c>
    </row>
    <row r="411" spans="1:2" x14ac:dyDescent="0.25">
      <c r="A411" s="201">
        <v>44085</v>
      </c>
    </row>
    <row r="412" spans="1:2" x14ac:dyDescent="0.25">
      <c r="A412" s="201">
        <v>44084</v>
      </c>
    </row>
    <row r="413" spans="1:2" x14ac:dyDescent="0.25">
      <c r="A413" s="201">
        <v>44083</v>
      </c>
      <c r="B413">
        <v>47000</v>
      </c>
    </row>
    <row r="414" spans="1:2" x14ac:dyDescent="0.25">
      <c r="A414" s="201">
        <v>44082</v>
      </c>
    </row>
    <row r="415" spans="1:2" x14ac:dyDescent="0.25">
      <c r="A415" s="201">
        <v>44078</v>
      </c>
    </row>
    <row r="416" spans="1:2" x14ac:dyDescent="0.25">
      <c r="A416" s="201">
        <v>44077</v>
      </c>
    </row>
    <row r="417" spans="1:2" x14ac:dyDescent="0.25">
      <c r="A417" s="201">
        <v>44076</v>
      </c>
      <c r="B417">
        <v>47000</v>
      </c>
    </row>
    <row r="418" spans="1:2" x14ac:dyDescent="0.25">
      <c r="A418" s="201">
        <v>44075</v>
      </c>
    </row>
    <row r="419" spans="1:2" x14ac:dyDescent="0.25">
      <c r="A419" s="201">
        <v>44074</v>
      </c>
    </row>
    <row r="420" spans="1:2" x14ac:dyDescent="0.25">
      <c r="A420" s="201">
        <v>44071</v>
      </c>
    </row>
    <row r="421" spans="1:2" x14ac:dyDescent="0.25">
      <c r="A421" s="201">
        <v>44070</v>
      </c>
    </row>
    <row r="422" spans="1:2" x14ac:dyDescent="0.25">
      <c r="A422" s="201">
        <v>44069</v>
      </c>
      <c r="B422">
        <v>45000</v>
      </c>
    </row>
    <row r="423" spans="1:2" x14ac:dyDescent="0.25">
      <c r="A423" s="201">
        <v>44068</v>
      </c>
    </row>
    <row r="424" spans="1:2" x14ac:dyDescent="0.25">
      <c r="A424" s="201">
        <v>44067</v>
      </c>
    </row>
    <row r="425" spans="1:2" x14ac:dyDescent="0.25">
      <c r="A425" s="201">
        <v>44064</v>
      </c>
    </row>
    <row r="426" spans="1:2" x14ac:dyDescent="0.25">
      <c r="A426" s="201">
        <v>44063</v>
      </c>
    </row>
    <row r="427" spans="1:2" x14ac:dyDescent="0.25">
      <c r="A427" s="201">
        <v>44062</v>
      </c>
      <c r="B427">
        <v>45000</v>
      </c>
    </row>
    <row r="428" spans="1:2" x14ac:dyDescent="0.25">
      <c r="A428" s="201">
        <v>44061</v>
      </c>
    </row>
    <row r="429" spans="1:2" x14ac:dyDescent="0.25">
      <c r="A429" s="201">
        <v>44060</v>
      </c>
    </row>
    <row r="430" spans="1:2" x14ac:dyDescent="0.25">
      <c r="A430" s="201">
        <v>44057</v>
      </c>
    </row>
    <row r="431" spans="1:2" x14ac:dyDescent="0.25">
      <c r="A431" s="201">
        <v>44056</v>
      </c>
    </row>
    <row r="432" spans="1:2" x14ac:dyDescent="0.25">
      <c r="A432" s="201">
        <v>44055</v>
      </c>
      <c r="B432">
        <v>44000</v>
      </c>
    </row>
    <row r="433" spans="1:2" x14ac:dyDescent="0.25">
      <c r="A433" s="201">
        <v>44054</v>
      </c>
    </row>
    <row r="434" spans="1:2" x14ac:dyDescent="0.25">
      <c r="A434" s="201">
        <v>44053</v>
      </c>
    </row>
    <row r="435" spans="1:2" x14ac:dyDescent="0.25">
      <c r="A435" s="201">
        <v>44050</v>
      </c>
    </row>
    <row r="436" spans="1:2" x14ac:dyDescent="0.25">
      <c r="A436" s="201">
        <v>44049</v>
      </c>
    </row>
    <row r="437" spans="1:2" x14ac:dyDescent="0.25">
      <c r="A437" s="201">
        <v>44048</v>
      </c>
      <c r="B437">
        <v>44000</v>
      </c>
    </row>
    <row r="438" spans="1:2" x14ac:dyDescent="0.25">
      <c r="A438" s="201">
        <v>44047</v>
      </c>
    </row>
    <row r="439" spans="1:2" x14ac:dyDescent="0.25">
      <c r="A439" s="201">
        <v>44046</v>
      </c>
    </row>
    <row r="440" spans="1:2" x14ac:dyDescent="0.25">
      <c r="A440" s="201">
        <v>44043</v>
      </c>
    </row>
    <row r="441" spans="1:2" x14ac:dyDescent="0.25">
      <c r="A441" s="201">
        <v>44042</v>
      </c>
    </row>
    <row r="442" spans="1:2" x14ac:dyDescent="0.25">
      <c r="A442" s="201">
        <v>44041</v>
      </c>
      <c r="B442">
        <v>44000</v>
      </c>
    </row>
    <row r="443" spans="1:2" x14ac:dyDescent="0.25">
      <c r="A443" s="201">
        <v>44040</v>
      </c>
    </row>
    <row r="444" spans="1:2" x14ac:dyDescent="0.25">
      <c r="A444" s="201">
        <v>44039</v>
      </c>
    </row>
    <row r="445" spans="1:2" x14ac:dyDescent="0.25">
      <c r="A445" s="201">
        <v>44036</v>
      </c>
    </row>
    <row r="446" spans="1:2" x14ac:dyDescent="0.25">
      <c r="A446" s="201">
        <v>44035</v>
      </c>
    </row>
    <row r="447" spans="1:2" x14ac:dyDescent="0.25">
      <c r="A447" s="201">
        <v>44034</v>
      </c>
      <c r="B447">
        <v>44000</v>
      </c>
    </row>
    <row r="448" spans="1:2" x14ac:dyDescent="0.25">
      <c r="A448" s="201">
        <v>44033</v>
      </c>
    </row>
    <row r="449" spans="1:2" x14ac:dyDescent="0.25">
      <c r="A449" s="201">
        <v>44032</v>
      </c>
    </row>
    <row r="450" spans="1:2" x14ac:dyDescent="0.25">
      <c r="A450" s="201">
        <v>44029</v>
      </c>
    </row>
    <row r="451" spans="1:2" x14ac:dyDescent="0.25">
      <c r="A451" s="201">
        <v>44028</v>
      </c>
    </row>
    <row r="452" spans="1:2" x14ac:dyDescent="0.25">
      <c r="A452" s="201">
        <v>44027</v>
      </c>
      <c r="B452">
        <v>44000</v>
      </c>
    </row>
    <row r="453" spans="1:2" x14ac:dyDescent="0.25">
      <c r="A453" s="201">
        <v>44026</v>
      </c>
    </row>
    <row r="454" spans="1:2" x14ac:dyDescent="0.25">
      <c r="A454" s="201">
        <v>44025</v>
      </c>
    </row>
    <row r="455" spans="1:2" x14ac:dyDescent="0.25">
      <c r="A455" s="201">
        <v>44022</v>
      </c>
    </row>
    <row r="456" spans="1:2" x14ac:dyDescent="0.25">
      <c r="A456" s="201">
        <v>44021</v>
      </c>
    </row>
    <row r="457" spans="1:2" x14ac:dyDescent="0.25">
      <c r="A457" s="201">
        <v>44020</v>
      </c>
      <c r="B457">
        <v>44000</v>
      </c>
    </row>
    <row r="458" spans="1:2" x14ac:dyDescent="0.25">
      <c r="A458" s="201">
        <v>44019</v>
      </c>
    </row>
    <row r="459" spans="1:2" x14ac:dyDescent="0.25">
      <c r="A459" s="201">
        <v>44018</v>
      </c>
    </row>
    <row r="460" spans="1:2" x14ac:dyDescent="0.25">
      <c r="A460" s="201">
        <v>44014</v>
      </c>
    </row>
    <row r="461" spans="1:2" x14ac:dyDescent="0.25">
      <c r="A461" s="201">
        <v>44013</v>
      </c>
      <c r="B461">
        <v>43000</v>
      </c>
    </row>
    <row r="462" spans="1:2" x14ac:dyDescent="0.25">
      <c r="A462" s="201">
        <v>44012</v>
      </c>
    </row>
    <row r="463" spans="1:2" x14ac:dyDescent="0.25">
      <c r="A463" s="201">
        <v>44011</v>
      </c>
    </row>
    <row r="464" spans="1:2" x14ac:dyDescent="0.25">
      <c r="A464" s="201">
        <v>44008</v>
      </c>
    </row>
    <row r="465" spans="1:2" x14ac:dyDescent="0.25">
      <c r="A465" s="201">
        <v>44007</v>
      </c>
    </row>
    <row r="466" spans="1:2" x14ac:dyDescent="0.25">
      <c r="A466" s="201">
        <v>44006</v>
      </c>
      <c r="B466">
        <v>43000</v>
      </c>
    </row>
    <row r="467" spans="1:2" x14ac:dyDescent="0.25">
      <c r="A467" s="201">
        <v>44005</v>
      </c>
    </row>
    <row r="468" spans="1:2" x14ac:dyDescent="0.25">
      <c r="A468" s="201">
        <v>44004</v>
      </c>
    </row>
    <row r="469" spans="1:2" x14ac:dyDescent="0.25">
      <c r="A469" s="201">
        <v>44001</v>
      </c>
    </row>
    <row r="470" spans="1:2" x14ac:dyDescent="0.25">
      <c r="A470" s="201">
        <v>44000</v>
      </c>
    </row>
    <row r="471" spans="1:2" x14ac:dyDescent="0.25">
      <c r="A471" s="201">
        <v>43999</v>
      </c>
      <c r="B471">
        <v>43000</v>
      </c>
    </row>
    <row r="472" spans="1:2" x14ac:dyDescent="0.25">
      <c r="A472" s="201">
        <v>43998</v>
      </c>
    </row>
    <row r="473" spans="1:2" x14ac:dyDescent="0.25">
      <c r="A473" s="201">
        <v>43997</v>
      </c>
    </row>
    <row r="474" spans="1:2" x14ac:dyDescent="0.25">
      <c r="A474" s="201">
        <v>43994</v>
      </c>
    </row>
    <row r="475" spans="1:2" x14ac:dyDescent="0.25">
      <c r="A475" s="201">
        <v>43993</v>
      </c>
    </row>
    <row r="476" spans="1:2" x14ac:dyDescent="0.25">
      <c r="A476" s="201">
        <v>43992</v>
      </c>
      <c r="B476">
        <v>43000</v>
      </c>
    </row>
    <row r="477" spans="1:2" x14ac:dyDescent="0.25">
      <c r="A477" s="201">
        <v>43991</v>
      </c>
    </row>
    <row r="478" spans="1:2" x14ac:dyDescent="0.25">
      <c r="A478" s="201">
        <v>43990</v>
      </c>
    </row>
    <row r="479" spans="1:2" x14ac:dyDescent="0.25">
      <c r="A479" s="201">
        <v>43987</v>
      </c>
    </row>
    <row r="480" spans="1:2" x14ac:dyDescent="0.25">
      <c r="A480" s="201">
        <v>43986</v>
      </c>
    </row>
    <row r="481" spans="1:2" x14ac:dyDescent="0.25">
      <c r="A481" s="201">
        <v>43985</v>
      </c>
      <c r="B481">
        <v>43000</v>
      </c>
    </row>
    <row r="482" spans="1:2" x14ac:dyDescent="0.25">
      <c r="A482" s="201">
        <v>43984</v>
      </c>
    </row>
    <row r="483" spans="1:2" x14ac:dyDescent="0.25">
      <c r="A483" s="201">
        <v>43983</v>
      </c>
    </row>
    <row r="484" spans="1:2" x14ac:dyDescent="0.25">
      <c r="A484" s="201">
        <v>43980</v>
      </c>
    </row>
    <row r="485" spans="1:2" x14ac:dyDescent="0.25">
      <c r="A485" s="201">
        <v>43979</v>
      </c>
    </row>
    <row r="486" spans="1:2" x14ac:dyDescent="0.25">
      <c r="A486" s="201">
        <v>43978</v>
      </c>
      <c r="B486">
        <v>43000</v>
      </c>
    </row>
    <row r="487" spans="1:2" x14ac:dyDescent="0.25">
      <c r="A487" s="201">
        <v>43977</v>
      </c>
    </row>
    <row r="488" spans="1:2" x14ac:dyDescent="0.25">
      <c r="A488" s="201">
        <v>43973</v>
      </c>
    </row>
    <row r="489" spans="1:2" x14ac:dyDescent="0.25">
      <c r="A489" s="201">
        <v>43972</v>
      </c>
    </row>
    <row r="490" spans="1:2" x14ac:dyDescent="0.25">
      <c r="A490" s="201">
        <v>43971</v>
      </c>
      <c r="B490">
        <v>43000</v>
      </c>
    </row>
    <row r="491" spans="1:2" x14ac:dyDescent="0.25">
      <c r="A491" s="201">
        <v>43970</v>
      </c>
    </row>
    <row r="492" spans="1:2" x14ac:dyDescent="0.25">
      <c r="A492" s="201">
        <v>43969</v>
      </c>
    </row>
    <row r="493" spans="1:2" x14ac:dyDescent="0.25">
      <c r="A493" s="201">
        <v>43966</v>
      </c>
    </row>
    <row r="494" spans="1:2" x14ac:dyDescent="0.25">
      <c r="A494" s="201">
        <v>43965</v>
      </c>
    </row>
    <row r="495" spans="1:2" x14ac:dyDescent="0.25">
      <c r="A495" s="201">
        <v>43964</v>
      </c>
      <c r="B495">
        <v>44000</v>
      </c>
    </row>
    <row r="496" spans="1:2" x14ac:dyDescent="0.25">
      <c r="A496" s="201">
        <v>43963</v>
      </c>
    </row>
    <row r="497" spans="1:2" x14ac:dyDescent="0.25">
      <c r="A497" s="201">
        <v>43962</v>
      </c>
    </row>
    <row r="498" spans="1:2" x14ac:dyDescent="0.25">
      <c r="A498" s="201">
        <v>43959</v>
      </c>
    </row>
    <row r="499" spans="1:2" x14ac:dyDescent="0.25">
      <c r="A499" s="201">
        <v>43958</v>
      </c>
      <c r="B499">
        <v>44000</v>
      </c>
    </row>
    <row r="500" spans="1:2" x14ac:dyDescent="0.25">
      <c r="A500" s="201">
        <v>43957</v>
      </c>
    </row>
    <row r="501" spans="1:2" x14ac:dyDescent="0.25">
      <c r="A501" s="201">
        <v>43956</v>
      </c>
    </row>
    <row r="502" spans="1:2" x14ac:dyDescent="0.25">
      <c r="A502" s="201">
        <v>43955</v>
      </c>
    </row>
    <row r="503" spans="1:2" x14ac:dyDescent="0.25">
      <c r="A503" s="201">
        <v>43952</v>
      </c>
    </row>
    <row r="504" spans="1:2" x14ac:dyDescent="0.25">
      <c r="A504" s="201">
        <v>43951</v>
      </c>
    </row>
    <row r="505" spans="1:2" x14ac:dyDescent="0.25">
      <c r="A505" s="201">
        <v>43950</v>
      </c>
      <c r="B505">
        <v>47000</v>
      </c>
    </row>
    <row r="506" spans="1:2" x14ac:dyDescent="0.25">
      <c r="A506" s="201">
        <v>43949</v>
      </c>
    </row>
    <row r="507" spans="1:2" x14ac:dyDescent="0.25">
      <c r="A507" s="201">
        <v>43948</v>
      </c>
    </row>
    <row r="508" spans="1:2" x14ac:dyDescent="0.25">
      <c r="A508" s="201">
        <v>43945</v>
      </c>
    </row>
    <row r="509" spans="1:2" x14ac:dyDescent="0.25">
      <c r="A509" s="201">
        <v>43944</v>
      </c>
    </row>
    <row r="510" spans="1:2" x14ac:dyDescent="0.25">
      <c r="A510" s="201">
        <v>43943</v>
      </c>
      <c r="B510">
        <v>48000</v>
      </c>
    </row>
    <row r="511" spans="1:2" x14ac:dyDescent="0.25">
      <c r="A511" s="201">
        <v>43942</v>
      </c>
    </row>
    <row r="512" spans="1:2" x14ac:dyDescent="0.25">
      <c r="A512" s="201">
        <v>43941</v>
      </c>
    </row>
    <row r="513" spans="1:2" x14ac:dyDescent="0.25">
      <c r="A513" s="201">
        <v>43938</v>
      </c>
    </row>
    <row r="514" spans="1:2" x14ac:dyDescent="0.25">
      <c r="A514" s="201">
        <v>43937</v>
      </c>
    </row>
    <row r="515" spans="1:2" x14ac:dyDescent="0.25">
      <c r="A515" s="201">
        <v>43936</v>
      </c>
      <c r="B515">
        <v>49000</v>
      </c>
    </row>
    <row r="516" spans="1:2" x14ac:dyDescent="0.25">
      <c r="A516" s="201">
        <v>43935</v>
      </c>
    </row>
    <row r="517" spans="1:2" x14ac:dyDescent="0.25">
      <c r="A517" s="201">
        <v>43934</v>
      </c>
    </row>
    <row r="518" spans="1:2" x14ac:dyDescent="0.25">
      <c r="A518" s="201">
        <v>43930</v>
      </c>
    </row>
    <row r="519" spans="1:2" x14ac:dyDescent="0.25">
      <c r="A519" s="201">
        <v>43929</v>
      </c>
      <c r="B519">
        <v>49000</v>
      </c>
    </row>
    <row r="520" spans="1:2" x14ac:dyDescent="0.25">
      <c r="A520" s="201">
        <v>43928</v>
      </c>
    </row>
    <row r="521" spans="1:2" x14ac:dyDescent="0.25">
      <c r="A521" s="201">
        <v>43927</v>
      </c>
    </row>
    <row r="522" spans="1:2" x14ac:dyDescent="0.25">
      <c r="A522" s="201">
        <v>43924</v>
      </c>
    </row>
    <row r="523" spans="1:2" x14ac:dyDescent="0.25">
      <c r="A523" s="201">
        <v>43923</v>
      </c>
    </row>
    <row r="524" spans="1:2" x14ac:dyDescent="0.25">
      <c r="A524" s="201">
        <v>43922</v>
      </c>
      <c r="B524">
        <v>49000</v>
      </c>
    </row>
    <row r="525" spans="1:2" x14ac:dyDescent="0.25">
      <c r="A525" s="201">
        <v>43921</v>
      </c>
    </row>
    <row r="526" spans="1:2" x14ac:dyDescent="0.25">
      <c r="A526" s="201">
        <v>43920</v>
      </c>
    </row>
    <row r="527" spans="1:2" x14ac:dyDescent="0.25">
      <c r="A527" s="201">
        <v>43917</v>
      </c>
    </row>
    <row r="528" spans="1:2" x14ac:dyDescent="0.25">
      <c r="A528" s="201">
        <v>43916</v>
      </c>
    </row>
    <row r="529" spans="1:2" x14ac:dyDescent="0.25">
      <c r="A529" s="201">
        <v>43915</v>
      </c>
      <c r="B529">
        <v>51000</v>
      </c>
    </row>
    <row r="530" spans="1:2" x14ac:dyDescent="0.25">
      <c r="A530" s="201">
        <v>43914</v>
      </c>
    </row>
    <row r="531" spans="1:2" x14ac:dyDescent="0.25">
      <c r="A531" s="201">
        <v>43913</v>
      </c>
    </row>
    <row r="532" spans="1:2" x14ac:dyDescent="0.25">
      <c r="A532" s="201">
        <v>43910</v>
      </c>
    </row>
    <row r="533" spans="1:2" x14ac:dyDescent="0.25">
      <c r="A533" s="201">
        <v>43909</v>
      </c>
    </row>
    <row r="534" spans="1:2" x14ac:dyDescent="0.25">
      <c r="A534" s="201">
        <v>43908</v>
      </c>
      <c r="B534">
        <v>51000</v>
      </c>
    </row>
    <row r="535" spans="1:2" x14ac:dyDescent="0.25">
      <c r="A535" s="201">
        <v>43907</v>
      </c>
    </row>
    <row r="536" spans="1:2" x14ac:dyDescent="0.25">
      <c r="A536" s="201">
        <v>43906</v>
      </c>
    </row>
    <row r="537" spans="1:2" x14ac:dyDescent="0.25">
      <c r="A537" s="201">
        <v>43903</v>
      </c>
    </row>
    <row r="538" spans="1:2" x14ac:dyDescent="0.25">
      <c r="A538" s="201">
        <v>43902</v>
      </c>
    </row>
    <row r="539" spans="1:2" x14ac:dyDescent="0.25">
      <c r="A539" s="201">
        <v>43901</v>
      </c>
      <c r="B539">
        <v>55000</v>
      </c>
    </row>
    <row r="540" spans="1:2" x14ac:dyDescent="0.25">
      <c r="A540" s="201">
        <v>43900</v>
      </c>
    </row>
    <row r="541" spans="1:2" x14ac:dyDescent="0.25">
      <c r="A541" s="201">
        <v>43899</v>
      </c>
    </row>
    <row r="542" spans="1:2" x14ac:dyDescent="0.25">
      <c r="A542" s="201">
        <v>43896</v>
      </c>
    </row>
    <row r="543" spans="1:2" x14ac:dyDescent="0.25">
      <c r="A543" s="201">
        <v>43895</v>
      </c>
    </row>
    <row r="544" spans="1:2" x14ac:dyDescent="0.25">
      <c r="A544" s="201">
        <v>43894</v>
      </c>
      <c r="B544">
        <v>61500</v>
      </c>
    </row>
    <row r="545" spans="1:2" x14ac:dyDescent="0.25">
      <c r="A545" s="201">
        <v>43893</v>
      </c>
    </row>
    <row r="546" spans="1:2" x14ac:dyDescent="0.25">
      <c r="A546" s="201">
        <v>43892</v>
      </c>
    </row>
    <row r="547" spans="1:2" x14ac:dyDescent="0.25">
      <c r="A547" s="201">
        <v>43889</v>
      </c>
    </row>
    <row r="548" spans="1:2" x14ac:dyDescent="0.25">
      <c r="A548" s="201">
        <v>43888</v>
      </c>
    </row>
    <row r="549" spans="1:2" x14ac:dyDescent="0.25">
      <c r="A549" s="201">
        <v>43887</v>
      </c>
      <c r="B549">
        <v>66000</v>
      </c>
    </row>
    <row r="550" spans="1:2" x14ac:dyDescent="0.25">
      <c r="A550" s="201">
        <v>43886</v>
      </c>
    </row>
    <row r="551" spans="1:2" x14ac:dyDescent="0.25">
      <c r="A551" s="201">
        <v>43885</v>
      </c>
    </row>
    <row r="552" spans="1:2" x14ac:dyDescent="0.25">
      <c r="A552" s="201">
        <v>43882</v>
      </c>
    </row>
    <row r="553" spans="1:2" x14ac:dyDescent="0.25">
      <c r="A553" s="201">
        <v>43881</v>
      </c>
    </row>
    <row r="554" spans="1:2" x14ac:dyDescent="0.25">
      <c r="A554" s="201">
        <v>43880</v>
      </c>
      <c r="B554">
        <v>69000</v>
      </c>
    </row>
    <row r="555" spans="1:2" x14ac:dyDescent="0.25">
      <c r="A555" s="201">
        <v>43879</v>
      </c>
    </row>
    <row r="556" spans="1:2" x14ac:dyDescent="0.25">
      <c r="A556" s="201">
        <v>43875</v>
      </c>
    </row>
    <row r="557" spans="1:2" x14ac:dyDescent="0.25">
      <c r="A557" s="201">
        <v>43874</v>
      </c>
    </row>
    <row r="558" spans="1:2" x14ac:dyDescent="0.25">
      <c r="A558" s="201">
        <v>43873</v>
      </c>
      <c r="B558">
        <v>70500</v>
      </c>
    </row>
    <row r="559" spans="1:2" x14ac:dyDescent="0.25">
      <c r="A559" s="201">
        <v>43872</v>
      </c>
    </row>
    <row r="560" spans="1:2" x14ac:dyDescent="0.25">
      <c r="A560" s="201">
        <v>43871</v>
      </c>
    </row>
    <row r="561" spans="1:2" x14ac:dyDescent="0.25">
      <c r="A561" s="201">
        <v>43868</v>
      </c>
    </row>
    <row r="562" spans="1:2" x14ac:dyDescent="0.25">
      <c r="A562" s="201">
        <v>43867</v>
      </c>
    </row>
    <row r="563" spans="1:2" x14ac:dyDescent="0.25">
      <c r="A563" s="201">
        <v>43866</v>
      </c>
      <c r="B563">
        <v>71500</v>
      </c>
    </row>
    <row r="564" spans="1:2" x14ac:dyDescent="0.25">
      <c r="A564" s="201">
        <v>43865</v>
      </c>
    </row>
    <row r="565" spans="1:2" x14ac:dyDescent="0.25">
      <c r="A565" s="201">
        <v>43864</v>
      </c>
    </row>
    <row r="566" spans="1:2" x14ac:dyDescent="0.25">
      <c r="A566" s="201">
        <v>43861</v>
      </c>
    </row>
    <row r="567" spans="1:2" x14ac:dyDescent="0.25">
      <c r="A567" s="201">
        <v>43860</v>
      </c>
    </row>
    <row r="568" spans="1:2" x14ac:dyDescent="0.25">
      <c r="A568" s="201">
        <v>43859</v>
      </c>
      <c r="B568">
        <v>72500</v>
      </c>
    </row>
    <row r="569" spans="1:2" x14ac:dyDescent="0.25">
      <c r="A569" s="201">
        <v>43858</v>
      </c>
    </row>
    <row r="570" spans="1:2" x14ac:dyDescent="0.25">
      <c r="A570" s="201">
        <v>43857</v>
      </c>
    </row>
    <row r="571" spans="1:2" x14ac:dyDescent="0.25">
      <c r="A571" s="201">
        <v>43854</v>
      </c>
    </row>
    <row r="572" spans="1:2" x14ac:dyDescent="0.25">
      <c r="A572" s="201">
        <v>43853</v>
      </c>
    </row>
    <row r="573" spans="1:2" x14ac:dyDescent="0.25">
      <c r="A573" s="201">
        <v>43852</v>
      </c>
      <c r="B573">
        <v>74000</v>
      </c>
    </row>
    <row r="574" spans="1:2" x14ac:dyDescent="0.25">
      <c r="A574" s="201">
        <v>43851</v>
      </c>
    </row>
    <row r="575" spans="1:2" x14ac:dyDescent="0.25">
      <c r="A575" s="201">
        <v>43847</v>
      </c>
    </row>
    <row r="576" spans="1:2" x14ac:dyDescent="0.25">
      <c r="A576" s="201">
        <v>43846</v>
      </c>
    </row>
    <row r="577" spans="1:2" x14ac:dyDescent="0.25">
      <c r="A577" s="201">
        <v>43845</v>
      </c>
      <c r="B577">
        <v>75000</v>
      </c>
    </row>
    <row r="578" spans="1:2" x14ac:dyDescent="0.25">
      <c r="A578" s="201">
        <v>43844</v>
      </c>
    </row>
    <row r="579" spans="1:2" x14ac:dyDescent="0.25">
      <c r="A579" s="201">
        <v>43843</v>
      </c>
    </row>
    <row r="580" spans="1:2" x14ac:dyDescent="0.25">
      <c r="A580" s="201">
        <v>43840</v>
      </c>
    </row>
    <row r="581" spans="1:2" x14ac:dyDescent="0.25">
      <c r="A581" s="201">
        <v>43839</v>
      </c>
    </row>
    <row r="582" spans="1:2" x14ac:dyDescent="0.25">
      <c r="A582" s="201">
        <v>43838</v>
      </c>
      <c r="B582">
        <v>75500</v>
      </c>
    </row>
    <row r="583" spans="1:2" x14ac:dyDescent="0.25">
      <c r="A583" s="201">
        <v>43837</v>
      </c>
    </row>
    <row r="584" spans="1:2" x14ac:dyDescent="0.25">
      <c r="A584" s="201">
        <v>43836</v>
      </c>
    </row>
    <row r="585" spans="1:2" x14ac:dyDescent="0.25">
      <c r="A585" s="201">
        <v>43833</v>
      </c>
    </row>
    <row r="586" spans="1:2" x14ac:dyDescent="0.25">
      <c r="A586" s="201">
        <v>43832</v>
      </c>
    </row>
    <row r="587" spans="1:2" x14ac:dyDescent="0.25">
      <c r="A587" s="201">
        <v>43831</v>
      </c>
      <c r="B587">
        <v>76000</v>
      </c>
    </row>
    <row r="588" spans="1:2" x14ac:dyDescent="0.25">
      <c r="A588" s="201">
        <v>43830</v>
      </c>
    </row>
    <row r="589" spans="1:2" x14ac:dyDescent="0.25">
      <c r="A589" s="201">
        <v>43829</v>
      </c>
    </row>
    <row r="590" spans="1:2" x14ac:dyDescent="0.25">
      <c r="A590" s="201">
        <v>43826</v>
      </c>
    </row>
    <row r="591" spans="1:2" x14ac:dyDescent="0.25">
      <c r="A591" s="201">
        <v>43825</v>
      </c>
    </row>
    <row r="592" spans="1:2" x14ac:dyDescent="0.25">
      <c r="A592" s="201">
        <v>43823</v>
      </c>
      <c r="B592">
        <v>76000</v>
      </c>
    </row>
    <row r="593" spans="1:2" x14ac:dyDescent="0.25">
      <c r="A593" s="201">
        <v>43822</v>
      </c>
    </row>
    <row r="594" spans="1:2" x14ac:dyDescent="0.25">
      <c r="A594" s="201">
        <v>43819</v>
      </c>
    </row>
    <row r="595" spans="1:2" x14ac:dyDescent="0.25">
      <c r="A595" s="201">
        <v>43818</v>
      </c>
    </row>
    <row r="596" spans="1:2" x14ac:dyDescent="0.25">
      <c r="A596" s="201">
        <v>43817</v>
      </c>
      <c r="B596">
        <v>76000</v>
      </c>
    </row>
    <row r="597" spans="1:2" x14ac:dyDescent="0.25">
      <c r="A597" s="201">
        <v>43816</v>
      </c>
    </row>
    <row r="598" spans="1:2" x14ac:dyDescent="0.25">
      <c r="A598" s="201">
        <v>43815</v>
      </c>
    </row>
    <row r="599" spans="1:2" x14ac:dyDescent="0.25">
      <c r="A599" s="201">
        <v>43812</v>
      </c>
    </row>
    <row r="600" spans="1:2" x14ac:dyDescent="0.25">
      <c r="A600" s="201">
        <v>43811</v>
      </c>
    </row>
    <row r="601" spans="1:2" x14ac:dyDescent="0.25">
      <c r="A601" s="201">
        <v>43810</v>
      </c>
      <c r="B601">
        <v>77000</v>
      </c>
    </row>
    <row r="602" spans="1:2" x14ac:dyDescent="0.25">
      <c r="A602" s="201">
        <v>43809</v>
      </c>
    </row>
    <row r="603" spans="1:2" x14ac:dyDescent="0.25">
      <c r="A603" s="201">
        <v>43808</v>
      </c>
    </row>
    <row r="604" spans="1:2" x14ac:dyDescent="0.25">
      <c r="A604" s="201">
        <v>43805</v>
      </c>
    </row>
    <row r="605" spans="1:2" x14ac:dyDescent="0.25">
      <c r="A605" s="201">
        <v>43804</v>
      </c>
    </row>
    <row r="606" spans="1:2" x14ac:dyDescent="0.25">
      <c r="A606" s="201">
        <v>43803</v>
      </c>
      <c r="B606">
        <v>78000</v>
      </c>
    </row>
    <row r="607" spans="1:2" x14ac:dyDescent="0.25">
      <c r="A607" s="201">
        <v>43802</v>
      </c>
    </row>
    <row r="608" spans="1:2" x14ac:dyDescent="0.25">
      <c r="A608" s="201">
        <v>43801</v>
      </c>
    </row>
    <row r="609" spans="1:2" x14ac:dyDescent="0.25">
      <c r="A609" s="201">
        <v>43798</v>
      </c>
    </row>
    <row r="610" spans="1:2" x14ac:dyDescent="0.25">
      <c r="A610" s="201">
        <v>43796</v>
      </c>
      <c r="B610">
        <v>78000</v>
      </c>
    </row>
    <row r="611" spans="1:2" x14ac:dyDescent="0.25">
      <c r="A611" s="201">
        <v>43795</v>
      </c>
    </row>
    <row r="612" spans="1:2" x14ac:dyDescent="0.25">
      <c r="A612" s="201">
        <v>43794</v>
      </c>
    </row>
    <row r="613" spans="1:2" x14ac:dyDescent="0.25">
      <c r="A613" s="201">
        <v>43791</v>
      </c>
    </row>
    <row r="614" spans="1:2" x14ac:dyDescent="0.25">
      <c r="A614" s="201">
        <v>43790</v>
      </c>
    </row>
    <row r="615" spans="1:2" x14ac:dyDescent="0.25">
      <c r="A615" s="201">
        <v>43789</v>
      </c>
      <c r="B615">
        <v>79000</v>
      </c>
    </row>
    <row r="616" spans="1:2" x14ac:dyDescent="0.25">
      <c r="A616" s="201">
        <v>43788</v>
      </c>
    </row>
    <row r="617" spans="1:2" x14ac:dyDescent="0.25">
      <c r="A617" s="201">
        <v>43787</v>
      </c>
    </row>
    <row r="618" spans="1:2" x14ac:dyDescent="0.25">
      <c r="A618" s="201">
        <v>43784</v>
      </c>
    </row>
    <row r="619" spans="1:2" x14ac:dyDescent="0.25">
      <c r="A619" s="201">
        <v>43783</v>
      </c>
    </row>
    <row r="620" spans="1:2" x14ac:dyDescent="0.25">
      <c r="A620" s="201">
        <v>43782</v>
      </c>
      <c r="B620">
        <v>81000</v>
      </c>
    </row>
    <row r="621" spans="1:2" x14ac:dyDescent="0.25">
      <c r="A621" s="201">
        <v>43781</v>
      </c>
    </row>
    <row r="622" spans="1:2" x14ac:dyDescent="0.25">
      <c r="A622" s="201">
        <v>43780</v>
      </c>
    </row>
    <row r="623" spans="1:2" x14ac:dyDescent="0.25">
      <c r="A623" s="201">
        <v>43777</v>
      </c>
    </row>
    <row r="624" spans="1:2" x14ac:dyDescent="0.25">
      <c r="A624" s="201">
        <v>43776</v>
      </c>
    </row>
    <row r="625" spans="1:2" x14ac:dyDescent="0.25">
      <c r="A625" s="201">
        <v>43775</v>
      </c>
      <c r="B625">
        <v>82000</v>
      </c>
    </row>
    <row r="626" spans="1:2" x14ac:dyDescent="0.25">
      <c r="A626" s="201">
        <v>43774</v>
      </c>
    </row>
    <row r="627" spans="1:2" x14ac:dyDescent="0.25">
      <c r="A627" s="201">
        <v>43773</v>
      </c>
    </row>
    <row r="628" spans="1:2" x14ac:dyDescent="0.25">
      <c r="A628" s="201">
        <v>43770</v>
      </c>
    </row>
    <row r="629" spans="1:2" x14ac:dyDescent="0.25">
      <c r="A629" s="201">
        <v>43769</v>
      </c>
    </row>
    <row r="630" spans="1:2" x14ac:dyDescent="0.25">
      <c r="A630" s="201">
        <v>43768</v>
      </c>
      <c r="B630">
        <v>82000</v>
      </c>
    </row>
    <row r="631" spans="1:2" x14ac:dyDescent="0.25">
      <c r="A631" s="201">
        <v>43767</v>
      </c>
    </row>
    <row r="632" spans="1:2" x14ac:dyDescent="0.25">
      <c r="A632" s="201">
        <v>43766</v>
      </c>
    </row>
    <row r="633" spans="1:2" x14ac:dyDescent="0.25">
      <c r="A633" s="201">
        <v>43763</v>
      </c>
    </row>
    <row r="634" spans="1:2" x14ac:dyDescent="0.25">
      <c r="A634" s="201">
        <v>43762</v>
      </c>
    </row>
    <row r="635" spans="1:2" x14ac:dyDescent="0.25">
      <c r="A635" s="201">
        <v>43761</v>
      </c>
      <c r="B635">
        <v>83000</v>
      </c>
    </row>
    <row r="636" spans="1:2" x14ac:dyDescent="0.25">
      <c r="A636" s="201">
        <v>43760</v>
      </c>
    </row>
    <row r="637" spans="1:2" x14ac:dyDescent="0.25">
      <c r="A637" s="201">
        <v>43759</v>
      </c>
    </row>
    <row r="638" spans="1:2" x14ac:dyDescent="0.25">
      <c r="A638" s="201">
        <v>43756</v>
      </c>
    </row>
    <row r="639" spans="1:2" x14ac:dyDescent="0.25">
      <c r="A639" s="201">
        <v>43755</v>
      </c>
    </row>
    <row r="640" spans="1:2" x14ac:dyDescent="0.25">
      <c r="A640" s="201">
        <v>43754</v>
      </c>
      <c r="B640">
        <v>83000</v>
      </c>
    </row>
    <row r="641" spans="1:2" x14ac:dyDescent="0.25">
      <c r="A641" s="201">
        <v>43753</v>
      </c>
    </row>
    <row r="642" spans="1:2" x14ac:dyDescent="0.25">
      <c r="A642" s="201">
        <v>43752</v>
      </c>
    </row>
    <row r="643" spans="1:2" x14ac:dyDescent="0.25">
      <c r="A643" s="201">
        <v>43749</v>
      </c>
    </row>
    <row r="644" spans="1:2" x14ac:dyDescent="0.25">
      <c r="A644" s="201">
        <v>43748</v>
      </c>
    </row>
    <row r="645" spans="1:2" x14ac:dyDescent="0.25">
      <c r="A645" s="201">
        <v>43747</v>
      </c>
      <c r="B645">
        <v>83000</v>
      </c>
    </row>
    <row r="646" spans="1:2" x14ac:dyDescent="0.25">
      <c r="A646" s="201">
        <v>43746</v>
      </c>
    </row>
    <row r="647" spans="1:2" x14ac:dyDescent="0.25">
      <c r="A647" s="201">
        <v>43745</v>
      </c>
    </row>
    <row r="648" spans="1:2" x14ac:dyDescent="0.25">
      <c r="A648" s="201">
        <v>43742</v>
      </c>
    </row>
    <row r="649" spans="1:2" x14ac:dyDescent="0.25">
      <c r="A649" s="201">
        <v>43741</v>
      </c>
    </row>
    <row r="650" spans="1:2" x14ac:dyDescent="0.25">
      <c r="A650" s="201">
        <v>43740</v>
      </c>
      <c r="B650">
        <v>82000</v>
      </c>
    </row>
    <row r="651" spans="1:2" x14ac:dyDescent="0.25">
      <c r="A651" s="201">
        <v>43739</v>
      </c>
    </row>
    <row r="652" spans="1:2" x14ac:dyDescent="0.25">
      <c r="A652" s="201">
        <v>43738</v>
      </c>
    </row>
    <row r="653" spans="1:2" x14ac:dyDescent="0.25">
      <c r="A653" s="201">
        <v>43735</v>
      </c>
    </row>
    <row r="654" spans="1:2" x14ac:dyDescent="0.25">
      <c r="A654" s="201">
        <v>43734</v>
      </c>
    </row>
    <row r="655" spans="1:2" x14ac:dyDescent="0.25">
      <c r="A655" s="201">
        <v>43733</v>
      </c>
      <c r="B655">
        <v>82000</v>
      </c>
    </row>
    <row r="656" spans="1:2" x14ac:dyDescent="0.25">
      <c r="A656" s="201">
        <v>43732</v>
      </c>
    </row>
    <row r="657" spans="1:2" x14ac:dyDescent="0.25">
      <c r="A657" s="201">
        <v>43731</v>
      </c>
    </row>
    <row r="658" spans="1:2" x14ac:dyDescent="0.25">
      <c r="A658" s="201">
        <v>43728</v>
      </c>
    </row>
    <row r="659" spans="1:2" x14ac:dyDescent="0.25">
      <c r="A659" s="201">
        <v>43727</v>
      </c>
    </row>
    <row r="660" spans="1:2" x14ac:dyDescent="0.25">
      <c r="A660" s="201">
        <v>43726</v>
      </c>
      <c r="B660">
        <v>82000</v>
      </c>
    </row>
    <row r="661" spans="1:2" x14ac:dyDescent="0.25">
      <c r="A661" s="201">
        <v>43725</v>
      </c>
    </row>
    <row r="662" spans="1:2" x14ac:dyDescent="0.25">
      <c r="A662" s="201">
        <v>43724</v>
      </c>
    </row>
    <row r="663" spans="1:2" x14ac:dyDescent="0.25">
      <c r="A663" s="201">
        <v>43721</v>
      </c>
    </row>
    <row r="664" spans="1:2" x14ac:dyDescent="0.25">
      <c r="A664" s="201">
        <v>43720</v>
      </c>
    </row>
    <row r="665" spans="1:2" x14ac:dyDescent="0.25">
      <c r="A665" s="201">
        <v>43719</v>
      </c>
      <c r="B665">
        <v>82000</v>
      </c>
    </row>
    <row r="666" spans="1:2" x14ac:dyDescent="0.25">
      <c r="A666" s="201">
        <v>43718</v>
      </c>
    </row>
    <row r="667" spans="1:2" x14ac:dyDescent="0.25">
      <c r="A667" s="201">
        <v>43717</v>
      </c>
    </row>
    <row r="668" spans="1:2" x14ac:dyDescent="0.25">
      <c r="A668" s="201">
        <v>43714</v>
      </c>
    </row>
    <row r="669" spans="1:2" x14ac:dyDescent="0.25">
      <c r="A669" s="201">
        <v>43713</v>
      </c>
    </row>
    <row r="670" spans="1:2" x14ac:dyDescent="0.25">
      <c r="A670" s="201">
        <v>43712</v>
      </c>
      <c r="B670">
        <v>82000</v>
      </c>
    </row>
    <row r="671" spans="1:2" x14ac:dyDescent="0.25">
      <c r="A671" s="201">
        <v>43711</v>
      </c>
    </row>
    <row r="672" spans="1:2" x14ac:dyDescent="0.25">
      <c r="A672" s="201">
        <v>43707</v>
      </c>
    </row>
    <row r="673" spans="1:2" x14ac:dyDescent="0.25">
      <c r="A673" s="201">
        <v>43706</v>
      </c>
    </row>
    <row r="674" spans="1:2" x14ac:dyDescent="0.25">
      <c r="A674" s="201">
        <v>43705</v>
      </c>
      <c r="B674">
        <v>84000</v>
      </c>
    </row>
    <row r="675" spans="1:2" x14ac:dyDescent="0.25">
      <c r="A675" s="201">
        <v>43704</v>
      </c>
    </row>
    <row r="676" spans="1:2" x14ac:dyDescent="0.25">
      <c r="A676" s="201">
        <v>43703</v>
      </c>
    </row>
    <row r="677" spans="1:2" x14ac:dyDescent="0.25">
      <c r="A677" s="201">
        <v>43700</v>
      </c>
    </row>
    <row r="678" spans="1:2" x14ac:dyDescent="0.25">
      <c r="A678" s="201">
        <v>43699</v>
      </c>
    </row>
    <row r="679" spans="1:2" x14ac:dyDescent="0.25">
      <c r="A679" s="201">
        <v>43698</v>
      </c>
      <c r="B679">
        <v>84000</v>
      </c>
    </row>
    <row r="680" spans="1:2" x14ac:dyDescent="0.25">
      <c r="A680" s="201">
        <v>43697</v>
      </c>
    </row>
    <row r="681" spans="1:2" x14ac:dyDescent="0.25">
      <c r="A681" s="201">
        <v>43696</v>
      </c>
    </row>
    <row r="682" spans="1:2" x14ac:dyDescent="0.25">
      <c r="A682" s="201">
        <v>43693</v>
      </c>
    </row>
    <row r="683" spans="1:2" x14ac:dyDescent="0.25">
      <c r="A683" s="201">
        <v>43692</v>
      </c>
    </row>
    <row r="684" spans="1:2" x14ac:dyDescent="0.25">
      <c r="A684" s="201">
        <v>43691</v>
      </c>
      <c r="B684">
        <v>84000</v>
      </c>
    </row>
    <row r="685" spans="1:2" x14ac:dyDescent="0.25">
      <c r="A685" s="201">
        <v>43690</v>
      </c>
    </row>
    <row r="686" spans="1:2" x14ac:dyDescent="0.25">
      <c r="A686" s="201">
        <v>43689</v>
      </c>
    </row>
    <row r="687" spans="1:2" x14ac:dyDescent="0.25">
      <c r="A687" s="201">
        <v>43686</v>
      </c>
    </row>
    <row r="688" spans="1:2" x14ac:dyDescent="0.25">
      <c r="A688" s="201">
        <v>43685</v>
      </c>
    </row>
    <row r="689" spans="1:2" x14ac:dyDescent="0.25">
      <c r="A689" s="201">
        <v>43684</v>
      </c>
      <c r="B689">
        <v>84000</v>
      </c>
    </row>
    <row r="690" spans="1:2" x14ac:dyDescent="0.25">
      <c r="A690" s="201">
        <v>43683</v>
      </c>
    </row>
    <row r="691" spans="1:2" x14ac:dyDescent="0.25">
      <c r="A691" s="201">
        <v>43682</v>
      </c>
    </row>
    <row r="692" spans="1:2" x14ac:dyDescent="0.25">
      <c r="A692" s="201">
        <v>43679</v>
      </c>
    </row>
    <row r="693" spans="1:2" x14ac:dyDescent="0.25">
      <c r="A693" s="201">
        <v>43678</v>
      </c>
    </row>
    <row r="694" spans="1:2" x14ac:dyDescent="0.25">
      <c r="A694" s="201">
        <v>43677</v>
      </c>
      <c r="B694">
        <v>84000</v>
      </c>
    </row>
    <row r="695" spans="1:2" x14ac:dyDescent="0.25">
      <c r="A695" s="201">
        <v>43676</v>
      </c>
    </row>
    <row r="696" spans="1:2" x14ac:dyDescent="0.25">
      <c r="A696" s="201">
        <v>43675</v>
      </c>
    </row>
    <row r="697" spans="1:2" x14ac:dyDescent="0.25">
      <c r="A697" s="201">
        <v>43672</v>
      </c>
    </row>
    <row r="698" spans="1:2" x14ac:dyDescent="0.25">
      <c r="A698" s="201">
        <v>43671</v>
      </c>
    </row>
    <row r="699" spans="1:2" x14ac:dyDescent="0.25">
      <c r="A699" s="201">
        <v>43670</v>
      </c>
      <c r="B699">
        <v>84000</v>
      </c>
    </row>
    <row r="700" spans="1:2" x14ac:dyDescent="0.25">
      <c r="A700" s="201">
        <v>43669</v>
      </c>
    </row>
    <row r="701" spans="1:2" x14ac:dyDescent="0.25">
      <c r="A701" s="201">
        <v>43668</v>
      </c>
    </row>
    <row r="702" spans="1:2" x14ac:dyDescent="0.25">
      <c r="A702" s="201">
        <v>43665</v>
      </c>
    </row>
    <row r="703" spans="1:2" x14ac:dyDescent="0.25">
      <c r="A703" s="201">
        <v>43664</v>
      </c>
    </row>
    <row r="704" spans="1:2" x14ac:dyDescent="0.25">
      <c r="A704" s="201">
        <v>43663</v>
      </c>
      <c r="B704">
        <v>84000</v>
      </c>
    </row>
    <row r="705" spans="1:2" x14ac:dyDescent="0.25">
      <c r="A705" s="201">
        <v>43662</v>
      </c>
    </row>
    <row r="706" spans="1:2" x14ac:dyDescent="0.25">
      <c r="A706" s="201">
        <v>43661</v>
      </c>
    </row>
    <row r="707" spans="1:2" x14ac:dyDescent="0.25">
      <c r="A707" s="201">
        <v>43658</v>
      </c>
    </row>
    <row r="708" spans="1:2" x14ac:dyDescent="0.25">
      <c r="A708" s="201">
        <v>43657</v>
      </c>
    </row>
    <row r="709" spans="1:2" x14ac:dyDescent="0.25">
      <c r="A709" s="201">
        <v>43656</v>
      </c>
      <c r="B709">
        <v>84000</v>
      </c>
    </row>
    <row r="710" spans="1:2" x14ac:dyDescent="0.25">
      <c r="A710" s="201">
        <v>43655</v>
      </c>
    </row>
    <row r="711" spans="1:2" x14ac:dyDescent="0.25">
      <c r="A711" s="201">
        <v>43654</v>
      </c>
    </row>
    <row r="712" spans="1:2" x14ac:dyDescent="0.25">
      <c r="A712" s="201">
        <v>43651</v>
      </c>
    </row>
    <row r="713" spans="1:2" x14ac:dyDescent="0.25">
      <c r="A713" s="201">
        <v>43649</v>
      </c>
      <c r="B713">
        <v>83000</v>
      </c>
    </row>
    <row r="714" spans="1:2" x14ac:dyDescent="0.25">
      <c r="A714" s="201">
        <v>43648</v>
      </c>
    </row>
    <row r="715" spans="1:2" x14ac:dyDescent="0.25">
      <c r="A715" s="201">
        <v>43647</v>
      </c>
    </row>
    <row r="716" spans="1:2" x14ac:dyDescent="0.25">
      <c r="A716" s="201">
        <v>43644</v>
      </c>
    </row>
    <row r="717" spans="1:2" x14ac:dyDescent="0.25">
      <c r="A717" s="201">
        <v>43643</v>
      </c>
    </row>
    <row r="718" spans="1:2" x14ac:dyDescent="0.25">
      <c r="A718" s="201">
        <v>43642</v>
      </c>
      <c r="B718">
        <v>83000</v>
      </c>
    </row>
    <row r="719" spans="1:2" x14ac:dyDescent="0.25">
      <c r="A719" s="201">
        <v>43641</v>
      </c>
    </row>
    <row r="720" spans="1:2" x14ac:dyDescent="0.25">
      <c r="A720" s="201">
        <v>43640</v>
      </c>
    </row>
    <row r="721" spans="1:2" x14ac:dyDescent="0.25">
      <c r="A721" s="201">
        <v>43637</v>
      </c>
    </row>
    <row r="722" spans="1:2" x14ac:dyDescent="0.25">
      <c r="A722" s="201">
        <v>43636</v>
      </c>
    </row>
    <row r="723" spans="1:2" x14ac:dyDescent="0.25">
      <c r="A723" s="201">
        <v>43635</v>
      </c>
      <c r="B723">
        <v>82000</v>
      </c>
    </row>
    <row r="724" spans="1:2" x14ac:dyDescent="0.25">
      <c r="A724" s="201">
        <v>43634</v>
      </c>
    </row>
    <row r="725" spans="1:2" x14ac:dyDescent="0.25">
      <c r="A725" s="201">
        <v>43633</v>
      </c>
    </row>
    <row r="726" spans="1:2" x14ac:dyDescent="0.25">
      <c r="A726" s="201">
        <v>43630</v>
      </c>
    </row>
    <row r="727" spans="1:2" x14ac:dyDescent="0.25">
      <c r="A727" s="201">
        <v>43629</v>
      </c>
    </row>
    <row r="728" spans="1:2" x14ac:dyDescent="0.25">
      <c r="A728" s="201">
        <v>43628</v>
      </c>
      <c r="B728">
        <v>82000</v>
      </c>
    </row>
    <row r="729" spans="1:2" x14ac:dyDescent="0.25">
      <c r="A729" s="201">
        <v>43627</v>
      </c>
    </row>
    <row r="730" spans="1:2" x14ac:dyDescent="0.25">
      <c r="A730" s="201">
        <v>43626</v>
      </c>
    </row>
    <row r="731" spans="1:2" x14ac:dyDescent="0.25">
      <c r="A731" s="201">
        <v>43623</v>
      </c>
    </row>
    <row r="732" spans="1:2" x14ac:dyDescent="0.25">
      <c r="A732" s="201">
        <v>43622</v>
      </c>
    </row>
    <row r="733" spans="1:2" x14ac:dyDescent="0.25">
      <c r="A733" s="201">
        <v>43621</v>
      </c>
      <c r="B733">
        <v>82000</v>
      </c>
    </row>
    <row r="734" spans="1:2" x14ac:dyDescent="0.25">
      <c r="A734" s="201">
        <v>43620</v>
      </c>
    </row>
    <row r="735" spans="1:2" x14ac:dyDescent="0.25">
      <c r="A735" s="201">
        <v>43619</v>
      </c>
      <c r="B735">
        <v>82000</v>
      </c>
    </row>
    <row r="736" spans="1:2" x14ac:dyDescent="0.25">
      <c r="A736" s="201">
        <v>43616</v>
      </c>
    </row>
    <row r="737" spans="1:2" x14ac:dyDescent="0.25">
      <c r="A737" s="201">
        <v>43615</v>
      </c>
    </row>
    <row r="738" spans="1:2" x14ac:dyDescent="0.25">
      <c r="A738" s="201">
        <v>43614</v>
      </c>
    </row>
    <row r="739" spans="1:2" x14ac:dyDescent="0.25">
      <c r="A739" s="201">
        <v>43613</v>
      </c>
    </row>
    <row r="740" spans="1:2" x14ac:dyDescent="0.25">
      <c r="A740" s="201">
        <v>43612</v>
      </c>
      <c r="B740">
        <v>82000</v>
      </c>
    </row>
    <row r="741" spans="1:2" x14ac:dyDescent="0.25">
      <c r="A741" s="201">
        <v>43609</v>
      </c>
    </row>
    <row r="742" spans="1:2" x14ac:dyDescent="0.25">
      <c r="A742" s="201">
        <v>43608</v>
      </c>
    </row>
    <row r="743" spans="1:2" x14ac:dyDescent="0.25">
      <c r="A743" s="201">
        <v>43607</v>
      </c>
    </row>
    <row r="744" spans="1:2" x14ac:dyDescent="0.25">
      <c r="A744" s="201">
        <v>43606</v>
      </c>
    </row>
    <row r="745" spans="1:2" x14ac:dyDescent="0.25">
      <c r="A745" s="201">
        <v>43605</v>
      </c>
      <c r="B745">
        <v>80000</v>
      </c>
    </row>
    <row r="746" spans="1:2" x14ac:dyDescent="0.25">
      <c r="A746" s="201">
        <v>43602</v>
      </c>
    </row>
    <row r="747" spans="1:2" x14ac:dyDescent="0.25">
      <c r="A747" s="201">
        <v>43601</v>
      </c>
    </row>
    <row r="748" spans="1:2" x14ac:dyDescent="0.25">
      <c r="A748" s="201">
        <v>43600</v>
      </c>
    </row>
    <row r="749" spans="1:2" x14ac:dyDescent="0.25">
      <c r="A749" s="201">
        <v>43599</v>
      </c>
    </row>
    <row r="750" spans="1:2" x14ac:dyDescent="0.25">
      <c r="A750" s="201">
        <v>43598</v>
      </c>
      <c r="B750">
        <v>78000</v>
      </c>
    </row>
    <row r="751" spans="1:2" x14ac:dyDescent="0.25">
      <c r="A751" s="201">
        <v>43595</v>
      </c>
    </row>
    <row r="752" spans="1:2" x14ac:dyDescent="0.25">
      <c r="A752" s="201">
        <v>43594</v>
      </c>
    </row>
    <row r="753" spans="1:2" x14ac:dyDescent="0.25">
      <c r="A753" s="201">
        <v>43593</v>
      </c>
    </row>
    <row r="754" spans="1:2" x14ac:dyDescent="0.25">
      <c r="A754" s="201">
        <v>43592</v>
      </c>
    </row>
    <row r="755" spans="1:2" x14ac:dyDescent="0.25">
      <c r="A755" s="201">
        <v>43591</v>
      </c>
      <c r="B755">
        <v>75000</v>
      </c>
    </row>
    <row r="756" spans="1:2" x14ac:dyDescent="0.25">
      <c r="A756" s="201">
        <v>43588</v>
      </c>
    </row>
    <row r="757" spans="1:2" x14ac:dyDescent="0.25">
      <c r="A757" s="201">
        <v>43587</v>
      </c>
    </row>
    <row r="758" spans="1:2" x14ac:dyDescent="0.25">
      <c r="A758" s="201">
        <v>43586</v>
      </c>
    </row>
    <row r="759" spans="1:2" x14ac:dyDescent="0.25">
      <c r="A759" s="201">
        <v>43585</v>
      </c>
    </row>
    <row r="760" spans="1:2" x14ac:dyDescent="0.25">
      <c r="A760" s="201">
        <v>43584</v>
      </c>
      <c r="B760">
        <v>74000</v>
      </c>
    </row>
    <row r="761" spans="1:2" x14ac:dyDescent="0.25">
      <c r="A761" s="201">
        <v>43581</v>
      </c>
    </row>
    <row r="762" spans="1:2" x14ac:dyDescent="0.25">
      <c r="A762" s="201">
        <v>43580</v>
      </c>
    </row>
    <row r="763" spans="1:2" x14ac:dyDescent="0.25">
      <c r="A763" s="201">
        <v>43579</v>
      </c>
    </row>
    <row r="764" spans="1:2" x14ac:dyDescent="0.25">
      <c r="A764" s="201">
        <v>43578</v>
      </c>
    </row>
    <row r="765" spans="1:2" x14ac:dyDescent="0.25">
      <c r="A765" s="201">
        <v>43577</v>
      </c>
      <c r="B765">
        <v>74000</v>
      </c>
    </row>
    <row r="766" spans="1:2" x14ac:dyDescent="0.25">
      <c r="A766" s="201">
        <v>43573</v>
      </c>
    </row>
    <row r="767" spans="1:2" x14ac:dyDescent="0.25">
      <c r="A767" s="201">
        <v>43572</v>
      </c>
    </row>
    <row r="768" spans="1:2" x14ac:dyDescent="0.25">
      <c r="A768" s="201">
        <v>43571</v>
      </c>
    </row>
    <row r="769" spans="1:2" x14ac:dyDescent="0.25">
      <c r="A769" s="201">
        <v>43570</v>
      </c>
      <c r="B769">
        <v>74000</v>
      </c>
    </row>
    <row r="770" spans="1:2" x14ac:dyDescent="0.25">
      <c r="A770" s="201">
        <v>43567</v>
      </c>
    </row>
    <row r="771" spans="1:2" x14ac:dyDescent="0.25">
      <c r="A771" s="201">
        <v>43566</v>
      </c>
    </row>
    <row r="772" spans="1:2" x14ac:dyDescent="0.25">
      <c r="A772" s="201">
        <v>43565</v>
      </c>
    </row>
    <row r="773" spans="1:2" x14ac:dyDescent="0.25">
      <c r="A773" s="201">
        <v>43564</v>
      </c>
    </row>
    <row r="774" spans="1:2" x14ac:dyDescent="0.25">
      <c r="A774" s="201">
        <v>43563</v>
      </c>
      <c r="B774">
        <v>74000</v>
      </c>
    </row>
    <row r="775" spans="1:2" x14ac:dyDescent="0.25">
      <c r="A775" s="201">
        <v>43560</v>
      </c>
    </row>
    <row r="776" spans="1:2" x14ac:dyDescent="0.25">
      <c r="A776" s="201">
        <v>43559</v>
      </c>
    </row>
    <row r="777" spans="1:2" x14ac:dyDescent="0.25">
      <c r="A777" s="201">
        <v>43558</v>
      </c>
    </row>
    <row r="778" spans="1:2" x14ac:dyDescent="0.25">
      <c r="A778" s="201">
        <v>43557</v>
      </c>
    </row>
    <row r="779" spans="1:2" x14ac:dyDescent="0.25">
      <c r="A779" s="201">
        <v>43556</v>
      </c>
      <c r="B779">
        <v>73000</v>
      </c>
    </row>
    <row r="780" spans="1:2" x14ac:dyDescent="0.25">
      <c r="A780" s="201">
        <v>43553</v>
      </c>
    </row>
    <row r="781" spans="1:2" x14ac:dyDescent="0.25">
      <c r="A781" s="201">
        <v>43552</v>
      </c>
    </row>
    <row r="782" spans="1:2" x14ac:dyDescent="0.25">
      <c r="A782" s="201">
        <v>43551</v>
      </c>
    </row>
    <row r="783" spans="1:2" x14ac:dyDescent="0.25">
      <c r="A783" s="201">
        <v>43550</v>
      </c>
    </row>
    <row r="784" spans="1:2" x14ac:dyDescent="0.25">
      <c r="A784" s="201">
        <v>43549</v>
      </c>
      <c r="B784">
        <v>73000</v>
      </c>
    </row>
    <row r="785" spans="1:2" x14ac:dyDescent="0.25">
      <c r="A785" s="201">
        <v>43546</v>
      </c>
    </row>
    <row r="786" spans="1:2" x14ac:dyDescent="0.25">
      <c r="A786" s="201">
        <v>43545</v>
      </c>
    </row>
    <row r="787" spans="1:2" x14ac:dyDescent="0.25">
      <c r="A787" s="201">
        <v>43544</v>
      </c>
    </row>
    <row r="788" spans="1:2" x14ac:dyDescent="0.25">
      <c r="A788" s="201">
        <v>43543</v>
      </c>
    </row>
    <row r="789" spans="1:2" x14ac:dyDescent="0.25">
      <c r="A789" s="201">
        <v>43542</v>
      </c>
      <c r="B789">
        <v>73000</v>
      </c>
    </row>
    <row r="790" spans="1:2" x14ac:dyDescent="0.25">
      <c r="A790" s="201">
        <v>43539</v>
      </c>
    </row>
    <row r="791" spans="1:2" x14ac:dyDescent="0.25">
      <c r="A791" s="201">
        <v>43538</v>
      </c>
    </row>
    <row r="792" spans="1:2" x14ac:dyDescent="0.25">
      <c r="A792" s="201">
        <v>43537</v>
      </c>
    </row>
    <row r="793" spans="1:2" x14ac:dyDescent="0.25">
      <c r="A793" s="201">
        <v>43536</v>
      </c>
    </row>
    <row r="794" spans="1:2" x14ac:dyDescent="0.25">
      <c r="A794" s="201">
        <v>43535</v>
      </c>
      <c r="B794">
        <v>73000</v>
      </c>
    </row>
    <row r="795" spans="1:2" x14ac:dyDescent="0.25">
      <c r="A795" s="201">
        <v>43532</v>
      </c>
    </row>
    <row r="796" spans="1:2" x14ac:dyDescent="0.25">
      <c r="A796" s="201">
        <v>43531</v>
      </c>
    </row>
    <row r="797" spans="1:2" x14ac:dyDescent="0.25">
      <c r="A797" s="201">
        <v>43530</v>
      </c>
    </row>
    <row r="798" spans="1:2" x14ac:dyDescent="0.25">
      <c r="A798" s="201">
        <v>43529</v>
      </c>
    </row>
    <row r="799" spans="1:2" x14ac:dyDescent="0.25">
      <c r="A799" s="201">
        <v>43528</v>
      </c>
      <c r="B799">
        <v>75000</v>
      </c>
    </row>
    <row r="800" spans="1:2" x14ac:dyDescent="0.25">
      <c r="A800" s="201">
        <v>43525</v>
      </c>
    </row>
    <row r="801" spans="1:2" x14ac:dyDescent="0.25">
      <c r="A801" s="201">
        <v>43524</v>
      </c>
    </row>
    <row r="802" spans="1:2" x14ac:dyDescent="0.25">
      <c r="A802" s="201">
        <v>43523</v>
      </c>
    </row>
    <row r="803" spans="1:2" x14ac:dyDescent="0.25">
      <c r="A803" s="201">
        <v>43522</v>
      </c>
    </row>
    <row r="804" spans="1:2" x14ac:dyDescent="0.25">
      <c r="A804" s="201">
        <v>43521</v>
      </c>
      <c r="B804">
        <v>75000</v>
      </c>
    </row>
    <row r="805" spans="1:2" x14ac:dyDescent="0.25">
      <c r="A805" s="201">
        <v>43518</v>
      </c>
    </row>
    <row r="806" spans="1:2" x14ac:dyDescent="0.25">
      <c r="A806" s="201">
        <v>43517</v>
      </c>
    </row>
    <row r="807" spans="1:2" x14ac:dyDescent="0.25">
      <c r="A807" s="201">
        <v>43516</v>
      </c>
    </row>
    <row r="808" spans="1:2" x14ac:dyDescent="0.25">
      <c r="A808" s="201">
        <v>43515</v>
      </c>
    </row>
    <row r="809" spans="1:2" x14ac:dyDescent="0.25">
      <c r="A809" s="201">
        <v>43514</v>
      </c>
      <c r="B809">
        <v>78000</v>
      </c>
    </row>
    <row r="810" spans="1:2" x14ac:dyDescent="0.25">
      <c r="A810" s="201">
        <v>43511</v>
      </c>
    </row>
    <row r="811" spans="1:2" x14ac:dyDescent="0.25">
      <c r="A811" s="201">
        <v>43510</v>
      </c>
    </row>
    <row r="812" spans="1:2" x14ac:dyDescent="0.25">
      <c r="A812" s="201">
        <v>43509</v>
      </c>
    </row>
    <row r="813" spans="1:2" x14ac:dyDescent="0.25">
      <c r="A813" s="201">
        <v>43508</v>
      </c>
    </row>
    <row r="814" spans="1:2" x14ac:dyDescent="0.25">
      <c r="A814" s="201">
        <v>43507</v>
      </c>
      <c r="B814">
        <v>79000</v>
      </c>
    </row>
    <row r="815" spans="1:2" x14ac:dyDescent="0.25">
      <c r="A815" s="201">
        <v>43504</v>
      </c>
    </row>
    <row r="816" spans="1:2" x14ac:dyDescent="0.25">
      <c r="A816" s="201">
        <v>43503</v>
      </c>
    </row>
    <row r="817" spans="1:2" x14ac:dyDescent="0.25">
      <c r="A817" s="201">
        <v>43502</v>
      </c>
    </row>
    <row r="818" spans="1:2" x14ac:dyDescent="0.25">
      <c r="A818" s="201">
        <v>43501</v>
      </c>
    </row>
    <row r="819" spans="1:2" x14ac:dyDescent="0.25">
      <c r="A819" s="201">
        <v>43500</v>
      </c>
      <c r="B819">
        <v>84000</v>
      </c>
    </row>
    <row r="820" spans="1:2" x14ac:dyDescent="0.25">
      <c r="A820" s="201">
        <v>43497</v>
      </c>
    </row>
    <row r="821" spans="1:2" x14ac:dyDescent="0.25">
      <c r="A821" s="201">
        <v>43496</v>
      </c>
    </row>
    <row r="822" spans="1:2" x14ac:dyDescent="0.25">
      <c r="A822" s="201">
        <v>43495</v>
      </c>
    </row>
    <row r="823" spans="1:2" x14ac:dyDescent="0.25">
      <c r="A823" s="201">
        <v>43494</v>
      </c>
    </row>
    <row r="824" spans="1:2" x14ac:dyDescent="0.25">
      <c r="A824" s="201">
        <v>43493</v>
      </c>
      <c r="B824">
        <v>84000</v>
      </c>
    </row>
    <row r="825" spans="1:2" x14ac:dyDescent="0.25">
      <c r="A825" s="201">
        <v>43490</v>
      </c>
    </row>
    <row r="826" spans="1:2" x14ac:dyDescent="0.25">
      <c r="A826" s="201">
        <v>43489</v>
      </c>
    </row>
    <row r="827" spans="1:2" x14ac:dyDescent="0.25">
      <c r="A827" s="201">
        <v>43488</v>
      </c>
    </row>
    <row r="828" spans="1:2" x14ac:dyDescent="0.25">
      <c r="A828" s="201">
        <v>43487</v>
      </c>
    </row>
    <row r="829" spans="1:2" x14ac:dyDescent="0.25">
      <c r="A829" s="201">
        <v>43486</v>
      </c>
      <c r="B829">
        <v>85000</v>
      </c>
    </row>
    <row r="830" spans="1:2" x14ac:dyDescent="0.25">
      <c r="A830" s="201">
        <v>43483</v>
      </c>
    </row>
    <row r="831" spans="1:2" x14ac:dyDescent="0.25">
      <c r="A831" s="201">
        <v>43482</v>
      </c>
    </row>
    <row r="832" spans="1:2" x14ac:dyDescent="0.25">
      <c r="A832" s="201">
        <v>43481</v>
      </c>
    </row>
    <row r="833" spans="1:2" x14ac:dyDescent="0.25">
      <c r="A833" s="201">
        <v>43480</v>
      </c>
    </row>
    <row r="834" spans="1:2" x14ac:dyDescent="0.25">
      <c r="A834" s="201">
        <v>43479</v>
      </c>
      <c r="B834">
        <v>87000</v>
      </c>
    </row>
    <row r="835" spans="1:2" x14ac:dyDescent="0.25">
      <c r="A835" s="201">
        <v>43476</v>
      </c>
    </row>
    <row r="836" spans="1:2" x14ac:dyDescent="0.25">
      <c r="A836" s="201">
        <v>43475</v>
      </c>
    </row>
    <row r="837" spans="1:2" x14ac:dyDescent="0.25">
      <c r="A837" s="201">
        <v>43474</v>
      </c>
    </row>
    <row r="838" spans="1:2" x14ac:dyDescent="0.25">
      <c r="A838" s="201">
        <v>43473</v>
      </c>
    </row>
    <row r="839" spans="1:2" x14ac:dyDescent="0.25">
      <c r="A839" s="201">
        <v>43472</v>
      </c>
      <c r="B839">
        <v>87000</v>
      </c>
    </row>
    <row r="840" spans="1:2" x14ac:dyDescent="0.25">
      <c r="A840" s="201">
        <v>43469</v>
      </c>
    </row>
    <row r="841" spans="1:2" x14ac:dyDescent="0.25">
      <c r="A841" s="201">
        <v>43468</v>
      </c>
    </row>
    <row r="842" spans="1:2" x14ac:dyDescent="0.25">
      <c r="A842" s="201">
        <v>43467</v>
      </c>
    </row>
    <row r="843" spans="1:2" x14ac:dyDescent="0.25">
      <c r="A843" s="201">
        <v>43465</v>
      </c>
      <c r="B843">
        <v>92500</v>
      </c>
    </row>
    <row r="844" spans="1:2" x14ac:dyDescent="0.25">
      <c r="A844" s="201">
        <v>43462</v>
      </c>
    </row>
    <row r="845" spans="1:2" x14ac:dyDescent="0.25">
      <c r="A845" s="201">
        <v>43461</v>
      </c>
    </row>
    <row r="846" spans="1:2" x14ac:dyDescent="0.25">
      <c r="A846" s="201">
        <v>43460</v>
      </c>
    </row>
    <row r="847" spans="1:2" x14ac:dyDescent="0.25">
      <c r="A847" s="201">
        <v>43458</v>
      </c>
      <c r="B847">
        <v>92500</v>
      </c>
    </row>
    <row r="848" spans="1:2" x14ac:dyDescent="0.25">
      <c r="A848" s="201">
        <v>43455</v>
      </c>
    </row>
    <row r="849" spans="1:2" x14ac:dyDescent="0.25">
      <c r="A849" s="201">
        <v>43454</v>
      </c>
    </row>
    <row r="850" spans="1:2" x14ac:dyDescent="0.25">
      <c r="A850" s="201">
        <v>43453</v>
      </c>
      <c r="B850">
        <v>95000</v>
      </c>
    </row>
    <row r="851" spans="1:2" x14ac:dyDescent="0.25">
      <c r="A851" s="201">
        <v>43452</v>
      </c>
    </row>
    <row r="852" spans="1:2" x14ac:dyDescent="0.25">
      <c r="A852" s="201">
        <v>43451</v>
      </c>
    </row>
    <row r="853" spans="1:2" x14ac:dyDescent="0.25">
      <c r="A853" s="201">
        <v>43448</v>
      </c>
    </row>
    <row r="854" spans="1:2" x14ac:dyDescent="0.25">
      <c r="A854" s="201">
        <v>43447</v>
      </c>
    </row>
    <row r="855" spans="1:2" x14ac:dyDescent="0.25">
      <c r="A855" s="201">
        <v>43446</v>
      </c>
    </row>
    <row r="856" spans="1:2" x14ac:dyDescent="0.25">
      <c r="A856" s="201">
        <v>43445</v>
      </c>
    </row>
    <row r="857" spans="1:2" x14ac:dyDescent="0.25">
      <c r="A857" s="201">
        <v>43444</v>
      </c>
    </row>
    <row r="858" spans="1:2" x14ac:dyDescent="0.25">
      <c r="A858" s="201">
        <v>43441</v>
      </c>
    </row>
    <row r="859" spans="1:2" x14ac:dyDescent="0.25">
      <c r="A859" s="201">
        <v>43440</v>
      </c>
    </row>
    <row r="860" spans="1:2" x14ac:dyDescent="0.25">
      <c r="A860" s="201">
        <v>43439</v>
      </c>
      <c r="B860">
        <v>100000</v>
      </c>
    </row>
    <row r="861" spans="1:2" x14ac:dyDescent="0.25">
      <c r="A861" s="201">
        <v>43438</v>
      </c>
    </row>
    <row r="862" spans="1:2" x14ac:dyDescent="0.25">
      <c r="A862" s="201">
        <v>43437</v>
      </c>
    </row>
    <row r="863" spans="1:2" x14ac:dyDescent="0.25">
      <c r="A863" s="201">
        <v>43434</v>
      </c>
    </row>
    <row r="864" spans="1:2" x14ac:dyDescent="0.25">
      <c r="A864" s="201">
        <v>43433</v>
      </c>
    </row>
    <row r="865" spans="1:2" x14ac:dyDescent="0.25">
      <c r="A865" s="201">
        <v>43432</v>
      </c>
      <c r="B865">
        <v>110000</v>
      </c>
    </row>
    <row r="866" spans="1:2" x14ac:dyDescent="0.25">
      <c r="A866" s="201">
        <v>43431</v>
      </c>
    </row>
    <row r="867" spans="1:2" x14ac:dyDescent="0.25">
      <c r="A867" s="201">
        <v>43430</v>
      </c>
    </row>
    <row r="868" spans="1:2" x14ac:dyDescent="0.25">
      <c r="A868" s="201">
        <v>43427</v>
      </c>
      <c r="B868">
        <v>110000</v>
      </c>
    </row>
    <row r="869" spans="1:2" x14ac:dyDescent="0.25">
      <c r="A869" s="201">
        <v>43425</v>
      </c>
    </row>
    <row r="870" spans="1:2" x14ac:dyDescent="0.25">
      <c r="A870" s="201">
        <v>43424</v>
      </c>
    </row>
    <row r="871" spans="1:2" x14ac:dyDescent="0.25">
      <c r="A871" s="201">
        <v>43423</v>
      </c>
    </row>
    <row r="872" spans="1:2" x14ac:dyDescent="0.25">
      <c r="A872" s="201">
        <v>43420</v>
      </c>
      <c r="B872">
        <v>110000</v>
      </c>
    </row>
    <row r="873" spans="1:2" x14ac:dyDescent="0.25">
      <c r="A873" s="201">
        <v>43419</v>
      </c>
    </row>
    <row r="874" spans="1:2" x14ac:dyDescent="0.25">
      <c r="A874" s="201">
        <v>43418</v>
      </c>
    </row>
    <row r="875" spans="1:2" x14ac:dyDescent="0.25">
      <c r="A875" s="201">
        <v>43417</v>
      </c>
    </row>
    <row r="876" spans="1:2" x14ac:dyDescent="0.25">
      <c r="A876" s="201">
        <v>43416</v>
      </c>
    </row>
    <row r="877" spans="1:2" x14ac:dyDescent="0.25">
      <c r="A877" s="201">
        <v>43413</v>
      </c>
      <c r="B877">
        <v>110000</v>
      </c>
    </row>
    <row r="878" spans="1:2" x14ac:dyDescent="0.25">
      <c r="A878" s="201">
        <v>43412</v>
      </c>
    </row>
    <row r="879" spans="1:2" x14ac:dyDescent="0.25">
      <c r="A879" s="201">
        <v>43411</v>
      </c>
    </row>
    <row r="880" spans="1:2" x14ac:dyDescent="0.25">
      <c r="A880" s="201">
        <v>43410</v>
      </c>
    </row>
    <row r="881" spans="1:2" x14ac:dyDescent="0.25">
      <c r="A881" s="201">
        <v>43409</v>
      </c>
    </row>
    <row r="882" spans="1:2" x14ac:dyDescent="0.25">
      <c r="A882" s="201">
        <v>43406</v>
      </c>
      <c r="B882">
        <v>95000</v>
      </c>
    </row>
    <row r="883" spans="1:2" x14ac:dyDescent="0.25">
      <c r="A883" s="201">
        <v>43405</v>
      </c>
    </row>
    <row r="884" spans="1:2" x14ac:dyDescent="0.25">
      <c r="A884" s="201">
        <v>43404</v>
      </c>
    </row>
    <row r="885" spans="1:2" x14ac:dyDescent="0.25">
      <c r="A885" s="201">
        <v>43403</v>
      </c>
    </row>
    <row r="886" spans="1:2" x14ac:dyDescent="0.25">
      <c r="A886" s="201">
        <v>43402</v>
      </c>
    </row>
    <row r="887" spans="1:2" x14ac:dyDescent="0.25">
      <c r="A887" s="201">
        <v>43399</v>
      </c>
      <c r="B887">
        <v>90000</v>
      </c>
    </row>
    <row r="888" spans="1:2" x14ac:dyDescent="0.25">
      <c r="A888" s="201">
        <v>43398</v>
      </c>
    </row>
    <row r="889" spans="1:2" x14ac:dyDescent="0.25">
      <c r="A889" s="201">
        <v>43397</v>
      </c>
    </row>
    <row r="890" spans="1:2" x14ac:dyDescent="0.25">
      <c r="A890" s="201">
        <v>43396</v>
      </c>
    </row>
    <row r="891" spans="1:2" x14ac:dyDescent="0.25">
      <c r="A891" s="201">
        <v>43395</v>
      </c>
    </row>
    <row r="892" spans="1:2" x14ac:dyDescent="0.25">
      <c r="A892" s="201">
        <v>43392</v>
      </c>
      <c r="B892">
        <v>90000</v>
      </c>
    </row>
    <row r="893" spans="1:2" x14ac:dyDescent="0.25">
      <c r="A893" s="201">
        <v>43391</v>
      </c>
    </row>
    <row r="894" spans="1:2" x14ac:dyDescent="0.25">
      <c r="A894" s="201">
        <v>43390</v>
      </c>
    </row>
    <row r="895" spans="1:2" x14ac:dyDescent="0.25">
      <c r="A895" s="201">
        <v>43389</v>
      </c>
    </row>
    <row r="896" spans="1:2" x14ac:dyDescent="0.25">
      <c r="A896" s="201">
        <v>43388</v>
      </c>
    </row>
    <row r="897" spans="1:2" x14ac:dyDescent="0.25">
      <c r="A897" s="201">
        <v>43385</v>
      </c>
      <c r="B897">
        <v>90000</v>
      </c>
    </row>
    <row r="898" spans="1:2" x14ac:dyDescent="0.25">
      <c r="A898" s="201">
        <v>43384</v>
      </c>
    </row>
    <row r="899" spans="1:2" x14ac:dyDescent="0.25">
      <c r="A899" s="201">
        <v>43383</v>
      </c>
    </row>
    <row r="900" spans="1:2" x14ac:dyDescent="0.25">
      <c r="A900" s="201">
        <v>43382</v>
      </c>
    </row>
    <row r="901" spans="1:2" x14ac:dyDescent="0.25">
      <c r="A901" s="201">
        <v>43381</v>
      </c>
    </row>
    <row r="902" spans="1:2" x14ac:dyDescent="0.25">
      <c r="A902" s="201">
        <v>43378</v>
      </c>
      <c r="B902">
        <v>90000</v>
      </c>
    </row>
    <row r="903" spans="1:2" x14ac:dyDescent="0.25">
      <c r="A903" s="201">
        <v>43377</v>
      </c>
    </row>
    <row r="904" spans="1:2" x14ac:dyDescent="0.25">
      <c r="A904" s="201">
        <v>43376</v>
      </c>
    </row>
    <row r="905" spans="1:2" x14ac:dyDescent="0.25">
      <c r="A905" s="201">
        <v>43375</v>
      </c>
    </row>
    <row r="906" spans="1:2" x14ac:dyDescent="0.25">
      <c r="A906" s="201">
        <v>43374</v>
      </c>
    </row>
    <row r="907" spans="1:2" x14ac:dyDescent="0.25">
      <c r="A907" s="201">
        <v>43371</v>
      </c>
      <c r="B907">
        <v>86000</v>
      </c>
    </row>
    <row r="908" spans="1:2" x14ac:dyDescent="0.25">
      <c r="A908" s="201">
        <v>43370</v>
      </c>
    </row>
    <row r="909" spans="1:2" x14ac:dyDescent="0.25">
      <c r="A909" s="201">
        <v>43369</v>
      </c>
    </row>
    <row r="910" spans="1:2" x14ac:dyDescent="0.25">
      <c r="A910" s="201">
        <v>43368</v>
      </c>
    </row>
    <row r="911" spans="1:2" x14ac:dyDescent="0.25">
      <c r="A911" s="201">
        <v>43367</v>
      </c>
    </row>
    <row r="912" spans="1:2" x14ac:dyDescent="0.25">
      <c r="A912" s="201">
        <v>43364</v>
      </c>
      <c r="B912">
        <v>84000</v>
      </c>
    </row>
    <row r="913" spans="1:2" x14ac:dyDescent="0.25">
      <c r="A913" s="201">
        <v>43363</v>
      </c>
    </row>
    <row r="914" spans="1:2" x14ac:dyDescent="0.25">
      <c r="A914" s="201">
        <v>43362</v>
      </c>
    </row>
    <row r="915" spans="1:2" x14ac:dyDescent="0.25">
      <c r="A915" s="201">
        <v>43361</v>
      </c>
    </row>
    <row r="916" spans="1:2" x14ac:dyDescent="0.25">
      <c r="A916" s="201">
        <v>43360</v>
      </c>
    </row>
    <row r="917" spans="1:2" x14ac:dyDescent="0.25">
      <c r="A917" s="201">
        <v>43357</v>
      </c>
      <c r="B917">
        <v>84000</v>
      </c>
    </row>
    <row r="918" spans="1:2" x14ac:dyDescent="0.25">
      <c r="A918" s="201">
        <v>43356</v>
      </c>
    </row>
    <row r="919" spans="1:2" x14ac:dyDescent="0.25">
      <c r="A919" s="201">
        <v>43355</v>
      </c>
    </row>
    <row r="920" spans="1:2" x14ac:dyDescent="0.25">
      <c r="A920" s="201">
        <v>43354</v>
      </c>
    </row>
    <row r="921" spans="1:2" x14ac:dyDescent="0.25">
      <c r="A921" s="201">
        <v>43353</v>
      </c>
    </row>
    <row r="922" spans="1:2" x14ac:dyDescent="0.25">
      <c r="A922" s="201">
        <v>43350</v>
      </c>
      <c r="B922">
        <v>84000</v>
      </c>
    </row>
    <row r="923" spans="1:2" x14ac:dyDescent="0.25">
      <c r="A923" s="201">
        <v>43349</v>
      </c>
    </row>
    <row r="924" spans="1:2" x14ac:dyDescent="0.25">
      <c r="A924" s="201">
        <v>43348</v>
      </c>
    </row>
    <row r="925" spans="1:2" x14ac:dyDescent="0.25">
      <c r="A925" s="201">
        <v>43347</v>
      </c>
    </row>
    <row r="926" spans="1:2" x14ac:dyDescent="0.25">
      <c r="A926" s="201">
        <v>43343</v>
      </c>
      <c r="B926">
        <v>80000</v>
      </c>
    </row>
    <row r="927" spans="1:2" x14ac:dyDescent="0.25">
      <c r="A927" s="201">
        <v>43342</v>
      </c>
    </row>
    <row r="928" spans="1:2" x14ac:dyDescent="0.25">
      <c r="A928" s="201">
        <v>43341</v>
      </c>
    </row>
    <row r="929" spans="1:2" x14ac:dyDescent="0.25">
      <c r="A929" s="201">
        <v>43340</v>
      </c>
    </row>
    <row r="930" spans="1:2" x14ac:dyDescent="0.25">
      <c r="A930" s="201">
        <v>43339</v>
      </c>
    </row>
    <row r="931" spans="1:2" x14ac:dyDescent="0.25">
      <c r="A931" s="201">
        <v>43336</v>
      </c>
      <c r="B931">
        <v>80000</v>
      </c>
    </row>
    <row r="932" spans="1:2" x14ac:dyDescent="0.25">
      <c r="A932" s="201">
        <v>43335</v>
      </c>
    </row>
    <row r="933" spans="1:2" x14ac:dyDescent="0.25">
      <c r="A933" s="201">
        <v>43334</v>
      </c>
    </row>
    <row r="934" spans="1:2" x14ac:dyDescent="0.25">
      <c r="A934" s="201">
        <v>43333</v>
      </c>
    </row>
    <row r="935" spans="1:2" x14ac:dyDescent="0.25">
      <c r="A935" s="201">
        <v>43332</v>
      </c>
    </row>
    <row r="936" spans="1:2" x14ac:dyDescent="0.25">
      <c r="A936" s="201">
        <v>43329</v>
      </c>
      <c r="B936">
        <v>78000</v>
      </c>
    </row>
    <row r="937" spans="1:2" x14ac:dyDescent="0.25">
      <c r="A937" s="201">
        <v>43328</v>
      </c>
    </row>
    <row r="938" spans="1:2" x14ac:dyDescent="0.25">
      <c r="A938" s="201">
        <v>43327</v>
      </c>
    </row>
    <row r="939" spans="1:2" x14ac:dyDescent="0.25">
      <c r="A939" s="201">
        <v>43326</v>
      </c>
    </row>
    <row r="940" spans="1:2" x14ac:dyDescent="0.25">
      <c r="A940" s="201">
        <v>43325</v>
      </c>
    </row>
    <row r="941" spans="1:2" x14ac:dyDescent="0.25">
      <c r="A941" s="201">
        <v>43322</v>
      </c>
    </row>
    <row r="942" spans="1:2" x14ac:dyDescent="0.25">
      <c r="A942" s="201">
        <v>43321</v>
      </c>
    </row>
    <row r="943" spans="1:2" x14ac:dyDescent="0.25">
      <c r="A943" s="201">
        <v>43320</v>
      </c>
    </row>
    <row r="944" spans="1:2" x14ac:dyDescent="0.25">
      <c r="A944" s="201">
        <v>43319</v>
      </c>
      <c r="B944">
        <v>78000</v>
      </c>
    </row>
    <row r="945" spans="1:2" x14ac:dyDescent="0.25">
      <c r="A945" s="201">
        <v>43318</v>
      </c>
    </row>
    <row r="946" spans="1:2" x14ac:dyDescent="0.25">
      <c r="A946" s="201">
        <v>43315</v>
      </c>
    </row>
    <row r="947" spans="1:2" x14ac:dyDescent="0.25">
      <c r="A947" s="201">
        <v>43314</v>
      </c>
    </row>
    <row r="948" spans="1:2" x14ac:dyDescent="0.25">
      <c r="A948" s="201">
        <v>43313</v>
      </c>
    </row>
    <row r="949" spans="1:2" x14ac:dyDescent="0.25">
      <c r="A949" s="201">
        <v>43312</v>
      </c>
      <c r="B949">
        <v>78000</v>
      </c>
    </row>
    <row r="950" spans="1:2" x14ac:dyDescent="0.25">
      <c r="A950" s="201">
        <v>43311</v>
      </c>
    </row>
    <row r="951" spans="1:2" x14ac:dyDescent="0.25">
      <c r="A951" s="201">
        <v>43308</v>
      </c>
      <c r="B951">
        <v>78000</v>
      </c>
    </row>
    <row r="952" spans="1:2" x14ac:dyDescent="0.25">
      <c r="A952" s="201">
        <v>43307</v>
      </c>
    </row>
    <row r="953" spans="1:2" x14ac:dyDescent="0.25">
      <c r="A953" s="201">
        <v>43306</v>
      </c>
    </row>
    <row r="954" spans="1:2" x14ac:dyDescent="0.25">
      <c r="A954" s="201">
        <v>43305</v>
      </c>
    </row>
    <row r="955" spans="1:2" x14ac:dyDescent="0.25">
      <c r="A955" s="201">
        <v>43304</v>
      </c>
    </row>
    <row r="956" spans="1:2" x14ac:dyDescent="0.25">
      <c r="A956" s="201">
        <v>43301</v>
      </c>
      <c r="B956">
        <v>75000</v>
      </c>
    </row>
    <row r="957" spans="1:2" x14ac:dyDescent="0.25">
      <c r="A957" s="201">
        <v>43300</v>
      </c>
    </row>
    <row r="958" spans="1:2" x14ac:dyDescent="0.25">
      <c r="A958" s="201">
        <v>43299</v>
      </c>
    </row>
    <row r="959" spans="1:2" x14ac:dyDescent="0.25">
      <c r="A959" s="201">
        <v>43298</v>
      </c>
    </row>
    <row r="960" spans="1:2" x14ac:dyDescent="0.25">
      <c r="A960" s="201">
        <v>43297</v>
      </c>
    </row>
    <row r="961" spans="1:2" x14ac:dyDescent="0.25">
      <c r="A961" s="201">
        <v>43294</v>
      </c>
      <c r="B961">
        <v>80000</v>
      </c>
    </row>
    <row r="962" spans="1:2" x14ac:dyDescent="0.25">
      <c r="A962" s="201">
        <v>43293</v>
      </c>
    </row>
    <row r="963" spans="1:2" x14ac:dyDescent="0.25">
      <c r="A963" s="201">
        <v>43292</v>
      </c>
    </row>
    <row r="964" spans="1:2" x14ac:dyDescent="0.25">
      <c r="A964" s="201">
        <v>43291</v>
      </c>
    </row>
    <row r="965" spans="1:2" x14ac:dyDescent="0.25">
      <c r="A965" s="201">
        <v>43290</v>
      </c>
    </row>
    <row r="966" spans="1:2" x14ac:dyDescent="0.25">
      <c r="A966" s="201">
        <v>43287</v>
      </c>
      <c r="B966">
        <v>80000</v>
      </c>
    </row>
    <row r="967" spans="1:2" x14ac:dyDescent="0.25">
      <c r="A967" s="201">
        <v>43286</v>
      </c>
    </row>
    <row r="968" spans="1:2" x14ac:dyDescent="0.25">
      <c r="A968" s="201">
        <v>43284</v>
      </c>
    </row>
    <row r="969" spans="1:2" x14ac:dyDescent="0.25">
      <c r="A969" s="201">
        <v>43283</v>
      </c>
    </row>
    <row r="970" spans="1:2" x14ac:dyDescent="0.25">
      <c r="A970" s="201">
        <v>43280</v>
      </c>
      <c r="B970">
        <v>80000</v>
      </c>
    </row>
    <row r="971" spans="1:2" x14ac:dyDescent="0.25">
      <c r="A971" s="201">
        <v>43279</v>
      </c>
    </row>
    <row r="972" spans="1:2" x14ac:dyDescent="0.25">
      <c r="A972" s="201">
        <v>43278</v>
      </c>
    </row>
    <row r="973" spans="1:2" x14ac:dyDescent="0.25">
      <c r="A973" s="201">
        <v>43277</v>
      </c>
    </row>
    <row r="974" spans="1:2" x14ac:dyDescent="0.25">
      <c r="A974" s="201">
        <v>43276</v>
      </c>
    </row>
    <row r="975" spans="1:2" x14ac:dyDescent="0.25">
      <c r="A975" s="201">
        <v>43273</v>
      </c>
      <c r="B975">
        <v>80000</v>
      </c>
    </row>
    <row r="976" spans="1:2" x14ac:dyDescent="0.25">
      <c r="A976" s="201">
        <v>43272</v>
      </c>
    </row>
    <row r="977" spans="1:2" x14ac:dyDescent="0.25">
      <c r="A977" s="201">
        <v>43271</v>
      </c>
    </row>
    <row r="978" spans="1:2" x14ac:dyDescent="0.25">
      <c r="A978" s="201">
        <v>43270</v>
      </c>
    </row>
    <row r="979" spans="1:2" x14ac:dyDescent="0.25">
      <c r="A979" s="201">
        <v>43269</v>
      </c>
    </row>
    <row r="980" spans="1:2" x14ac:dyDescent="0.25">
      <c r="A980" s="201">
        <v>43266</v>
      </c>
      <c r="B980">
        <v>70000</v>
      </c>
    </row>
    <row r="981" spans="1:2" x14ac:dyDescent="0.25">
      <c r="A981" s="201">
        <v>43265</v>
      </c>
    </row>
    <row r="982" spans="1:2" x14ac:dyDescent="0.25">
      <c r="A982" s="201">
        <v>43264</v>
      </c>
    </row>
    <row r="983" spans="1:2" x14ac:dyDescent="0.25">
      <c r="A983" s="201">
        <v>43263</v>
      </c>
    </row>
    <row r="984" spans="1:2" x14ac:dyDescent="0.25">
      <c r="A984" s="201">
        <v>43262</v>
      </c>
    </row>
    <row r="985" spans="1:2" x14ac:dyDescent="0.25">
      <c r="A985" s="201">
        <v>43259</v>
      </c>
      <c r="B985">
        <v>58000</v>
      </c>
    </row>
    <row r="986" spans="1:2" x14ac:dyDescent="0.25">
      <c r="A986" s="201">
        <v>43258</v>
      </c>
    </row>
    <row r="987" spans="1:2" x14ac:dyDescent="0.25">
      <c r="A987" s="201">
        <v>43257</v>
      </c>
    </row>
    <row r="988" spans="1:2" x14ac:dyDescent="0.25">
      <c r="A988" s="201">
        <v>43256</v>
      </c>
    </row>
    <row r="989" spans="1:2" x14ac:dyDescent="0.25">
      <c r="A989" s="201">
        <v>43255</v>
      </c>
    </row>
    <row r="990" spans="1:2" x14ac:dyDescent="0.25">
      <c r="A990" s="201">
        <v>43252</v>
      </c>
      <c r="B990">
        <v>58000</v>
      </c>
    </row>
    <row r="991" spans="1:2" x14ac:dyDescent="0.25">
      <c r="A991" s="201">
        <v>43251</v>
      </c>
    </row>
    <row r="992" spans="1:2" x14ac:dyDescent="0.25">
      <c r="A992" s="201">
        <v>43250</v>
      </c>
    </row>
    <row r="993" spans="1:2" x14ac:dyDescent="0.25">
      <c r="A993" s="201">
        <v>43249</v>
      </c>
    </row>
    <row r="994" spans="1:2" x14ac:dyDescent="0.25">
      <c r="A994" s="201">
        <v>43245</v>
      </c>
      <c r="B994">
        <v>58000</v>
      </c>
    </row>
    <row r="995" spans="1:2" x14ac:dyDescent="0.25">
      <c r="A995" s="201">
        <v>43244</v>
      </c>
    </row>
    <row r="996" spans="1:2" x14ac:dyDescent="0.25">
      <c r="A996" s="201">
        <v>43243</v>
      </c>
    </row>
    <row r="997" spans="1:2" x14ac:dyDescent="0.25">
      <c r="A997" s="201">
        <v>43242</v>
      </c>
    </row>
    <row r="998" spans="1:2" x14ac:dyDescent="0.25">
      <c r="A998" s="201">
        <v>43241</v>
      </c>
    </row>
    <row r="999" spans="1:2" x14ac:dyDescent="0.25">
      <c r="A999" s="201">
        <v>43238</v>
      </c>
      <c r="B999">
        <v>56000</v>
      </c>
    </row>
    <row r="1000" spans="1:2" x14ac:dyDescent="0.25">
      <c r="A1000" s="201">
        <v>43237</v>
      </c>
    </row>
    <row r="1001" spans="1:2" x14ac:dyDescent="0.25">
      <c r="A1001" s="201">
        <v>43236</v>
      </c>
    </row>
    <row r="1002" spans="1:2" x14ac:dyDescent="0.25">
      <c r="A1002" s="201">
        <v>43235</v>
      </c>
    </row>
    <row r="1003" spans="1:2" x14ac:dyDescent="0.25">
      <c r="A1003" s="201">
        <v>43234</v>
      </c>
    </row>
    <row r="1004" spans="1:2" x14ac:dyDescent="0.25">
      <c r="A1004" s="201">
        <v>43231</v>
      </c>
      <c r="B1004">
        <v>55000</v>
      </c>
    </row>
    <row r="1005" spans="1:2" x14ac:dyDescent="0.25">
      <c r="A1005" s="201">
        <v>43230</v>
      </c>
    </row>
    <row r="1006" spans="1:2" x14ac:dyDescent="0.25">
      <c r="A1006" s="201">
        <v>43229</v>
      </c>
    </row>
    <row r="1007" spans="1:2" x14ac:dyDescent="0.25">
      <c r="A1007" s="201">
        <v>43228</v>
      </c>
    </row>
    <row r="1008" spans="1:2" x14ac:dyDescent="0.25">
      <c r="A1008" s="201">
        <v>43227</v>
      </c>
    </row>
    <row r="1009" spans="1:2" x14ac:dyDescent="0.25">
      <c r="A1009" s="201">
        <v>43224</v>
      </c>
      <c r="B1009">
        <v>52000</v>
      </c>
    </row>
    <row r="1010" spans="1:2" x14ac:dyDescent="0.25">
      <c r="A1010" s="201">
        <v>43223</v>
      </c>
    </row>
    <row r="1011" spans="1:2" x14ac:dyDescent="0.25">
      <c r="A1011" s="201">
        <v>43222</v>
      </c>
    </row>
    <row r="1012" spans="1:2" x14ac:dyDescent="0.25">
      <c r="A1012" s="201">
        <v>43221</v>
      </c>
    </row>
    <row r="1013" spans="1:2" x14ac:dyDescent="0.25">
      <c r="A1013" s="201">
        <v>43220</v>
      </c>
    </row>
    <row r="1014" spans="1:2" x14ac:dyDescent="0.25">
      <c r="A1014" s="201">
        <v>43217</v>
      </c>
      <c r="B1014">
        <v>52000</v>
      </c>
    </row>
    <row r="1015" spans="1:2" x14ac:dyDescent="0.25">
      <c r="A1015" s="201">
        <v>43216</v>
      </c>
    </row>
    <row r="1016" spans="1:2" x14ac:dyDescent="0.25">
      <c r="A1016" s="201">
        <v>43215</v>
      </c>
    </row>
    <row r="1017" spans="1:2" x14ac:dyDescent="0.25">
      <c r="A1017" s="201">
        <v>43214</v>
      </c>
    </row>
    <row r="1018" spans="1:2" x14ac:dyDescent="0.25">
      <c r="A1018" s="201">
        <v>43213</v>
      </c>
    </row>
    <row r="1019" spans="1:2" x14ac:dyDescent="0.25">
      <c r="A1019" s="201">
        <v>43210</v>
      </c>
      <c r="B1019">
        <v>55000</v>
      </c>
    </row>
    <row r="1020" spans="1:2" x14ac:dyDescent="0.25">
      <c r="A1020" s="201">
        <v>43209</v>
      </c>
    </row>
    <row r="1021" spans="1:2" x14ac:dyDescent="0.25">
      <c r="A1021" s="201">
        <v>43208</v>
      </c>
    </row>
    <row r="1022" spans="1:2" x14ac:dyDescent="0.25">
      <c r="A1022" s="201">
        <v>43207</v>
      </c>
    </row>
    <row r="1023" spans="1:2" x14ac:dyDescent="0.25">
      <c r="A1023" s="201">
        <v>43206</v>
      </c>
    </row>
    <row r="1024" spans="1:2" x14ac:dyDescent="0.25">
      <c r="A1024" s="201">
        <v>43203</v>
      </c>
      <c r="B1024">
        <v>55000</v>
      </c>
    </row>
    <row r="1025" spans="1:2" x14ac:dyDescent="0.25">
      <c r="A1025" s="201">
        <v>43202</v>
      </c>
    </row>
    <row r="1026" spans="1:2" x14ac:dyDescent="0.25">
      <c r="A1026" s="201">
        <v>43201</v>
      </c>
    </row>
    <row r="1027" spans="1:2" x14ac:dyDescent="0.25">
      <c r="A1027" s="201">
        <v>43200</v>
      </c>
    </row>
    <row r="1028" spans="1:2" x14ac:dyDescent="0.25">
      <c r="A1028" s="201">
        <v>43199</v>
      </c>
    </row>
    <row r="1029" spans="1:2" x14ac:dyDescent="0.25">
      <c r="A1029" s="201">
        <v>43196</v>
      </c>
      <c r="B1029">
        <v>56000</v>
      </c>
    </row>
    <row r="1030" spans="1:2" x14ac:dyDescent="0.25">
      <c r="A1030" s="201">
        <v>43195</v>
      </c>
    </row>
    <row r="1031" spans="1:2" x14ac:dyDescent="0.25">
      <c r="A1031" s="201">
        <v>43194</v>
      </c>
    </row>
    <row r="1032" spans="1:2" x14ac:dyDescent="0.25">
      <c r="A1032" s="201">
        <v>43193</v>
      </c>
    </row>
    <row r="1033" spans="1:2" x14ac:dyDescent="0.25">
      <c r="A1033" s="201">
        <v>43192</v>
      </c>
    </row>
    <row r="1034" spans="1:2" x14ac:dyDescent="0.25">
      <c r="A1034" s="201">
        <v>43189</v>
      </c>
      <c r="B1034">
        <v>56000</v>
      </c>
    </row>
    <row r="1035" spans="1:2" x14ac:dyDescent="0.25">
      <c r="A1035" s="201">
        <v>43188</v>
      </c>
    </row>
    <row r="1036" spans="1:2" x14ac:dyDescent="0.25">
      <c r="A1036" s="201">
        <v>43187</v>
      </c>
    </row>
    <row r="1037" spans="1:2" x14ac:dyDescent="0.25">
      <c r="A1037" s="201">
        <v>43186</v>
      </c>
    </row>
    <row r="1038" spans="1:2" x14ac:dyDescent="0.25">
      <c r="A1038" s="201">
        <v>43185</v>
      </c>
    </row>
    <row r="1039" spans="1:2" x14ac:dyDescent="0.25">
      <c r="A1039" s="201">
        <v>43182</v>
      </c>
      <c r="B1039">
        <v>56000</v>
      </c>
    </row>
    <row r="1040" spans="1:2" x14ac:dyDescent="0.25">
      <c r="A1040" s="201">
        <v>43181</v>
      </c>
    </row>
    <row r="1041" spans="1:2" x14ac:dyDescent="0.25">
      <c r="A1041" s="201">
        <v>43180</v>
      </c>
    </row>
    <row r="1042" spans="1:2" x14ac:dyDescent="0.25">
      <c r="A1042" s="201">
        <v>43179</v>
      </c>
    </row>
    <row r="1043" spans="1:2" x14ac:dyDescent="0.25">
      <c r="A1043" s="201">
        <v>43178</v>
      </c>
    </row>
    <row r="1044" spans="1:2" x14ac:dyDescent="0.25">
      <c r="A1044" s="201">
        <v>43175</v>
      </c>
      <c r="B1044">
        <v>56000</v>
      </c>
    </row>
    <row r="1045" spans="1:2" x14ac:dyDescent="0.25">
      <c r="A1045" s="201">
        <v>43174</v>
      </c>
    </row>
    <row r="1046" spans="1:2" x14ac:dyDescent="0.25">
      <c r="A1046" s="201">
        <v>43173</v>
      </c>
    </row>
    <row r="1047" spans="1:2" x14ac:dyDescent="0.25">
      <c r="A1047" s="201">
        <v>43172</v>
      </c>
    </row>
    <row r="1048" spans="1:2" x14ac:dyDescent="0.25">
      <c r="A1048" s="201">
        <v>43171</v>
      </c>
    </row>
    <row r="1049" spans="1:2" x14ac:dyDescent="0.25">
      <c r="A1049" s="201">
        <v>43168</v>
      </c>
      <c r="B1049">
        <v>56000</v>
      </c>
    </row>
    <row r="1050" spans="1:2" x14ac:dyDescent="0.25">
      <c r="A1050" s="201">
        <v>43167</v>
      </c>
    </row>
    <row r="1051" spans="1:2" x14ac:dyDescent="0.25">
      <c r="A1051" s="201">
        <v>43166</v>
      </c>
    </row>
    <row r="1052" spans="1:2" x14ac:dyDescent="0.25">
      <c r="A1052" s="201">
        <v>43165</v>
      </c>
    </row>
    <row r="1053" spans="1:2" x14ac:dyDescent="0.25">
      <c r="A1053" s="201">
        <v>43164</v>
      </c>
    </row>
    <row r="1054" spans="1:2" x14ac:dyDescent="0.25">
      <c r="A1054" s="201">
        <v>43161</v>
      </c>
      <c r="B1054">
        <v>56000</v>
      </c>
    </row>
    <row r="1055" spans="1:2" x14ac:dyDescent="0.25">
      <c r="A1055" s="201">
        <v>43160</v>
      </c>
    </row>
    <row r="1056" spans="1:2" x14ac:dyDescent="0.25">
      <c r="A1056" s="201">
        <v>43159</v>
      </c>
    </row>
    <row r="1057" spans="1:2" x14ac:dyDescent="0.25">
      <c r="A1057" s="201">
        <v>43158</v>
      </c>
    </row>
    <row r="1058" spans="1:2" x14ac:dyDescent="0.25">
      <c r="A1058" s="201">
        <v>43157</v>
      </c>
    </row>
    <row r="1059" spans="1:2" x14ac:dyDescent="0.25">
      <c r="A1059" s="201">
        <v>43154</v>
      </c>
      <c r="B1059">
        <v>56000</v>
      </c>
    </row>
    <row r="1060" spans="1:2" x14ac:dyDescent="0.25">
      <c r="A1060" s="201">
        <v>43153</v>
      </c>
    </row>
    <row r="1061" spans="1:2" x14ac:dyDescent="0.25">
      <c r="A1061" s="201">
        <v>43152</v>
      </c>
    </row>
    <row r="1062" spans="1:2" x14ac:dyDescent="0.25">
      <c r="A1062" s="201">
        <v>43151</v>
      </c>
    </row>
    <row r="1063" spans="1:2" x14ac:dyDescent="0.25">
      <c r="A1063" s="201">
        <v>43147</v>
      </c>
      <c r="B1063">
        <v>55000</v>
      </c>
    </row>
    <row r="1064" spans="1:2" x14ac:dyDescent="0.25">
      <c r="A1064" s="201">
        <v>43146</v>
      </c>
    </row>
    <row r="1065" spans="1:2" x14ac:dyDescent="0.25">
      <c r="A1065" s="201">
        <v>43145</v>
      </c>
    </row>
    <row r="1066" spans="1:2" x14ac:dyDescent="0.25">
      <c r="A1066" s="201">
        <v>43144</v>
      </c>
    </row>
    <row r="1067" spans="1:2" x14ac:dyDescent="0.25">
      <c r="A1067" s="201">
        <v>43143</v>
      </c>
    </row>
    <row r="1068" spans="1:2" x14ac:dyDescent="0.25">
      <c r="A1068" s="201">
        <v>43140</v>
      </c>
      <c r="B1068">
        <v>55000</v>
      </c>
    </row>
    <row r="1069" spans="1:2" x14ac:dyDescent="0.25">
      <c r="A1069" s="201">
        <v>43139</v>
      </c>
    </row>
    <row r="1070" spans="1:2" x14ac:dyDescent="0.25">
      <c r="A1070" s="201">
        <v>43138</v>
      </c>
    </row>
    <row r="1071" spans="1:2" x14ac:dyDescent="0.25">
      <c r="A1071" s="201">
        <v>43137</v>
      </c>
    </row>
    <row r="1072" spans="1:2" x14ac:dyDescent="0.25">
      <c r="A1072" s="201">
        <v>43136</v>
      </c>
    </row>
    <row r="1073" spans="1:2" x14ac:dyDescent="0.25">
      <c r="A1073" s="201">
        <v>43133</v>
      </c>
      <c r="B1073">
        <v>56000</v>
      </c>
    </row>
    <row r="1074" spans="1:2" x14ac:dyDescent="0.25">
      <c r="A1074" s="201">
        <v>43132</v>
      </c>
    </row>
    <row r="1075" spans="1:2" x14ac:dyDescent="0.25">
      <c r="A1075" s="201">
        <v>43131</v>
      </c>
    </row>
    <row r="1076" spans="1:2" x14ac:dyDescent="0.25">
      <c r="A1076" s="201">
        <v>43130</v>
      </c>
    </row>
    <row r="1077" spans="1:2" x14ac:dyDescent="0.25">
      <c r="A1077" s="201">
        <v>43129</v>
      </c>
    </row>
    <row r="1078" spans="1:2" x14ac:dyDescent="0.25">
      <c r="A1078" s="201">
        <v>43126</v>
      </c>
      <c r="B1078">
        <v>56000</v>
      </c>
    </row>
    <row r="1079" spans="1:2" x14ac:dyDescent="0.25">
      <c r="A1079" s="201">
        <v>43125</v>
      </c>
    </row>
    <row r="1080" spans="1:2" x14ac:dyDescent="0.25">
      <c r="A1080" s="201">
        <v>43124</v>
      </c>
    </row>
    <row r="1081" spans="1:2" x14ac:dyDescent="0.25">
      <c r="A1081" s="201">
        <v>43123</v>
      </c>
    </row>
    <row r="1082" spans="1:2" x14ac:dyDescent="0.25">
      <c r="A1082" s="201">
        <v>43122</v>
      </c>
    </row>
    <row r="1083" spans="1:2" x14ac:dyDescent="0.25">
      <c r="A1083" s="201">
        <v>43119</v>
      </c>
      <c r="B1083">
        <v>56000</v>
      </c>
    </row>
    <row r="1084" spans="1:2" x14ac:dyDescent="0.25">
      <c r="A1084" s="201">
        <v>43118</v>
      </c>
    </row>
    <row r="1085" spans="1:2" x14ac:dyDescent="0.25">
      <c r="A1085" s="201">
        <v>43117</v>
      </c>
    </row>
    <row r="1086" spans="1:2" x14ac:dyDescent="0.25">
      <c r="A1086" s="201">
        <v>43116</v>
      </c>
    </row>
    <row r="1087" spans="1:2" x14ac:dyDescent="0.25">
      <c r="A1087" s="201">
        <v>43112</v>
      </c>
      <c r="B1087">
        <v>56000</v>
      </c>
    </row>
    <row r="1088" spans="1:2" x14ac:dyDescent="0.25">
      <c r="A1088" s="201">
        <v>43111</v>
      </c>
    </row>
    <row r="1089" spans="1:2" x14ac:dyDescent="0.25">
      <c r="A1089" s="201">
        <v>43110</v>
      </c>
    </row>
    <row r="1090" spans="1:2" x14ac:dyDescent="0.25">
      <c r="A1090" s="201">
        <v>43109</v>
      </c>
    </row>
    <row r="1091" spans="1:2" x14ac:dyDescent="0.25">
      <c r="A1091" s="201">
        <v>43108</v>
      </c>
    </row>
    <row r="1092" spans="1:2" x14ac:dyDescent="0.25">
      <c r="A1092" s="201">
        <v>43105</v>
      </c>
      <c r="B1092">
        <v>56000</v>
      </c>
    </row>
    <row r="1093" spans="1:2" x14ac:dyDescent="0.25">
      <c r="A1093" s="201">
        <v>43104</v>
      </c>
    </row>
    <row r="1094" spans="1:2" x14ac:dyDescent="0.25">
      <c r="A1094" s="201">
        <v>43103</v>
      </c>
    </row>
    <row r="1095" spans="1:2" x14ac:dyDescent="0.25">
      <c r="A1095" s="201">
        <v>43102</v>
      </c>
    </row>
    <row r="1096" spans="1:2" x14ac:dyDescent="0.25">
      <c r="A1096" s="201">
        <v>43098</v>
      </c>
    </row>
    <row r="1097" spans="1:2" x14ac:dyDescent="0.25">
      <c r="A1097" s="201">
        <v>43097</v>
      </c>
    </row>
    <row r="1098" spans="1:2" x14ac:dyDescent="0.25">
      <c r="A1098" s="201">
        <v>43096</v>
      </c>
    </row>
    <row r="1099" spans="1:2" x14ac:dyDescent="0.25">
      <c r="A1099" s="201">
        <v>43095</v>
      </c>
    </row>
    <row r="1100" spans="1:2" x14ac:dyDescent="0.25">
      <c r="A1100" s="201">
        <v>43091</v>
      </c>
    </row>
    <row r="1101" spans="1:2" x14ac:dyDescent="0.25">
      <c r="A1101" s="201">
        <v>43090</v>
      </c>
    </row>
    <row r="1102" spans="1:2" x14ac:dyDescent="0.25">
      <c r="A1102" s="201">
        <v>43089</v>
      </c>
    </row>
    <row r="1103" spans="1:2" x14ac:dyDescent="0.25">
      <c r="A1103" s="201">
        <v>43088</v>
      </c>
    </row>
    <row r="1104" spans="1:2" x14ac:dyDescent="0.25">
      <c r="A1104" s="201">
        <v>43087</v>
      </c>
    </row>
    <row r="1105" spans="1:1" x14ac:dyDescent="0.25">
      <c r="A1105" s="201">
        <v>43084</v>
      </c>
    </row>
    <row r="1106" spans="1:1" x14ac:dyDescent="0.25">
      <c r="A1106" s="201">
        <v>43083</v>
      </c>
    </row>
    <row r="1107" spans="1:1" x14ac:dyDescent="0.25">
      <c r="A1107" s="201">
        <v>43082</v>
      </c>
    </row>
    <row r="1108" spans="1:1" x14ac:dyDescent="0.25">
      <c r="A1108" s="201">
        <v>43081</v>
      </c>
    </row>
    <row r="1109" spans="1:1" x14ac:dyDescent="0.25">
      <c r="A1109" s="201">
        <v>43080</v>
      </c>
    </row>
    <row r="1110" spans="1:1" x14ac:dyDescent="0.25">
      <c r="A1110" s="201">
        <v>43077</v>
      </c>
    </row>
    <row r="1111" spans="1:1" x14ac:dyDescent="0.25">
      <c r="A1111" s="201">
        <v>43076</v>
      </c>
    </row>
    <row r="1112" spans="1:1" x14ac:dyDescent="0.25">
      <c r="A1112" s="201">
        <v>43075</v>
      </c>
    </row>
    <row r="1113" spans="1:1" x14ac:dyDescent="0.25">
      <c r="A1113" s="201">
        <v>43074</v>
      </c>
    </row>
    <row r="1114" spans="1:1" x14ac:dyDescent="0.25">
      <c r="A1114" s="201">
        <v>43073</v>
      </c>
    </row>
    <row r="1115" spans="1:1" x14ac:dyDescent="0.25">
      <c r="A1115" s="201">
        <v>43070</v>
      </c>
    </row>
    <row r="1116" spans="1:1" x14ac:dyDescent="0.25">
      <c r="A1116" s="201">
        <v>43069</v>
      </c>
    </row>
    <row r="1117" spans="1:1" x14ac:dyDescent="0.25">
      <c r="A1117" s="201">
        <v>43068</v>
      </c>
    </row>
    <row r="1118" spans="1:1" x14ac:dyDescent="0.25">
      <c r="A1118" s="201">
        <v>43067</v>
      </c>
    </row>
    <row r="1119" spans="1:1" x14ac:dyDescent="0.25">
      <c r="A1119" s="201">
        <v>43066</v>
      </c>
    </row>
    <row r="1120" spans="1:1" x14ac:dyDescent="0.25">
      <c r="A1120" s="201">
        <v>43063</v>
      </c>
    </row>
    <row r="1121" spans="1:1" x14ac:dyDescent="0.25">
      <c r="A1121" s="201">
        <v>43061</v>
      </c>
    </row>
    <row r="1122" spans="1:1" x14ac:dyDescent="0.25">
      <c r="A1122" s="201">
        <v>43060</v>
      </c>
    </row>
    <row r="1123" spans="1:1" x14ac:dyDescent="0.25">
      <c r="A1123" s="201">
        <v>43059</v>
      </c>
    </row>
    <row r="1124" spans="1:1" x14ac:dyDescent="0.25">
      <c r="A1124" s="201">
        <v>43056</v>
      </c>
    </row>
    <row r="1125" spans="1:1" x14ac:dyDescent="0.25">
      <c r="A1125" s="201">
        <v>43055</v>
      </c>
    </row>
    <row r="1126" spans="1:1" x14ac:dyDescent="0.25">
      <c r="A1126" s="201">
        <v>43054</v>
      </c>
    </row>
    <row r="1127" spans="1:1" x14ac:dyDescent="0.25">
      <c r="A1127" s="201">
        <v>43053</v>
      </c>
    </row>
    <row r="1128" spans="1:1" x14ac:dyDescent="0.25">
      <c r="A1128" s="201">
        <v>43052</v>
      </c>
    </row>
    <row r="1129" spans="1:1" x14ac:dyDescent="0.25">
      <c r="A1129" s="201">
        <v>43049</v>
      </c>
    </row>
    <row r="1130" spans="1:1" x14ac:dyDescent="0.25">
      <c r="A1130" s="201">
        <v>43048</v>
      </c>
    </row>
    <row r="1131" spans="1:1" x14ac:dyDescent="0.25">
      <c r="A1131" s="201">
        <v>43047</v>
      </c>
    </row>
    <row r="1132" spans="1:1" x14ac:dyDescent="0.25">
      <c r="A1132" s="201">
        <v>43046</v>
      </c>
    </row>
    <row r="1133" spans="1:1" x14ac:dyDescent="0.25">
      <c r="A1133" s="201">
        <v>43045</v>
      </c>
    </row>
    <row r="1134" spans="1:1" x14ac:dyDescent="0.25">
      <c r="A1134" s="201">
        <v>43042</v>
      </c>
    </row>
    <row r="1135" spans="1:1" x14ac:dyDescent="0.25">
      <c r="A1135" s="201">
        <v>43041</v>
      </c>
    </row>
    <row r="1136" spans="1:1" x14ac:dyDescent="0.25">
      <c r="A1136" s="201">
        <v>43040</v>
      </c>
    </row>
    <row r="1137" spans="1:1" x14ac:dyDescent="0.25">
      <c r="A1137" s="201">
        <v>43039</v>
      </c>
    </row>
    <row r="1138" spans="1:1" x14ac:dyDescent="0.25">
      <c r="A1138" s="201">
        <v>43038</v>
      </c>
    </row>
    <row r="1139" spans="1:1" x14ac:dyDescent="0.25">
      <c r="A1139" s="201">
        <v>43035</v>
      </c>
    </row>
    <row r="1140" spans="1:1" x14ac:dyDescent="0.25">
      <c r="A1140" s="201">
        <v>43034</v>
      </c>
    </row>
    <row r="1141" spans="1:1" x14ac:dyDescent="0.25">
      <c r="A1141" s="201">
        <v>43033</v>
      </c>
    </row>
    <row r="1142" spans="1:1" x14ac:dyDescent="0.25">
      <c r="A1142" s="201">
        <v>43032</v>
      </c>
    </row>
    <row r="1143" spans="1:1" x14ac:dyDescent="0.25">
      <c r="A1143" s="201">
        <v>43031</v>
      </c>
    </row>
    <row r="1144" spans="1:1" x14ac:dyDescent="0.25">
      <c r="A1144" s="201">
        <v>43028</v>
      </c>
    </row>
    <row r="1145" spans="1:1" x14ac:dyDescent="0.25">
      <c r="A1145" s="201">
        <v>43027</v>
      </c>
    </row>
    <row r="1146" spans="1:1" x14ac:dyDescent="0.25">
      <c r="A1146" s="201">
        <v>43026</v>
      </c>
    </row>
    <row r="1147" spans="1:1" x14ac:dyDescent="0.25">
      <c r="A1147" s="201">
        <v>43025</v>
      </c>
    </row>
    <row r="1148" spans="1:1" x14ac:dyDescent="0.25">
      <c r="A1148" s="201">
        <v>43024</v>
      </c>
    </row>
    <row r="1149" spans="1:1" x14ac:dyDescent="0.25">
      <c r="A1149" s="201">
        <v>43021</v>
      </c>
    </row>
    <row r="1150" spans="1:1" x14ac:dyDescent="0.25">
      <c r="A1150" s="201">
        <v>43020</v>
      </c>
    </row>
    <row r="1151" spans="1:1" x14ac:dyDescent="0.25">
      <c r="A1151" s="201">
        <v>43019</v>
      </c>
    </row>
    <row r="1152" spans="1:1" x14ac:dyDescent="0.25">
      <c r="A1152" s="201">
        <v>43018</v>
      </c>
    </row>
    <row r="1153" spans="1:1" x14ac:dyDescent="0.25">
      <c r="A1153" s="201">
        <v>43017</v>
      </c>
    </row>
    <row r="1154" spans="1:1" x14ac:dyDescent="0.25">
      <c r="A1154" s="201">
        <v>43014</v>
      </c>
    </row>
    <row r="1155" spans="1:1" x14ac:dyDescent="0.25">
      <c r="A1155" s="201">
        <v>43013</v>
      </c>
    </row>
    <row r="1156" spans="1:1" x14ac:dyDescent="0.25">
      <c r="A1156" s="201">
        <v>43012</v>
      </c>
    </row>
    <row r="1157" spans="1:1" x14ac:dyDescent="0.25">
      <c r="A1157" s="201">
        <v>43011</v>
      </c>
    </row>
    <row r="1158" spans="1:1" x14ac:dyDescent="0.25">
      <c r="A1158" s="201">
        <v>43010</v>
      </c>
    </row>
    <row r="1159" spans="1:1" x14ac:dyDescent="0.25">
      <c r="A1159" s="201">
        <v>43007</v>
      </c>
    </row>
    <row r="1160" spans="1:1" x14ac:dyDescent="0.25">
      <c r="A1160" s="201">
        <v>43006</v>
      </c>
    </row>
    <row r="1161" spans="1:1" x14ac:dyDescent="0.25">
      <c r="A1161" s="201">
        <v>43005</v>
      </c>
    </row>
    <row r="1162" spans="1:1" x14ac:dyDescent="0.25">
      <c r="A1162" s="201">
        <v>43004</v>
      </c>
    </row>
    <row r="1163" spans="1:1" x14ac:dyDescent="0.25">
      <c r="A1163" s="201">
        <v>43003</v>
      </c>
    </row>
    <row r="1164" spans="1:1" x14ac:dyDescent="0.25">
      <c r="A1164" s="201">
        <v>43000</v>
      </c>
    </row>
    <row r="1165" spans="1:1" x14ac:dyDescent="0.25">
      <c r="A1165" s="201">
        <v>42999</v>
      </c>
    </row>
    <row r="1166" spans="1:1" x14ac:dyDescent="0.25">
      <c r="A1166" s="201">
        <v>42998</v>
      </c>
    </row>
    <row r="1167" spans="1:1" x14ac:dyDescent="0.25">
      <c r="A1167" s="201">
        <v>42997</v>
      </c>
    </row>
    <row r="1168" spans="1:1" x14ac:dyDescent="0.25">
      <c r="A1168" s="201">
        <v>42996</v>
      </c>
    </row>
    <row r="1169" spans="1:1" x14ac:dyDescent="0.25">
      <c r="A1169" s="201">
        <v>42993</v>
      </c>
    </row>
    <row r="1170" spans="1:1" x14ac:dyDescent="0.25">
      <c r="A1170" s="201">
        <v>42992</v>
      </c>
    </row>
    <row r="1171" spans="1:1" x14ac:dyDescent="0.25">
      <c r="A1171" s="201">
        <v>42991</v>
      </c>
    </row>
    <row r="1172" spans="1:1" x14ac:dyDescent="0.25">
      <c r="A1172" s="201">
        <v>42990</v>
      </c>
    </row>
    <row r="1173" spans="1:1" x14ac:dyDescent="0.25">
      <c r="A1173" s="201">
        <v>42989</v>
      </c>
    </row>
    <row r="1174" spans="1:1" x14ac:dyDescent="0.25">
      <c r="A1174" s="201">
        <v>42986</v>
      </c>
    </row>
    <row r="1175" spans="1:1" x14ac:dyDescent="0.25">
      <c r="A1175" s="201">
        <v>42985</v>
      </c>
    </row>
    <row r="1176" spans="1:1" x14ac:dyDescent="0.25">
      <c r="A1176" s="201">
        <v>42984</v>
      </c>
    </row>
    <row r="1177" spans="1:1" x14ac:dyDescent="0.25">
      <c r="A1177" s="201">
        <v>42983</v>
      </c>
    </row>
    <row r="1178" spans="1:1" x14ac:dyDescent="0.25">
      <c r="A1178" s="201">
        <v>42979</v>
      </c>
    </row>
    <row r="1179" spans="1:1" x14ac:dyDescent="0.25">
      <c r="A1179" s="201">
        <v>42978</v>
      </c>
    </row>
    <row r="1180" spans="1:1" x14ac:dyDescent="0.25">
      <c r="A1180" s="201">
        <v>42977</v>
      </c>
    </row>
    <row r="1181" spans="1:1" x14ac:dyDescent="0.25">
      <c r="A1181" s="201">
        <v>42976</v>
      </c>
    </row>
    <row r="1182" spans="1:1" x14ac:dyDescent="0.25">
      <c r="A1182" s="201">
        <v>42975</v>
      </c>
    </row>
    <row r="1183" spans="1:1" x14ac:dyDescent="0.25">
      <c r="A1183" s="201">
        <v>42972</v>
      </c>
    </row>
    <row r="1184" spans="1:1" x14ac:dyDescent="0.25">
      <c r="A1184" s="201">
        <v>42971</v>
      </c>
    </row>
    <row r="1185" spans="1:1" x14ac:dyDescent="0.25">
      <c r="A1185" s="201">
        <v>42970</v>
      </c>
    </row>
    <row r="1186" spans="1:1" x14ac:dyDescent="0.25">
      <c r="A1186" s="201">
        <v>42969</v>
      </c>
    </row>
    <row r="1187" spans="1:1" x14ac:dyDescent="0.25">
      <c r="A1187" s="201">
        <v>42968</v>
      </c>
    </row>
    <row r="1188" spans="1:1" x14ac:dyDescent="0.25">
      <c r="A1188" s="201">
        <v>42965</v>
      </c>
    </row>
    <row r="1189" spans="1:1" x14ac:dyDescent="0.25">
      <c r="A1189" s="201">
        <v>42964</v>
      </c>
    </row>
    <row r="1190" spans="1:1" x14ac:dyDescent="0.25">
      <c r="A1190" s="201">
        <v>42963</v>
      </c>
    </row>
    <row r="1191" spans="1:1" x14ac:dyDescent="0.25">
      <c r="A1191" s="201">
        <v>42962</v>
      </c>
    </row>
    <row r="1192" spans="1:1" x14ac:dyDescent="0.25">
      <c r="A1192" s="201">
        <v>42961</v>
      </c>
    </row>
    <row r="1193" spans="1:1" x14ac:dyDescent="0.25">
      <c r="A1193" s="201">
        <v>42958</v>
      </c>
    </row>
    <row r="1194" spans="1:1" x14ac:dyDescent="0.25">
      <c r="A1194" s="201">
        <v>42957</v>
      </c>
    </row>
    <row r="1195" spans="1:1" x14ac:dyDescent="0.25">
      <c r="A1195" s="201">
        <v>42956</v>
      </c>
    </row>
    <row r="1196" spans="1:1" x14ac:dyDescent="0.25">
      <c r="A1196" s="201">
        <v>42955</v>
      </c>
    </row>
    <row r="1197" spans="1:1" x14ac:dyDescent="0.25">
      <c r="A1197" s="201">
        <v>42954</v>
      </c>
    </row>
    <row r="1198" spans="1:1" x14ac:dyDescent="0.25">
      <c r="A1198" s="201">
        <v>42951</v>
      </c>
    </row>
    <row r="1199" spans="1:1" x14ac:dyDescent="0.25">
      <c r="A1199" s="201">
        <v>42950</v>
      </c>
    </row>
    <row r="1200" spans="1:1" x14ac:dyDescent="0.25">
      <c r="A1200" s="201">
        <v>42949</v>
      </c>
    </row>
    <row r="1201" spans="1:1" x14ac:dyDescent="0.25">
      <c r="A1201" s="201">
        <v>42948</v>
      </c>
    </row>
    <row r="1202" spans="1:1" x14ac:dyDescent="0.25">
      <c r="A1202" s="201">
        <v>42947</v>
      </c>
    </row>
    <row r="1203" spans="1:1" x14ac:dyDescent="0.25">
      <c r="A1203" s="201">
        <v>42944</v>
      </c>
    </row>
    <row r="1204" spans="1:1" x14ac:dyDescent="0.25">
      <c r="A1204" s="201">
        <v>42943</v>
      </c>
    </row>
    <row r="1205" spans="1:1" x14ac:dyDescent="0.25">
      <c r="A1205" s="201">
        <v>42942</v>
      </c>
    </row>
    <row r="1206" spans="1:1" x14ac:dyDescent="0.25">
      <c r="A1206" s="201">
        <v>42941</v>
      </c>
    </row>
    <row r="1207" spans="1:1" x14ac:dyDescent="0.25">
      <c r="A1207" s="201">
        <v>42940</v>
      </c>
    </row>
    <row r="1208" spans="1:1" x14ac:dyDescent="0.25">
      <c r="A1208" s="201">
        <v>42937</v>
      </c>
    </row>
    <row r="1209" spans="1:1" x14ac:dyDescent="0.25">
      <c r="A1209" s="201">
        <v>42936</v>
      </c>
    </row>
    <row r="1210" spans="1:1" x14ac:dyDescent="0.25">
      <c r="A1210" s="201">
        <v>42935</v>
      </c>
    </row>
    <row r="1211" spans="1:1" x14ac:dyDescent="0.25">
      <c r="A1211" s="201">
        <v>42934</v>
      </c>
    </row>
    <row r="1212" spans="1:1" x14ac:dyDescent="0.25">
      <c r="A1212" s="201">
        <v>42933</v>
      </c>
    </row>
    <row r="1213" spans="1:1" x14ac:dyDescent="0.25">
      <c r="A1213" s="201">
        <v>42930</v>
      </c>
    </row>
    <row r="1214" spans="1:1" x14ac:dyDescent="0.25">
      <c r="A1214" s="201">
        <v>42929</v>
      </c>
    </row>
    <row r="1215" spans="1:1" x14ac:dyDescent="0.25">
      <c r="A1215" s="201">
        <v>42928</v>
      </c>
    </row>
    <row r="1216" spans="1:1" x14ac:dyDescent="0.25">
      <c r="A1216" s="201">
        <v>42927</v>
      </c>
    </row>
    <row r="1217" spans="1:1" x14ac:dyDescent="0.25">
      <c r="A1217" s="201">
        <v>42926</v>
      </c>
    </row>
    <row r="1218" spans="1:1" x14ac:dyDescent="0.25">
      <c r="A1218" s="201">
        <v>42923</v>
      </c>
    </row>
    <row r="1219" spans="1:1" x14ac:dyDescent="0.25">
      <c r="A1219" s="201">
        <v>42922</v>
      </c>
    </row>
    <row r="1220" spans="1:1" x14ac:dyDescent="0.25">
      <c r="A1220" s="201">
        <v>42921</v>
      </c>
    </row>
    <row r="1221" spans="1:1" x14ac:dyDescent="0.25">
      <c r="A1221" s="201">
        <v>42919</v>
      </c>
    </row>
    <row r="1222" spans="1:1" x14ac:dyDescent="0.25">
      <c r="A1222" s="201">
        <v>42916</v>
      </c>
    </row>
    <row r="1223" spans="1:1" x14ac:dyDescent="0.25">
      <c r="A1223" s="201">
        <v>42915</v>
      </c>
    </row>
    <row r="1224" spans="1:1" x14ac:dyDescent="0.25">
      <c r="A1224" s="201">
        <v>42914</v>
      </c>
    </row>
    <row r="1225" spans="1:1" x14ac:dyDescent="0.25">
      <c r="A1225" s="201">
        <v>42913</v>
      </c>
    </row>
    <row r="1226" spans="1:1" x14ac:dyDescent="0.25">
      <c r="A1226" s="201">
        <v>42912</v>
      </c>
    </row>
    <row r="1227" spans="1:1" x14ac:dyDescent="0.25">
      <c r="A1227" s="201">
        <v>42909</v>
      </c>
    </row>
    <row r="1228" spans="1:1" x14ac:dyDescent="0.25">
      <c r="A1228" s="201">
        <v>42908</v>
      </c>
    </row>
    <row r="1229" spans="1:1" x14ac:dyDescent="0.25">
      <c r="A1229" s="201">
        <v>42907</v>
      </c>
    </row>
    <row r="1230" spans="1:1" x14ac:dyDescent="0.25">
      <c r="A1230" s="201">
        <v>42906</v>
      </c>
    </row>
    <row r="1231" spans="1:1" x14ac:dyDescent="0.25">
      <c r="A1231" s="201">
        <v>42905</v>
      </c>
    </row>
    <row r="1232" spans="1:1" x14ac:dyDescent="0.25">
      <c r="A1232" s="201">
        <v>42902</v>
      </c>
    </row>
    <row r="1233" spans="1:1" x14ac:dyDescent="0.25">
      <c r="A1233" s="201">
        <v>42901</v>
      </c>
    </row>
    <row r="1234" spans="1:1" x14ac:dyDescent="0.25">
      <c r="A1234" s="201">
        <v>42900</v>
      </c>
    </row>
    <row r="1235" spans="1:1" x14ac:dyDescent="0.25">
      <c r="A1235" s="201">
        <v>42899</v>
      </c>
    </row>
    <row r="1236" spans="1:1" x14ac:dyDescent="0.25">
      <c r="A1236" s="201">
        <v>42898</v>
      </c>
    </row>
    <row r="1237" spans="1:1" x14ac:dyDescent="0.25">
      <c r="A1237" s="201">
        <v>42895</v>
      </c>
    </row>
    <row r="1238" spans="1:1" x14ac:dyDescent="0.25">
      <c r="A1238" s="201">
        <v>42894</v>
      </c>
    </row>
    <row r="1239" spans="1:1" x14ac:dyDescent="0.25">
      <c r="A1239" s="201">
        <v>42893</v>
      </c>
    </row>
    <row r="1240" spans="1:1" x14ac:dyDescent="0.25">
      <c r="A1240" s="201">
        <v>42892</v>
      </c>
    </row>
    <row r="1241" spans="1:1" x14ac:dyDescent="0.25">
      <c r="A1241" s="201">
        <v>42891</v>
      </c>
    </row>
    <row r="1242" spans="1:1" x14ac:dyDescent="0.25">
      <c r="A1242" s="201">
        <v>42888</v>
      </c>
    </row>
    <row r="1243" spans="1:1" x14ac:dyDescent="0.25">
      <c r="A1243" s="201">
        <v>42887</v>
      </c>
    </row>
    <row r="1244" spans="1:1" x14ac:dyDescent="0.25">
      <c r="A1244" s="201">
        <v>42886</v>
      </c>
    </row>
    <row r="1245" spans="1:1" x14ac:dyDescent="0.25">
      <c r="A1245" s="201">
        <v>42885</v>
      </c>
    </row>
    <row r="1246" spans="1:1" x14ac:dyDescent="0.25">
      <c r="A1246" s="201">
        <v>42881</v>
      </c>
    </row>
    <row r="1247" spans="1:1" x14ac:dyDescent="0.25">
      <c r="A1247" s="201">
        <v>42880</v>
      </c>
    </row>
    <row r="1248" spans="1:1" x14ac:dyDescent="0.25">
      <c r="A1248" s="201">
        <v>42879</v>
      </c>
    </row>
    <row r="1249" spans="1:1" x14ac:dyDescent="0.25">
      <c r="A1249" s="201">
        <v>42878</v>
      </c>
    </row>
    <row r="1250" spans="1:1" x14ac:dyDescent="0.25">
      <c r="A1250" s="201">
        <v>42877</v>
      </c>
    </row>
    <row r="1251" spans="1:1" x14ac:dyDescent="0.25">
      <c r="A1251" s="201">
        <v>42874</v>
      </c>
    </row>
    <row r="1252" spans="1:1" x14ac:dyDescent="0.25">
      <c r="A1252" s="201">
        <v>42873</v>
      </c>
    </row>
    <row r="1253" spans="1:1" x14ac:dyDescent="0.25">
      <c r="A1253" s="201">
        <v>42872</v>
      </c>
    </row>
    <row r="1254" spans="1:1" x14ac:dyDescent="0.25">
      <c r="A1254" s="201">
        <v>42871</v>
      </c>
    </row>
    <row r="1255" spans="1:1" x14ac:dyDescent="0.25">
      <c r="A1255" s="201">
        <v>42870</v>
      </c>
    </row>
    <row r="1256" spans="1:1" x14ac:dyDescent="0.25">
      <c r="A1256" s="201">
        <v>42867</v>
      </c>
    </row>
    <row r="1257" spans="1:1" x14ac:dyDescent="0.25">
      <c r="A1257" s="201">
        <v>42866</v>
      </c>
    </row>
    <row r="1258" spans="1:1" x14ac:dyDescent="0.25">
      <c r="A1258" s="201">
        <v>42865</v>
      </c>
    </row>
    <row r="1259" spans="1:1" x14ac:dyDescent="0.25">
      <c r="A1259" s="201">
        <v>42864</v>
      </c>
    </row>
    <row r="1260" spans="1:1" x14ac:dyDescent="0.25">
      <c r="A1260" s="201">
        <v>42863</v>
      </c>
    </row>
    <row r="1261" spans="1:1" x14ac:dyDescent="0.25">
      <c r="A1261" s="201">
        <v>42860</v>
      </c>
    </row>
    <row r="1262" spans="1:1" x14ac:dyDescent="0.25">
      <c r="A1262" s="201">
        <v>42859</v>
      </c>
    </row>
    <row r="1263" spans="1:1" x14ac:dyDescent="0.25">
      <c r="A1263" s="201">
        <v>42858</v>
      </c>
    </row>
    <row r="1264" spans="1:1" x14ac:dyDescent="0.25">
      <c r="A1264" s="201">
        <v>42857</v>
      </c>
    </row>
    <row r="1265" spans="1:1" x14ac:dyDescent="0.25">
      <c r="A1265" s="201">
        <v>42856</v>
      </c>
    </row>
    <row r="1266" spans="1:1" x14ac:dyDescent="0.25">
      <c r="A1266" s="201">
        <v>42853</v>
      </c>
    </row>
    <row r="1267" spans="1:1" x14ac:dyDescent="0.25">
      <c r="A1267" s="201">
        <v>42852</v>
      </c>
    </row>
    <row r="1268" spans="1:1" x14ac:dyDescent="0.25">
      <c r="A1268" s="201">
        <v>42851</v>
      </c>
    </row>
    <row r="1269" spans="1:1" x14ac:dyDescent="0.25">
      <c r="A1269" s="201">
        <v>42850</v>
      </c>
    </row>
    <row r="1270" spans="1:1" x14ac:dyDescent="0.25">
      <c r="A1270" s="201">
        <v>42849</v>
      </c>
    </row>
    <row r="1271" spans="1:1" x14ac:dyDescent="0.25">
      <c r="A1271" s="201">
        <v>42846</v>
      </c>
    </row>
    <row r="1272" spans="1:1" x14ac:dyDescent="0.25">
      <c r="A1272" s="201">
        <v>42845</v>
      </c>
    </row>
    <row r="1273" spans="1:1" x14ac:dyDescent="0.25">
      <c r="A1273" s="201">
        <v>42844</v>
      </c>
    </row>
    <row r="1274" spans="1:1" x14ac:dyDescent="0.25">
      <c r="A1274" s="201">
        <v>42843</v>
      </c>
    </row>
    <row r="1275" spans="1:1" x14ac:dyDescent="0.25">
      <c r="A1275" s="201">
        <v>42842</v>
      </c>
    </row>
    <row r="1276" spans="1:1" x14ac:dyDescent="0.25">
      <c r="A1276" s="201">
        <v>42838</v>
      </c>
    </row>
    <row r="1277" spans="1:1" x14ac:dyDescent="0.25">
      <c r="A1277" s="201">
        <v>42837</v>
      </c>
    </row>
    <row r="1278" spans="1:1" x14ac:dyDescent="0.25">
      <c r="A1278" s="201">
        <v>42836</v>
      </c>
    </row>
    <row r="1279" spans="1:1" x14ac:dyDescent="0.25">
      <c r="A1279" s="201">
        <v>42835</v>
      </c>
    </row>
    <row r="1280" spans="1:1" x14ac:dyDescent="0.25">
      <c r="A1280" s="201">
        <v>42832</v>
      </c>
    </row>
    <row r="1281" spans="1:1" x14ac:dyDescent="0.25">
      <c r="A1281" s="201">
        <v>42831</v>
      </c>
    </row>
    <row r="1282" spans="1:1" x14ac:dyDescent="0.25">
      <c r="A1282" s="201">
        <v>42830</v>
      </c>
    </row>
    <row r="1283" spans="1:1" x14ac:dyDescent="0.25">
      <c r="A1283" s="201">
        <v>42829</v>
      </c>
    </row>
    <row r="1284" spans="1:1" x14ac:dyDescent="0.25">
      <c r="A1284" s="201">
        <v>42828</v>
      </c>
    </row>
    <row r="1285" spans="1:1" x14ac:dyDescent="0.25">
      <c r="A1285" s="201">
        <v>42825</v>
      </c>
    </row>
    <row r="1286" spans="1:1" x14ac:dyDescent="0.25">
      <c r="A1286" s="201">
        <v>42824</v>
      </c>
    </row>
    <row r="1287" spans="1:1" x14ac:dyDescent="0.25">
      <c r="A1287" s="201">
        <v>42823</v>
      </c>
    </row>
    <row r="1288" spans="1:1" x14ac:dyDescent="0.25">
      <c r="A1288" s="201">
        <v>42822</v>
      </c>
    </row>
    <row r="1289" spans="1:1" x14ac:dyDescent="0.25">
      <c r="A1289" s="201">
        <v>42821</v>
      </c>
    </row>
    <row r="1290" spans="1:1" x14ac:dyDescent="0.25">
      <c r="A1290" s="201">
        <v>42818</v>
      </c>
    </row>
    <row r="1291" spans="1:1" x14ac:dyDescent="0.25">
      <c r="A1291" s="201">
        <v>42817</v>
      </c>
    </row>
    <row r="1292" spans="1:1" x14ac:dyDescent="0.25">
      <c r="A1292" s="201">
        <v>42816</v>
      </c>
    </row>
    <row r="1293" spans="1:1" x14ac:dyDescent="0.25">
      <c r="A1293" s="201">
        <v>42815</v>
      </c>
    </row>
    <row r="1294" spans="1:1" x14ac:dyDescent="0.25">
      <c r="A1294" s="201">
        <v>42814</v>
      </c>
    </row>
    <row r="1295" spans="1:1" x14ac:dyDescent="0.25">
      <c r="A1295" s="201">
        <v>42811</v>
      </c>
    </row>
    <row r="1296" spans="1:1" x14ac:dyDescent="0.25">
      <c r="A1296" s="201">
        <v>42810</v>
      </c>
    </row>
    <row r="1297" spans="1:1" x14ac:dyDescent="0.25">
      <c r="A1297" s="201">
        <v>42809</v>
      </c>
    </row>
    <row r="1298" spans="1:1" x14ac:dyDescent="0.25">
      <c r="A1298" s="201">
        <v>42808</v>
      </c>
    </row>
    <row r="1299" spans="1:1" x14ac:dyDescent="0.25">
      <c r="A1299" s="201">
        <v>42807</v>
      </c>
    </row>
    <row r="1300" spans="1:1" x14ac:dyDescent="0.25">
      <c r="A1300" s="201">
        <v>42804</v>
      </c>
    </row>
    <row r="1301" spans="1:1" x14ac:dyDescent="0.25">
      <c r="A1301" s="201">
        <v>42803</v>
      </c>
    </row>
    <row r="1302" spans="1:1" x14ac:dyDescent="0.25">
      <c r="A1302" s="201">
        <v>42802</v>
      </c>
    </row>
    <row r="1303" spans="1:1" x14ac:dyDescent="0.25">
      <c r="A1303" s="201">
        <v>42801</v>
      </c>
    </row>
    <row r="1304" spans="1:1" x14ac:dyDescent="0.25">
      <c r="A1304" s="201">
        <v>42800</v>
      </c>
    </row>
    <row r="1305" spans="1:1" x14ac:dyDescent="0.25">
      <c r="A1305" s="201">
        <v>42797</v>
      </c>
    </row>
    <row r="1306" spans="1:1" x14ac:dyDescent="0.25">
      <c r="A1306" s="201">
        <v>42796</v>
      </c>
    </row>
    <row r="1307" spans="1:1" x14ac:dyDescent="0.25">
      <c r="A1307" s="201">
        <v>42795</v>
      </c>
    </row>
    <row r="1308" spans="1:1" x14ac:dyDescent="0.25">
      <c r="A1308" s="201">
        <v>42794</v>
      </c>
    </row>
    <row r="1309" spans="1:1" x14ac:dyDescent="0.25">
      <c r="A1309" s="201">
        <v>42793</v>
      </c>
    </row>
    <row r="1310" spans="1:1" x14ac:dyDescent="0.25">
      <c r="A1310" s="201">
        <v>42790</v>
      </c>
    </row>
    <row r="1311" spans="1:1" x14ac:dyDescent="0.25">
      <c r="A1311" s="201">
        <v>42789</v>
      </c>
    </row>
    <row r="1312" spans="1:1" x14ac:dyDescent="0.25">
      <c r="A1312" s="201">
        <v>42788</v>
      </c>
    </row>
    <row r="1313" spans="1:1" x14ac:dyDescent="0.25">
      <c r="A1313" s="201">
        <v>42787</v>
      </c>
    </row>
    <row r="1314" spans="1:1" x14ac:dyDescent="0.25">
      <c r="A1314" s="201">
        <v>42783</v>
      </c>
    </row>
    <row r="1315" spans="1:1" x14ac:dyDescent="0.25">
      <c r="A1315" s="201">
        <v>42782</v>
      </c>
    </row>
    <row r="1316" spans="1:1" x14ac:dyDescent="0.25">
      <c r="A1316" s="201">
        <v>42781</v>
      </c>
    </row>
    <row r="1317" spans="1:1" x14ac:dyDescent="0.25">
      <c r="A1317" s="201">
        <v>42780</v>
      </c>
    </row>
    <row r="1318" spans="1:1" x14ac:dyDescent="0.25">
      <c r="A1318" s="201">
        <v>42779</v>
      </c>
    </row>
    <row r="1319" spans="1:1" x14ac:dyDescent="0.25">
      <c r="A1319" s="201">
        <v>42776</v>
      </c>
    </row>
    <row r="1320" spans="1:1" x14ac:dyDescent="0.25">
      <c r="A1320" s="201">
        <v>42775</v>
      </c>
    </row>
    <row r="1321" spans="1:1" x14ac:dyDescent="0.25">
      <c r="A1321" s="201">
        <v>42774</v>
      </c>
    </row>
    <row r="1322" spans="1:1" x14ac:dyDescent="0.25">
      <c r="A1322" s="201">
        <v>42773</v>
      </c>
    </row>
    <row r="1323" spans="1:1" x14ac:dyDescent="0.25">
      <c r="A1323" s="201">
        <v>42772</v>
      </c>
    </row>
    <row r="1324" spans="1:1" x14ac:dyDescent="0.25">
      <c r="A1324" s="201">
        <v>42769</v>
      </c>
    </row>
    <row r="1325" spans="1:1" x14ac:dyDescent="0.25">
      <c r="A1325" s="201">
        <v>42768</v>
      </c>
    </row>
    <row r="1326" spans="1:1" x14ac:dyDescent="0.25">
      <c r="A1326" s="201">
        <v>42767</v>
      </c>
    </row>
    <row r="1327" spans="1:1" x14ac:dyDescent="0.25">
      <c r="A1327" s="201">
        <v>42766</v>
      </c>
    </row>
    <row r="1328" spans="1:1" x14ac:dyDescent="0.25">
      <c r="A1328" s="201">
        <v>42765</v>
      </c>
    </row>
    <row r="1329" spans="1:1" x14ac:dyDescent="0.25">
      <c r="A1329" s="201">
        <v>42762</v>
      </c>
    </row>
    <row r="1330" spans="1:1" x14ac:dyDescent="0.25">
      <c r="A1330" s="201">
        <v>42761</v>
      </c>
    </row>
    <row r="1331" spans="1:1" x14ac:dyDescent="0.25">
      <c r="A1331" s="201">
        <v>42760</v>
      </c>
    </row>
    <row r="1332" spans="1:1" x14ac:dyDescent="0.25">
      <c r="A1332" s="201">
        <v>42759</v>
      </c>
    </row>
    <row r="1333" spans="1:1" x14ac:dyDescent="0.25">
      <c r="A1333" s="201">
        <v>42758</v>
      </c>
    </row>
    <row r="1334" spans="1:1" x14ac:dyDescent="0.25">
      <c r="A1334" s="201">
        <v>42755</v>
      </c>
    </row>
    <row r="1335" spans="1:1" x14ac:dyDescent="0.25">
      <c r="A1335" s="201">
        <v>42754</v>
      </c>
    </row>
    <row r="1336" spans="1:1" x14ac:dyDescent="0.25">
      <c r="A1336" s="201">
        <v>42753</v>
      </c>
    </row>
    <row r="1337" spans="1:1" x14ac:dyDescent="0.25">
      <c r="A1337" s="201">
        <v>42752</v>
      </c>
    </row>
    <row r="1338" spans="1:1" x14ac:dyDescent="0.25">
      <c r="A1338" s="201">
        <v>42748</v>
      </c>
    </row>
    <row r="1339" spans="1:1" x14ac:dyDescent="0.25">
      <c r="A1339" s="201">
        <v>42747</v>
      </c>
    </row>
    <row r="1340" spans="1:1" x14ac:dyDescent="0.25">
      <c r="A1340" s="201">
        <v>42746</v>
      </c>
    </row>
    <row r="1341" spans="1:1" x14ac:dyDescent="0.25">
      <c r="A1341" s="201">
        <v>42745</v>
      </c>
    </row>
    <row r="1342" spans="1:1" x14ac:dyDescent="0.25">
      <c r="A1342" s="201">
        <v>42744</v>
      </c>
    </row>
    <row r="1343" spans="1:1" x14ac:dyDescent="0.25">
      <c r="A1343" s="201">
        <v>42741</v>
      </c>
    </row>
    <row r="1344" spans="1:1" x14ac:dyDescent="0.25">
      <c r="A1344" s="201">
        <v>42740</v>
      </c>
    </row>
    <row r="1345" spans="1:1" x14ac:dyDescent="0.25">
      <c r="A1345" s="201">
        <v>42739</v>
      </c>
    </row>
    <row r="1346" spans="1:1" x14ac:dyDescent="0.25">
      <c r="A1346" s="201">
        <v>42738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CA656-F5AC-47C5-8DC6-34ADFBF3C7E9}">
  <dimension ref="A1:L303"/>
  <sheetViews>
    <sheetView showGridLines="0" workbookViewId="0">
      <selection activeCell="G14" sqref="G14"/>
    </sheetView>
  </sheetViews>
  <sheetFormatPr defaultRowHeight="15" x14ac:dyDescent="0.25"/>
  <cols>
    <col min="2" max="2" width="10.7109375" bestFit="1" customWidth="1"/>
    <col min="3" max="3" width="10.28515625" bestFit="1" customWidth="1"/>
    <col min="4" max="4" width="15.5703125" bestFit="1" customWidth="1"/>
    <col min="9" max="9" width="15.5703125" bestFit="1" customWidth="1"/>
  </cols>
  <sheetData>
    <row r="1" spans="1:5" x14ac:dyDescent="0.25">
      <c r="C1" t="s">
        <v>398</v>
      </c>
      <c r="D1" t="s">
        <v>399</v>
      </c>
      <c r="E1" t="s">
        <v>400</v>
      </c>
    </row>
    <row r="2" spans="1:5" x14ac:dyDescent="0.25">
      <c r="A2" t="s">
        <v>401</v>
      </c>
      <c r="B2" s="201">
        <v>44677</v>
      </c>
      <c r="D2">
        <v>30.75</v>
      </c>
      <c r="E2">
        <v>13.6487</v>
      </c>
    </row>
    <row r="3" spans="1:5" x14ac:dyDescent="0.25">
      <c r="A3" t="s">
        <v>402</v>
      </c>
      <c r="B3" s="201">
        <v>44676</v>
      </c>
      <c r="C3">
        <v>6.41</v>
      </c>
      <c r="D3">
        <v>28.81</v>
      </c>
      <c r="E3">
        <v>13.301600000000001</v>
      </c>
    </row>
    <row r="4" spans="1:5" x14ac:dyDescent="0.25">
      <c r="A4" t="s">
        <v>403</v>
      </c>
      <c r="B4" s="201">
        <v>44673</v>
      </c>
      <c r="C4">
        <v>6.58</v>
      </c>
      <c r="D4">
        <v>30.17</v>
      </c>
      <c r="E4">
        <v>13.8645</v>
      </c>
    </row>
    <row r="5" spans="1:5" x14ac:dyDescent="0.25">
      <c r="A5" t="s">
        <v>404</v>
      </c>
      <c r="B5" s="201">
        <v>44672</v>
      </c>
      <c r="C5">
        <v>6.87</v>
      </c>
      <c r="D5">
        <v>32.14</v>
      </c>
      <c r="E5">
        <v>14.0829</v>
      </c>
    </row>
    <row r="6" spans="1:5" x14ac:dyDescent="0.25">
      <c r="A6" t="s">
        <v>401</v>
      </c>
      <c r="B6" s="201">
        <v>44670</v>
      </c>
      <c r="C6">
        <v>7.41</v>
      </c>
      <c r="D6">
        <v>29.64</v>
      </c>
      <c r="E6">
        <v>13.942500000000001</v>
      </c>
    </row>
    <row r="7" spans="1:5" x14ac:dyDescent="0.25">
      <c r="A7" t="s">
        <v>402</v>
      </c>
      <c r="B7" s="201">
        <v>44669</v>
      </c>
      <c r="C7">
        <v>7.49</v>
      </c>
      <c r="D7">
        <v>27.27</v>
      </c>
      <c r="E7">
        <v>14.710800000000001</v>
      </c>
    </row>
    <row r="8" spans="1:5" x14ac:dyDescent="0.25">
      <c r="A8" t="s">
        <v>404</v>
      </c>
      <c r="B8" s="201">
        <v>44665</v>
      </c>
      <c r="C8">
        <v>6.9089999999999998</v>
      </c>
      <c r="D8">
        <v>28.63</v>
      </c>
      <c r="E8">
        <v>14.521000000000001</v>
      </c>
    </row>
    <row r="9" spans="1:5" x14ac:dyDescent="0.25">
      <c r="A9" t="s">
        <v>405</v>
      </c>
      <c r="B9" s="201">
        <v>44664</v>
      </c>
      <c r="C9">
        <v>6.6879999999999997</v>
      </c>
      <c r="D9">
        <v>33.11</v>
      </c>
      <c r="E9">
        <v>14.141400000000001</v>
      </c>
    </row>
    <row r="10" spans="1:5" x14ac:dyDescent="0.25">
      <c r="A10" t="s">
        <v>401</v>
      </c>
      <c r="B10" s="201">
        <v>44663</v>
      </c>
      <c r="C10">
        <v>6.5880000000000001</v>
      </c>
      <c r="D10">
        <v>32.89</v>
      </c>
      <c r="E10">
        <v>13.603199999999999</v>
      </c>
    </row>
    <row r="11" spans="1:5" x14ac:dyDescent="0.25">
      <c r="A11" t="s">
        <v>402</v>
      </c>
      <c r="B11" s="201">
        <v>44662</v>
      </c>
      <c r="C11">
        <v>6.3479999999999999</v>
      </c>
      <c r="D11">
        <v>32.32</v>
      </c>
      <c r="E11">
        <v>12.8024</v>
      </c>
    </row>
    <row r="13" spans="1:5" x14ac:dyDescent="0.25">
      <c r="A13" t="s">
        <v>403</v>
      </c>
      <c r="B13" s="201">
        <v>44659</v>
      </c>
      <c r="C13">
        <v>6.2919999999999998</v>
      </c>
      <c r="D13">
        <v>32.909999999999997</v>
      </c>
      <c r="E13">
        <v>13.3614</v>
      </c>
    </row>
    <row r="14" spans="1:5" x14ac:dyDescent="0.25">
      <c r="A14" t="s">
        <v>404</v>
      </c>
      <c r="B14" s="201">
        <v>44658</v>
      </c>
      <c r="C14">
        <v>6.0540000000000003</v>
      </c>
      <c r="D14">
        <v>33.299999999999997</v>
      </c>
      <c r="E14">
        <v>13.0754</v>
      </c>
    </row>
    <row r="15" spans="1:5" x14ac:dyDescent="0.25">
      <c r="A15" t="s">
        <v>405</v>
      </c>
      <c r="B15" s="201">
        <v>44657</v>
      </c>
      <c r="C15">
        <v>6.2089999999999996</v>
      </c>
      <c r="D15">
        <v>34.369999999999997</v>
      </c>
      <c r="E15">
        <v>13.139099999999999</v>
      </c>
    </row>
    <row r="16" spans="1:5" x14ac:dyDescent="0.25">
      <c r="A16" t="s">
        <v>401</v>
      </c>
      <c r="B16" s="201">
        <v>44656</v>
      </c>
      <c r="C16">
        <v>5.9489999999999998</v>
      </c>
      <c r="D16">
        <v>33.92</v>
      </c>
      <c r="E16">
        <v>13.863200000000001</v>
      </c>
    </row>
    <row r="17" spans="1:12" x14ac:dyDescent="0.25">
      <c r="A17" t="s">
        <v>402</v>
      </c>
      <c r="B17" s="201">
        <v>44655</v>
      </c>
      <c r="C17">
        <v>5.6829999999999998</v>
      </c>
      <c r="D17">
        <v>35.36</v>
      </c>
      <c r="E17">
        <v>13.978899999999999</v>
      </c>
    </row>
    <row r="19" spans="1:12" x14ac:dyDescent="0.25">
      <c r="A19" t="s">
        <v>403</v>
      </c>
      <c r="B19" s="201">
        <v>44652</v>
      </c>
      <c r="C19">
        <v>5.399</v>
      </c>
      <c r="D19">
        <v>35.72</v>
      </c>
      <c r="E19">
        <v>13.5707</v>
      </c>
    </row>
    <row r="20" spans="1:12" x14ac:dyDescent="0.25">
      <c r="A20" t="s">
        <v>404</v>
      </c>
      <c r="B20" s="201">
        <v>44651</v>
      </c>
      <c r="C20">
        <v>5.5010000000000003</v>
      </c>
      <c r="D20">
        <v>39.22</v>
      </c>
      <c r="E20">
        <v>14.0283</v>
      </c>
    </row>
    <row r="21" spans="1:12" x14ac:dyDescent="0.25">
      <c r="A21" t="s">
        <v>405</v>
      </c>
      <c r="B21" s="201">
        <v>44650</v>
      </c>
      <c r="C21">
        <v>5.3280000000000003</v>
      </c>
      <c r="D21">
        <v>38.14</v>
      </c>
      <c r="E21">
        <v>14.7485</v>
      </c>
    </row>
    <row r="22" spans="1:12" x14ac:dyDescent="0.25">
      <c r="A22" t="s">
        <v>401</v>
      </c>
      <c r="B22" s="201">
        <v>44649</v>
      </c>
      <c r="C22">
        <v>5.3179999999999996</v>
      </c>
      <c r="D22">
        <v>34.549999999999997</v>
      </c>
      <c r="E22">
        <v>14.3299</v>
      </c>
      <c r="I22" t="s">
        <v>406</v>
      </c>
    </row>
    <row r="23" spans="1:12" x14ac:dyDescent="0.25">
      <c r="A23" t="s">
        <v>402</v>
      </c>
      <c r="B23" s="201">
        <v>44648</v>
      </c>
      <c r="C23">
        <v>5.431</v>
      </c>
      <c r="D23">
        <v>35.119999999999997</v>
      </c>
      <c r="E23">
        <v>14.622400000000001</v>
      </c>
      <c r="I23" t="s">
        <v>407</v>
      </c>
    </row>
    <row r="24" spans="1:12" x14ac:dyDescent="0.25">
      <c r="A24" t="s">
        <v>403</v>
      </c>
      <c r="B24" s="201">
        <v>44645</v>
      </c>
      <c r="C24">
        <v>5.4390000000000001</v>
      </c>
      <c r="D24">
        <v>31.77</v>
      </c>
      <c r="E24">
        <v>15.6845</v>
      </c>
      <c r="I24" t="s">
        <v>408</v>
      </c>
    </row>
    <row r="25" spans="1:12" x14ac:dyDescent="0.25">
      <c r="A25" t="s">
        <v>404</v>
      </c>
      <c r="B25" s="201">
        <v>44644</v>
      </c>
      <c r="C25">
        <v>5.2519999999999998</v>
      </c>
      <c r="D25">
        <v>35.11</v>
      </c>
      <c r="E25">
        <v>15.4739</v>
      </c>
      <c r="I25" t="s">
        <v>409</v>
      </c>
    </row>
    <row r="26" spans="1:12" x14ac:dyDescent="0.25">
      <c r="A26" t="s">
        <v>405</v>
      </c>
      <c r="B26" s="201">
        <v>44643</v>
      </c>
      <c r="C26">
        <v>5.2530000000000001</v>
      </c>
      <c r="D26">
        <v>36.020000000000003</v>
      </c>
      <c r="E26">
        <v>15.808</v>
      </c>
      <c r="I26" t="s">
        <v>409</v>
      </c>
    </row>
    <row r="27" spans="1:12" x14ac:dyDescent="0.25">
      <c r="A27" t="s">
        <v>401</v>
      </c>
      <c r="B27" s="201">
        <v>44642</v>
      </c>
      <c r="C27">
        <v>4.992</v>
      </c>
      <c r="D27">
        <v>32.049999999999997</v>
      </c>
      <c r="E27">
        <v>15.0124</v>
      </c>
    </row>
    <row r="28" spans="1:12" x14ac:dyDescent="0.25">
      <c r="A28" t="s">
        <v>402</v>
      </c>
      <c r="B28" s="201">
        <v>44641</v>
      </c>
      <c r="C28">
        <v>4.7629999999999999</v>
      </c>
      <c r="D28">
        <v>31.06</v>
      </c>
      <c r="E28">
        <v>15.0306</v>
      </c>
    </row>
    <row r="29" spans="1:12" x14ac:dyDescent="0.25">
      <c r="I29" t="s">
        <v>410</v>
      </c>
      <c r="K29" t="s">
        <v>411</v>
      </c>
      <c r="L29" t="s">
        <v>412</v>
      </c>
    </row>
    <row r="30" spans="1:12" x14ac:dyDescent="0.25">
      <c r="A30" t="s">
        <v>403</v>
      </c>
      <c r="B30" s="201">
        <v>44638</v>
      </c>
      <c r="C30">
        <v>4.8600000000000003</v>
      </c>
      <c r="D30">
        <v>32.74</v>
      </c>
      <c r="E30">
        <v>14.030900000000001</v>
      </c>
      <c r="I30" t="s">
        <v>413</v>
      </c>
      <c r="J30" s="202">
        <f t="shared" ref="J30:J36" si="0">L30/K30</f>
        <v>500</v>
      </c>
      <c r="K30">
        <v>2.4</v>
      </c>
      <c r="L30">
        <v>1200</v>
      </c>
    </row>
    <row r="31" spans="1:12" x14ac:dyDescent="0.25">
      <c r="A31" t="s">
        <v>404</v>
      </c>
      <c r="B31" s="201">
        <v>44637</v>
      </c>
      <c r="C31">
        <v>4.782</v>
      </c>
      <c r="D31">
        <v>34.35</v>
      </c>
      <c r="E31">
        <v>13.863200000000001</v>
      </c>
      <c r="I31" t="s">
        <v>414</v>
      </c>
      <c r="J31" s="202">
        <f t="shared" si="0"/>
        <v>571.42857142857133</v>
      </c>
      <c r="K31">
        <v>2.4500000000000002</v>
      </c>
      <c r="L31">
        <v>1400</v>
      </c>
    </row>
    <row r="32" spans="1:12" x14ac:dyDescent="0.25">
      <c r="A32" t="s">
        <v>405</v>
      </c>
      <c r="B32" s="201">
        <v>44636</v>
      </c>
      <c r="C32">
        <v>4.625</v>
      </c>
      <c r="D32">
        <v>33.53</v>
      </c>
      <c r="E32">
        <v>12.742599999999999</v>
      </c>
      <c r="I32" t="s">
        <v>415</v>
      </c>
      <c r="J32" s="202">
        <f t="shared" si="0"/>
        <v>2058.8235294117649</v>
      </c>
      <c r="K32">
        <v>3.4</v>
      </c>
      <c r="L32">
        <v>7000</v>
      </c>
    </row>
    <row r="33" spans="1:12" x14ac:dyDescent="0.25">
      <c r="A33" t="s">
        <v>401</v>
      </c>
      <c r="B33" s="201">
        <v>44635</v>
      </c>
      <c r="C33">
        <v>4.4580000000000002</v>
      </c>
      <c r="D33">
        <v>36.99</v>
      </c>
      <c r="E33">
        <v>12.988300000000001</v>
      </c>
      <c r="I33" t="s">
        <v>416</v>
      </c>
      <c r="J33" s="202">
        <f t="shared" si="0"/>
        <v>2070</v>
      </c>
      <c r="K33">
        <v>1.5</v>
      </c>
      <c r="L33">
        <v>3105</v>
      </c>
    </row>
    <row r="34" spans="1:12" x14ac:dyDescent="0.25">
      <c r="A34" t="s">
        <v>402</v>
      </c>
      <c r="B34" s="201">
        <v>44634</v>
      </c>
      <c r="C34">
        <v>4.548</v>
      </c>
      <c r="D34">
        <v>36.81</v>
      </c>
      <c r="E34">
        <v>13.897</v>
      </c>
      <c r="I34" t="s">
        <v>417</v>
      </c>
      <c r="J34" s="202">
        <f t="shared" si="0"/>
        <v>2587.5</v>
      </c>
      <c r="K34">
        <v>1.2</v>
      </c>
      <c r="L34">
        <v>3105</v>
      </c>
    </row>
    <row r="35" spans="1:12" x14ac:dyDescent="0.25">
      <c r="I35" t="s">
        <v>416</v>
      </c>
      <c r="J35" s="202">
        <f t="shared" si="0"/>
        <v>2070</v>
      </c>
      <c r="K35">
        <v>1.5</v>
      </c>
      <c r="L35">
        <v>3105</v>
      </c>
    </row>
    <row r="36" spans="1:12" x14ac:dyDescent="0.25">
      <c r="A36" t="s">
        <v>403</v>
      </c>
      <c r="B36" s="201">
        <v>44631</v>
      </c>
      <c r="C36">
        <v>4.7300000000000004</v>
      </c>
      <c r="D36">
        <v>41.98</v>
      </c>
      <c r="E36">
        <v>14.6471</v>
      </c>
      <c r="I36" t="s">
        <v>418</v>
      </c>
      <c r="J36" s="202">
        <f t="shared" si="0"/>
        <v>3333.333333333333</v>
      </c>
      <c r="K36">
        <v>3.6</v>
      </c>
      <c r="L36">
        <v>12000</v>
      </c>
    </row>
    <row r="37" spans="1:12" x14ac:dyDescent="0.25">
      <c r="A37" t="s">
        <v>404</v>
      </c>
      <c r="B37" s="201">
        <v>44630</v>
      </c>
      <c r="C37">
        <v>4.5990000000000002</v>
      </c>
      <c r="D37">
        <v>40.71</v>
      </c>
      <c r="E37">
        <v>14.212899999999999</v>
      </c>
    </row>
    <row r="38" spans="1:12" x14ac:dyDescent="0.25">
      <c r="A38" t="s">
        <v>405</v>
      </c>
      <c r="B38" s="201">
        <v>44629</v>
      </c>
      <c r="C38">
        <v>4.5179999999999998</v>
      </c>
      <c r="D38">
        <v>50.57</v>
      </c>
      <c r="E38">
        <v>14.4482</v>
      </c>
    </row>
    <row r="39" spans="1:12" x14ac:dyDescent="0.25">
      <c r="A39" t="s">
        <v>401</v>
      </c>
      <c r="B39" s="201">
        <v>44628</v>
      </c>
      <c r="C39">
        <v>4.58</v>
      </c>
      <c r="D39">
        <v>68.66</v>
      </c>
      <c r="E39">
        <v>16.6374</v>
      </c>
    </row>
    <row r="40" spans="1:12" x14ac:dyDescent="0.25">
      <c r="A40" t="s">
        <v>402</v>
      </c>
      <c r="B40" s="201">
        <v>44627</v>
      </c>
      <c r="C40">
        <v>4.9180000000000001</v>
      </c>
      <c r="D40">
        <v>72.39</v>
      </c>
      <c r="E40">
        <v>16.017299999999999</v>
      </c>
    </row>
    <row r="42" spans="1:12" x14ac:dyDescent="0.25">
      <c r="A42" t="s">
        <v>403</v>
      </c>
      <c r="B42" s="201">
        <v>44624</v>
      </c>
      <c r="C42">
        <v>4.7249999999999996</v>
      </c>
      <c r="D42">
        <v>61.73</v>
      </c>
      <c r="E42">
        <v>15.3543</v>
      </c>
    </row>
    <row r="43" spans="1:12" x14ac:dyDescent="0.25">
      <c r="A43" t="s">
        <v>404</v>
      </c>
      <c r="B43" s="201">
        <v>44623</v>
      </c>
      <c r="C43">
        <v>4.5789999999999997</v>
      </c>
      <c r="D43">
        <v>52.18</v>
      </c>
      <c r="E43">
        <v>14.3598</v>
      </c>
    </row>
    <row r="44" spans="1:12" x14ac:dyDescent="0.25">
      <c r="A44" t="s">
        <v>405</v>
      </c>
      <c r="B44" s="201">
        <v>44622</v>
      </c>
      <c r="C44">
        <v>4.6550000000000002</v>
      </c>
      <c r="D44">
        <v>54.02</v>
      </c>
      <c r="E44">
        <v>14.680899999999999</v>
      </c>
    </row>
    <row r="45" spans="1:12" x14ac:dyDescent="0.25">
      <c r="A45" t="s">
        <v>401</v>
      </c>
      <c r="B45" s="201">
        <v>44621</v>
      </c>
      <c r="C45">
        <v>4.3540000000000001</v>
      </c>
      <c r="D45">
        <v>39.69</v>
      </c>
      <c r="E45">
        <v>13.646100000000001</v>
      </c>
    </row>
    <row r="46" spans="1:12" x14ac:dyDescent="0.25">
      <c r="A46" t="s">
        <v>402</v>
      </c>
      <c r="B46" s="201">
        <v>44620</v>
      </c>
      <c r="C46">
        <v>4.3019999999999996</v>
      </c>
      <c r="D46">
        <v>29.07</v>
      </c>
      <c r="E46">
        <v>13.1287</v>
      </c>
    </row>
    <row r="48" spans="1:12" x14ac:dyDescent="0.25">
      <c r="A48" t="s">
        <v>403</v>
      </c>
      <c r="B48" s="201">
        <v>44617</v>
      </c>
      <c r="C48">
        <v>4.5540000000000003</v>
      </c>
      <c r="D48">
        <v>31.15</v>
      </c>
      <c r="E48">
        <v>12.7309</v>
      </c>
    </row>
    <row r="49" spans="1:5" x14ac:dyDescent="0.25">
      <c r="A49" t="s">
        <v>404</v>
      </c>
      <c r="B49" s="201">
        <v>44616</v>
      </c>
      <c r="C49">
        <v>4.7759999999999998</v>
      </c>
      <c r="D49">
        <v>44.04</v>
      </c>
      <c r="E49">
        <v>12.8804</v>
      </c>
    </row>
    <row r="50" spans="1:5" x14ac:dyDescent="0.25">
      <c r="A50" t="s">
        <v>405</v>
      </c>
      <c r="B50" s="201">
        <v>44615</v>
      </c>
      <c r="C50">
        <v>4.5750000000000002</v>
      </c>
      <c r="D50">
        <v>29.46</v>
      </c>
      <c r="E50">
        <v>12.5892</v>
      </c>
    </row>
    <row r="51" spans="1:5" x14ac:dyDescent="0.25">
      <c r="A51" t="s">
        <v>401</v>
      </c>
      <c r="B51" s="201">
        <v>44614</v>
      </c>
      <c r="C51">
        <v>4.4930000000000003</v>
      </c>
      <c r="D51">
        <v>26.48</v>
      </c>
      <c r="E51">
        <v>12.5892</v>
      </c>
    </row>
    <row r="53" spans="1:5" x14ac:dyDescent="0.25">
      <c r="A53" t="s">
        <v>403</v>
      </c>
      <c r="B53" s="201">
        <v>44610</v>
      </c>
      <c r="C53">
        <v>4.5940000000000003</v>
      </c>
      <c r="D53">
        <v>24.49</v>
      </c>
      <c r="E53">
        <v>12.1602</v>
      </c>
    </row>
    <row r="54" spans="1:5" x14ac:dyDescent="0.25">
      <c r="A54" t="s">
        <v>404</v>
      </c>
      <c r="B54" s="201">
        <v>44609</v>
      </c>
      <c r="C54">
        <v>4.5739999999999998</v>
      </c>
      <c r="D54">
        <v>24.95</v>
      </c>
      <c r="E54">
        <v>12.0861</v>
      </c>
    </row>
    <row r="55" spans="1:5" x14ac:dyDescent="0.25">
      <c r="A55" t="s">
        <v>405</v>
      </c>
      <c r="B55" s="201">
        <v>44608</v>
      </c>
      <c r="C55">
        <v>4.4029999999999996</v>
      </c>
      <c r="D55">
        <v>23.3</v>
      </c>
      <c r="E55">
        <v>12.3253</v>
      </c>
    </row>
    <row r="56" spans="1:5" x14ac:dyDescent="0.25">
      <c r="A56" t="s">
        <v>401</v>
      </c>
      <c r="B56" s="201">
        <v>44607</v>
      </c>
      <c r="C56">
        <v>4.2960000000000003</v>
      </c>
      <c r="D56">
        <v>23.61</v>
      </c>
      <c r="E56">
        <v>12.1264</v>
      </c>
    </row>
    <row r="57" spans="1:5" x14ac:dyDescent="0.25">
      <c r="A57" t="s">
        <v>402</v>
      </c>
      <c r="B57" s="201">
        <v>44606</v>
      </c>
      <c r="C57">
        <v>4.0620000000000003</v>
      </c>
      <c r="D57">
        <v>26.72</v>
      </c>
      <c r="E57">
        <v>12.542400000000001</v>
      </c>
    </row>
    <row r="59" spans="1:5" x14ac:dyDescent="0.25">
      <c r="A59" t="s">
        <v>403</v>
      </c>
      <c r="B59" s="201">
        <v>44603</v>
      </c>
      <c r="C59">
        <v>3.923</v>
      </c>
      <c r="D59">
        <v>25.77</v>
      </c>
      <c r="E59">
        <v>12.277200000000001</v>
      </c>
    </row>
    <row r="60" spans="1:5" x14ac:dyDescent="0.25">
      <c r="A60" t="s">
        <v>404</v>
      </c>
      <c r="B60" s="201">
        <v>44602</v>
      </c>
      <c r="C60">
        <v>3.887</v>
      </c>
      <c r="D60">
        <v>24.97</v>
      </c>
      <c r="E60">
        <v>11.8833</v>
      </c>
    </row>
    <row r="61" spans="1:5" x14ac:dyDescent="0.25">
      <c r="A61" t="s">
        <v>405</v>
      </c>
      <c r="B61" s="201">
        <v>44601</v>
      </c>
      <c r="C61">
        <v>4.0270000000000001</v>
      </c>
      <c r="D61">
        <v>24.93</v>
      </c>
      <c r="E61">
        <v>11.9015</v>
      </c>
    </row>
    <row r="62" spans="1:5" x14ac:dyDescent="0.25">
      <c r="A62" t="s">
        <v>401</v>
      </c>
      <c r="B62" s="201">
        <v>44600</v>
      </c>
      <c r="C62">
        <v>4.3040000000000003</v>
      </c>
      <c r="D62">
        <v>25.87</v>
      </c>
      <c r="E62">
        <v>11.801399999999999</v>
      </c>
    </row>
    <row r="63" spans="1:5" x14ac:dyDescent="0.25">
      <c r="A63" t="s">
        <v>402</v>
      </c>
      <c r="B63" s="201">
        <v>44599</v>
      </c>
      <c r="C63">
        <v>4.3550000000000004</v>
      </c>
      <c r="D63">
        <v>26.67</v>
      </c>
      <c r="E63">
        <v>12.0497</v>
      </c>
    </row>
    <row r="65" spans="1:5" x14ac:dyDescent="0.25">
      <c r="A65" t="s">
        <v>403</v>
      </c>
      <c r="B65" s="201">
        <v>44596</v>
      </c>
      <c r="C65">
        <v>5.3230000000000004</v>
      </c>
      <c r="D65">
        <v>27.74</v>
      </c>
      <c r="E65">
        <v>12.1251</v>
      </c>
    </row>
    <row r="66" spans="1:5" x14ac:dyDescent="0.25">
      <c r="A66" t="s">
        <v>404</v>
      </c>
      <c r="B66" s="201">
        <v>44595</v>
      </c>
      <c r="C66">
        <v>6.0819999999999999</v>
      </c>
      <c r="D66">
        <v>26.9</v>
      </c>
      <c r="E66">
        <v>11.8443</v>
      </c>
    </row>
    <row r="67" spans="1:5" x14ac:dyDescent="0.25">
      <c r="A67" t="s">
        <v>405</v>
      </c>
      <c r="B67" s="201">
        <v>44594</v>
      </c>
      <c r="C67">
        <v>6.5170000000000003</v>
      </c>
      <c r="D67">
        <v>25.64</v>
      </c>
      <c r="E67">
        <v>11.6311</v>
      </c>
    </row>
    <row r="68" spans="1:5" x14ac:dyDescent="0.25">
      <c r="A68" t="s">
        <v>401</v>
      </c>
      <c r="B68" s="201">
        <v>44593</v>
      </c>
      <c r="C68">
        <v>5.45</v>
      </c>
      <c r="D68">
        <v>25.12</v>
      </c>
      <c r="E68">
        <v>11.5908</v>
      </c>
    </row>
    <row r="69" spans="1:5" x14ac:dyDescent="0.25">
      <c r="A69" t="s">
        <v>402</v>
      </c>
      <c r="B69" s="201">
        <v>44592</v>
      </c>
      <c r="C69">
        <v>5.5389999999999997</v>
      </c>
      <c r="D69">
        <v>26.82</v>
      </c>
      <c r="E69">
        <v>11.8573</v>
      </c>
    </row>
    <row r="71" spans="1:5" x14ac:dyDescent="0.25">
      <c r="A71" t="s">
        <v>403</v>
      </c>
      <c r="B71" s="201">
        <v>44589</v>
      </c>
      <c r="C71">
        <v>5.63</v>
      </c>
      <c r="D71">
        <v>30.06</v>
      </c>
      <c r="E71">
        <v>11.703900000000001</v>
      </c>
    </row>
    <row r="72" spans="1:5" x14ac:dyDescent="0.25">
      <c r="A72" t="s">
        <v>404</v>
      </c>
      <c r="B72" s="201">
        <v>44588</v>
      </c>
      <c r="C72">
        <v>4.4320000000000004</v>
      </c>
      <c r="D72">
        <v>30.14</v>
      </c>
      <c r="E72">
        <v>11.6142</v>
      </c>
    </row>
    <row r="73" spans="1:5" x14ac:dyDescent="0.25">
      <c r="A73" t="s">
        <v>405</v>
      </c>
      <c r="B73" s="201">
        <v>44587</v>
      </c>
      <c r="C73">
        <v>4.4390000000000001</v>
      </c>
      <c r="D73">
        <v>30.38</v>
      </c>
      <c r="E73">
        <v>11.694800000000001</v>
      </c>
    </row>
    <row r="74" spans="1:5" x14ac:dyDescent="0.25">
      <c r="A74" t="s">
        <v>401</v>
      </c>
      <c r="B74" s="201">
        <v>44586</v>
      </c>
      <c r="C74">
        <v>4.149</v>
      </c>
      <c r="D74">
        <v>31.08</v>
      </c>
      <c r="E74">
        <v>11.465999999999999</v>
      </c>
    </row>
    <row r="75" spans="1:5" x14ac:dyDescent="0.25">
      <c r="A75" t="s">
        <v>402</v>
      </c>
      <c r="B75" s="201">
        <v>44585</v>
      </c>
      <c r="C75">
        <v>4.1589999999999998</v>
      </c>
      <c r="D75">
        <v>30.48</v>
      </c>
      <c r="E75">
        <v>11.2151</v>
      </c>
    </row>
    <row r="77" spans="1:5" x14ac:dyDescent="0.25">
      <c r="A77" t="s">
        <v>403</v>
      </c>
      <c r="B77" s="201">
        <v>44582</v>
      </c>
      <c r="C77">
        <v>4.0789999999999997</v>
      </c>
      <c r="D77">
        <v>26.37</v>
      </c>
      <c r="E77">
        <v>11.425700000000001</v>
      </c>
    </row>
    <row r="78" spans="1:5" x14ac:dyDescent="0.25">
      <c r="A78" t="s">
        <v>404</v>
      </c>
      <c r="B78" s="201">
        <v>44581</v>
      </c>
      <c r="C78">
        <v>4.1589999999999998</v>
      </c>
      <c r="D78">
        <v>26.09</v>
      </c>
      <c r="E78">
        <v>11.4894</v>
      </c>
    </row>
    <row r="79" spans="1:5" x14ac:dyDescent="0.25">
      <c r="A79" t="s">
        <v>405</v>
      </c>
      <c r="B79" s="201">
        <v>44580</v>
      </c>
      <c r="C79">
        <v>4.7939999999999996</v>
      </c>
      <c r="D79">
        <v>24.53</v>
      </c>
      <c r="E79">
        <v>11.497199999999999</v>
      </c>
    </row>
    <row r="80" spans="1:5" x14ac:dyDescent="0.25">
      <c r="A80" t="s">
        <v>401</v>
      </c>
      <c r="B80" s="201">
        <v>44579</v>
      </c>
      <c r="C80">
        <v>4.468</v>
      </c>
      <c r="D80">
        <v>26.55</v>
      </c>
      <c r="E80">
        <v>11.376300000000001</v>
      </c>
    </row>
    <row r="82" spans="1:5" x14ac:dyDescent="0.25">
      <c r="A82" t="s">
        <v>403</v>
      </c>
      <c r="B82" s="201">
        <v>44575</v>
      </c>
      <c r="C82">
        <v>4.3479999999999999</v>
      </c>
      <c r="D82">
        <v>27.88</v>
      </c>
      <c r="E82">
        <v>11.187799999999999</v>
      </c>
    </row>
    <row r="83" spans="1:5" x14ac:dyDescent="0.25">
      <c r="A83" t="s">
        <v>404</v>
      </c>
      <c r="B83" s="201">
        <v>44574</v>
      </c>
      <c r="C83">
        <v>4.7370000000000001</v>
      </c>
      <c r="D83">
        <v>28.3</v>
      </c>
      <c r="E83">
        <v>10.9811</v>
      </c>
    </row>
    <row r="84" spans="1:5" x14ac:dyDescent="0.25">
      <c r="A84" t="s">
        <v>405</v>
      </c>
      <c r="B84" s="201">
        <v>44573</v>
      </c>
      <c r="C84">
        <v>4.6130000000000004</v>
      </c>
      <c r="D84">
        <v>24.89</v>
      </c>
      <c r="E84">
        <v>11.007099999999999</v>
      </c>
    </row>
    <row r="85" spans="1:5" x14ac:dyDescent="0.25">
      <c r="A85" t="s">
        <v>401</v>
      </c>
      <c r="B85" s="201">
        <v>44572</v>
      </c>
      <c r="C85">
        <v>4.0389999999999997</v>
      </c>
      <c r="D85">
        <v>26.97</v>
      </c>
      <c r="E85">
        <v>10.883599999999999</v>
      </c>
    </row>
    <row r="86" spans="1:5" x14ac:dyDescent="0.25">
      <c r="A86" t="s">
        <v>402</v>
      </c>
      <c r="B86" s="201">
        <v>44571</v>
      </c>
      <c r="C86">
        <v>4.125</v>
      </c>
      <c r="D86">
        <v>28.35</v>
      </c>
      <c r="E86">
        <v>10.5131</v>
      </c>
    </row>
    <row r="88" spans="1:5" x14ac:dyDescent="0.25">
      <c r="A88" t="s">
        <v>403</v>
      </c>
      <c r="B88" s="201">
        <v>44568</v>
      </c>
      <c r="C88">
        <v>3.84</v>
      </c>
      <c r="D88">
        <v>27.96</v>
      </c>
      <c r="E88">
        <v>10.6275</v>
      </c>
    </row>
    <row r="89" spans="1:5" x14ac:dyDescent="0.25">
      <c r="A89" t="s">
        <v>404</v>
      </c>
      <c r="B89" s="201">
        <v>44567</v>
      </c>
      <c r="C89">
        <v>3.92</v>
      </c>
      <c r="D89">
        <v>32.450000000000003</v>
      </c>
      <c r="E89">
        <v>10.6587</v>
      </c>
    </row>
    <row r="90" spans="1:5" x14ac:dyDescent="0.25">
      <c r="A90" t="s">
        <v>405</v>
      </c>
      <c r="B90" s="201">
        <v>44566</v>
      </c>
      <c r="C90">
        <v>3.7789999999999999</v>
      </c>
      <c r="D90">
        <v>32.22</v>
      </c>
      <c r="E90">
        <v>10.504</v>
      </c>
    </row>
    <row r="91" spans="1:5" x14ac:dyDescent="0.25">
      <c r="A91" t="s">
        <v>401</v>
      </c>
      <c r="B91" s="201">
        <v>44565</v>
      </c>
      <c r="C91">
        <v>3.738</v>
      </c>
      <c r="D91">
        <v>29.17</v>
      </c>
      <c r="E91">
        <v>10.4</v>
      </c>
    </row>
    <row r="92" spans="1:5" x14ac:dyDescent="0.25">
      <c r="A92" t="s">
        <v>402</v>
      </c>
      <c r="B92" s="201">
        <v>44564</v>
      </c>
      <c r="C92">
        <v>3.581</v>
      </c>
      <c r="D92">
        <v>23.5</v>
      </c>
      <c r="E92">
        <v>10.2674</v>
      </c>
    </row>
    <row r="94" spans="1:5" x14ac:dyDescent="0.25">
      <c r="A94" t="s">
        <v>404</v>
      </c>
      <c r="B94" s="201">
        <v>44560</v>
      </c>
      <c r="C94">
        <v>3.65</v>
      </c>
      <c r="D94">
        <v>28.71</v>
      </c>
      <c r="E94">
        <v>10.3116</v>
      </c>
    </row>
    <row r="95" spans="1:5" x14ac:dyDescent="0.25">
      <c r="A95" t="s">
        <v>405</v>
      </c>
      <c r="B95" s="201">
        <v>44559</v>
      </c>
      <c r="C95">
        <v>3.3959999999999999</v>
      </c>
      <c r="D95">
        <v>32.159999999999997</v>
      </c>
      <c r="E95">
        <v>10.299899999999999</v>
      </c>
    </row>
    <row r="96" spans="1:5" x14ac:dyDescent="0.25">
      <c r="A96" t="s">
        <v>401</v>
      </c>
      <c r="B96" s="201">
        <v>44558</v>
      </c>
      <c r="C96">
        <v>3.3370000000000002</v>
      </c>
      <c r="D96">
        <v>33.950000000000003</v>
      </c>
      <c r="E96">
        <v>10.2622</v>
      </c>
    </row>
    <row r="97" spans="1:5" x14ac:dyDescent="0.25">
      <c r="A97" t="s">
        <v>402</v>
      </c>
      <c r="B97" s="201">
        <v>44557</v>
      </c>
      <c r="C97">
        <v>3.411</v>
      </c>
      <c r="D97">
        <v>34.299999999999997</v>
      </c>
      <c r="E97">
        <v>10.218</v>
      </c>
    </row>
    <row r="99" spans="1:5" x14ac:dyDescent="0.25">
      <c r="A99" t="s">
        <v>404</v>
      </c>
      <c r="B99" s="201">
        <v>44553</v>
      </c>
      <c r="C99">
        <v>3.5430000000000001</v>
      </c>
      <c r="D99">
        <v>41.81</v>
      </c>
      <c r="E99">
        <v>9.9905000000000008</v>
      </c>
    </row>
    <row r="100" spans="1:5" x14ac:dyDescent="0.25">
      <c r="A100" t="s">
        <v>405</v>
      </c>
      <c r="B100" s="201">
        <v>44552</v>
      </c>
      <c r="C100">
        <v>4</v>
      </c>
      <c r="D100">
        <v>55</v>
      </c>
      <c r="E100">
        <v>9.7876999999999992</v>
      </c>
    </row>
    <row r="101" spans="1:5" x14ac:dyDescent="0.25">
      <c r="A101" t="s">
        <v>401</v>
      </c>
      <c r="B101" s="201">
        <v>44551</v>
      </c>
      <c r="C101">
        <v>3.879</v>
      </c>
      <c r="D101">
        <v>59.67</v>
      </c>
      <c r="E101">
        <v>9.6173999999999999</v>
      </c>
    </row>
    <row r="102" spans="1:5" x14ac:dyDescent="0.25">
      <c r="A102" t="s">
        <v>402</v>
      </c>
      <c r="B102" s="201">
        <v>44550</v>
      </c>
      <c r="C102">
        <v>3.8919999999999999</v>
      </c>
      <c r="D102">
        <v>48.66</v>
      </c>
      <c r="E102">
        <v>9.2975999999999992</v>
      </c>
    </row>
    <row r="104" spans="1:5" x14ac:dyDescent="0.25">
      <c r="A104" t="s">
        <v>403</v>
      </c>
      <c r="B104" s="201">
        <v>44547</v>
      </c>
      <c r="C104">
        <v>3.677</v>
      </c>
      <c r="D104">
        <v>44.42</v>
      </c>
      <c r="E104">
        <v>9.5576000000000008</v>
      </c>
    </row>
    <row r="105" spans="1:5" x14ac:dyDescent="0.25">
      <c r="A105" t="s">
        <v>404</v>
      </c>
      <c r="B105" s="201">
        <v>44546</v>
      </c>
      <c r="C105">
        <v>3.677</v>
      </c>
      <c r="D105">
        <v>45.69</v>
      </c>
      <c r="E105">
        <v>9.7525999999999993</v>
      </c>
    </row>
    <row r="106" spans="1:5" x14ac:dyDescent="0.25">
      <c r="A106" t="s">
        <v>405</v>
      </c>
      <c r="B106" s="201">
        <v>44545</v>
      </c>
      <c r="C106">
        <v>3.7669999999999999</v>
      </c>
      <c r="D106">
        <v>40.909999999999997</v>
      </c>
      <c r="E106">
        <v>9.6044</v>
      </c>
    </row>
    <row r="107" spans="1:5" x14ac:dyDescent="0.25">
      <c r="A107" t="s">
        <v>401</v>
      </c>
      <c r="B107" s="201">
        <v>44544</v>
      </c>
      <c r="C107">
        <v>3.63</v>
      </c>
      <c r="D107">
        <v>43.12</v>
      </c>
      <c r="E107">
        <v>9.5809999999999995</v>
      </c>
    </row>
    <row r="108" spans="1:5" x14ac:dyDescent="0.25">
      <c r="A108" t="s">
        <v>402</v>
      </c>
      <c r="B108" s="201">
        <v>44543</v>
      </c>
      <c r="C108">
        <v>4.0140000000000002</v>
      </c>
      <c r="D108">
        <v>38.28</v>
      </c>
      <c r="E108">
        <v>9.6707000000000001</v>
      </c>
    </row>
    <row r="110" spans="1:5" x14ac:dyDescent="0.25">
      <c r="A110" t="s">
        <v>403</v>
      </c>
      <c r="B110" s="201">
        <v>44540</v>
      </c>
      <c r="C110">
        <v>3.6389999999999998</v>
      </c>
      <c r="D110">
        <v>35.1</v>
      </c>
      <c r="E110">
        <v>9.7695000000000007</v>
      </c>
    </row>
    <row r="111" spans="1:5" x14ac:dyDescent="0.25">
      <c r="A111" t="s">
        <v>404</v>
      </c>
      <c r="B111" s="201">
        <v>44539</v>
      </c>
      <c r="C111">
        <v>3.6539999999999999</v>
      </c>
      <c r="D111">
        <v>33.56</v>
      </c>
      <c r="E111">
        <v>9.6745999999999999</v>
      </c>
    </row>
    <row r="112" spans="1:5" x14ac:dyDescent="0.25">
      <c r="A112" t="s">
        <v>405</v>
      </c>
      <c r="B112" s="201">
        <v>44538</v>
      </c>
      <c r="C112">
        <v>3.7829999999999999</v>
      </c>
      <c r="D112">
        <v>34.119999999999997</v>
      </c>
      <c r="E112">
        <v>9.8566000000000003</v>
      </c>
    </row>
    <row r="113" spans="1:5" x14ac:dyDescent="0.25">
      <c r="A113" t="s">
        <v>401</v>
      </c>
      <c r="B113" s="201">
        <v>44537</v>
      </c>
      <c r="C113">
        <v>3.637</v>
      </c>
      <c r="D113">
        <v>31.29</v>
      </c>
      <c r="E113">
        <v>9.8071999999999999</v>
      </c>
    </row>
    <row r="114" spans="1:5" x14ac:dyDescent="0.25">
      <c r="A114" t="s">
        <v>402</v>
      </c>
      <c r="B114" s="201">
        <v>44536</v>
      </c>
      <c r="C114">
        <v>3.637</v>
      </c>
      <c r="D114">
        <v>29.98</v>
      </c>
      <c r="E114">
        <v>9.5004000000000008</v>
      </c>
    </row>
    <row r="116" spans="1:5" x14ac:dyDescent="0.25">
      <c r="A116" t="s">
        <v>403</v>
      </c>
      <c r="B116" s="201">
        <v>44533</v>
      </c>
      <c r="C116">
        <v>3.8170000000000002</v>
      </c>
      <c r="D116">
        <v>29.65</v>
      </c>
      <c r="E116">
        <v>9.0844000000000005</v>
      </c>
    </row>
    <row r="117" spans="1:5" x14ac:dyDescent="0.25">
      <c r="A117" t="s">
        <v>404</v>
      </c>
      <c r="B117" s="201">
        <v>44532</v>
      </c>
      <c r="C117">
        <v>4.0620000000000003</v>
      </c>
      <c r="D117">
        <v>30.12</v>
      </c>
      <c r="E117">
        <v>9.0571000000000002</v>
      </c>
    </row>
    <row r="118" spans="1:5" x14ac:dyDescent="0.25">
      <c r="A118" t="s">
        <v>405</v>
      </c>
      <c r="B118" s="201">
        <v>44531</v>
      </c>
      <c r="C118">
        <v>4.2610000000000001</v>
      </c>
      <c r="D118">
        <v>31.56</v>
      </c>
      <c r="E118">
        <v>8.9530999999999992</v>
      </c>
    </row>
    <row r="119" spans="1:5" x14ac:dyDescent="0.25">
      <c r="A119" t="s">
        <v>401</v>
      </c>
      <c r="B119" s="201">
        <v>44530</v>
      </c>
      <c r="C119">
        <v>4.5289999999999999</v>
      </c>
      <c r="D119">
        <v>30.51</v>
      </c>
      <c r="E119">
        <v>9.1740999999999993</v>
      </c>
    </row>
    <row r="120" spans="1:5" x14ac:dyDescent="0.25">
      <c r="A120" t="s">
        <v>402</v>
      </c>
      <c r="B120" s="201">
        <v>44529</v>
      </c>
      <c r="C120">
        <v>4.8600000000000003</v>
      </c>
      <c r="D120">
        <v>31.32</v>
      </c>
      <c r="E120">
        <v>9.5472000000000001</v>
      </c>
    </row>
    <row r="122" spans="1:5" x14ac:dyDescent="0.25">
      <c r="A122" t="s">
        <v>405</v>
      </c>
      <c r="B122" s="201">
        <v>44524</v>
      </c>
      <c r="C122">
        <v>4.9089999999999998</v>
      </c>
      <c r="D122">
        <v>30.66</v>
      </c>
      <c r="E122">
        <v>10.692500000000001</v>
      </c>
    </row>
    <row r="123" spans="1:5" x14ac:dyDescent="0.25">
      <c r="A123" t="s">
        <v>401</v>
      </c>
      <c r="B123" s="201">
        <v>44523</v>
      </c>
      <c r="C123">
        <v>4.91</v>
      </c>
      <c r="D123">
        <v>30.23</v>
      </c>
      <c r="E123">
        <v>10.7003</v>
      </c>
    </row>
    <row r="124" spans="1:5" x14ac:dyDescent="0.25">
      <c r="A124" t="s">
        <v>402</v>
      </c>
      <c r="B124" s="201">
        <v>44522</v>
      </c>
      <c r="C124">
        <v>4.7789999999999999</v>
      </c>
      <c r="D124">
        <v>27.97</v>
      </c>
      <c r="E124">
        <v>10.361000000000001</v>
      </c>
    </row>
    <row r="126" spans="1:5" x14ac:dyDescent="0.25">
      <c r="A126" t="s">
        <v>403</v>
      </c>
      <c r="B126" s="201">
        <v>44519</v>
      </c>
      <c r="C126">
        <v>4.9089999999999998</v>
      </c>
      <c r="D126">
        <v>28.7</v>
      </c>
      <c r="E126">
        <v>10.255699999999999</v>
      </c>
    </row>
    <row r="127" spans="1:5" x14ac:dyDescent="0.25">
      <c r="A127" t="s">
        <v>404</v>
      </c>
      <c r="B127" s="201">
        <v>44518</v>
      </c>
      <c r="C127">
        <v>4.968</v>
      </c>
      <c r="D127">
        <v>30.48</v>
      </c>
      <c r="E127">
        <v>10.561199999999999</v>
      </c>
    </row>
    <row r="128" spans="1:5" x14ac:dyDescent="0.25">
      <c r="A128" t="s">
        <v>405</v>
      </c>
      <c r="B128" s="201">
        <v>44517</v>
      </c>
      <c r="C128">
        <v>4.7889999999999997</v>
      </c>
      <c r="D128">
        <v>31.17</v>
      </c>
      <c r="E128">
        <v>10.436400000000001</v>
      </c>
    </row>
    <row r="129" spans="1:5" x14ac:dyDescent="0.25">
      <c r="A129" t="s">
        <v>401</v>
      </c>
      <c r="B129" s="201">
        <v>44516</v>
      </c>
      <c r="C129">
        <v>5.0590000000000002</v>
      </c>
      <c r="D129">
        <v>31.29</v>
      </c>
      <c r="E129">
        <v>10.7159</v>
      </c>
    </row>
    <row r="130" spans="1:5" x14ac:dyDescent="0.25">
      <c r="A130" t="s">
        <v>402</v>
      </c>
      <c r="B130" s="201">
        <v>44515</v>
      </c>
      <c r="C130">
        <v>4.7409999999999997</v>
      </c>
      <c r="D130">
        <v>27.3</v>
      </c>
      <c r="E130">
        <v>10.666499999999999</v>
      </c>
    </row>
    <row r="132" spans="1:5" x14ac:dyDescent="0.25">
      <c r="A132" t="s">
        <v>403</v>
      </c>
      <c r="B132" s="201">
        <v>44512</v>
      </c>
      <c r="C132">
        <v>4.8789999999999996</v>
      </c>
      <c r="D132">
        <v>25.69</v>
      </c>
      <c r="E132">
        <v>10.6821</v>
      </c>
    </row>
    <row r="133" spans="1:5" x14ac:dyDescent="0.25">
      <c r="A133" t="s">
        <v>404</v>
      </c>
      <c r="B133" s="201">
        <v>44511</v>
      </c>
      <c r="C133">
        <v>4.8019999999999996</v>
      </c>
      <c r="D133">
        <v>25.26</v>
      </c>
      <c r="E133">
        <v>10.773099999999999</v>
      </c>
    </row>
    <row r="134" spans="1:5" x14ac:dyDescent="0.25">
      <c r="A134" t="s">
        <v>405</v>
      </c>
      <c r="B134" s="201">
        <v>44510</v>
      </c>
      <c r="C134">
        <v>4.569</v>
      </c>
      <c r="D134">
        <v>24.1</v>
      </c>
      <c r="E134">
        <v>10.7432</v>
      </c>
    </row>
    <row r="135" spans="1:5" x14ac:dyDescent="0.25">
      <c r="A135" t="s">
        <v>401</v>
      </c>
      <c r="B135" s="201">
        <v>44509</v>
      </c>
      <c r="C135">
        <v>5.1970000000000001</v>
      </c>
      <c r="D135">
        <v>24.15</v>
      </c>
      <c r="E135">
        <v>11.0214</v>
      </c>
    </row>
    <row r="136" spans="1:5" x14ac:dyDescent="0.25">
      <c r="A136" t="s">
        <v>402</v>
      </c>
      <c r="B136" s="201">
        <v>44508</v>
      </c>
      <c r="C136">
        <v>5.5</v>
      </c>
      <c r="D136">
        <v>26.72</v>
      </c>
      <c r="E136">
        <v>10.8459</v>
      </c>
    </row>
    <row r="138" spans="1:5" x14ac:dyDescent="0.25">
      <c r="A138" t="s">
        <v>403</v>
      </c>
      <c r="B138" s="201">
        <v>44505</v>
      </c>
      <c r="C138">
        <v>5.3710000000000004</v>
      </c>
      <c r="D138">
        <v>25.16</v>
      </c>
      <c r="E138">
        <v>10.7562</v>
      </c>
    </row>
    <row r="139" spans="1:5" x14ac:dyDescent="0.25">
      <c r="A139" t="s">
        <v>404</v>
      </c>
      <c r="B139" s="201">
        <v>44504</v>
      </c>
      <c r="C139">
        <v>5.7080000000000002</v>
      </c>
      <c r="D139">
        <v>24.77</v>
      </c>
      <c r="E139">
        <v>10.4702</v>
      </c>
    </row>
    <row r="140" spans="1:5" x14ac:dyDescent="0.25">
      <c r="A140" t="s">
        <v>405</v>
      </c>
      <c r="B140" s="201">
        <v>44503</v>
      </c>
      <c r="C140">
        <v>5.5590000000000002</v>
      </c>
      <c r="D140">
        <v>27</v>
      </c>
      <c r="E140">
        <v>10.6587</v>
      </c>
    </row>
    <row r="141" spans="1:5" x14ac:dyDescent="0.25">
      <c r="A141" t="s">
        <v>401</v>
      </c>
      <c r="B141" s="201">
        <v>44502</v>
      </c>
      <c r="C141">
        <v>5.3380000000000001</v>
      </c>
      <c r="D141">
        <v>24.28</v>
      </c>
      <c r="E141">
        <v>11.0136</v>
      </c>
    </row>
    <row r="142" spans="1:5" x14ac:dyDescent="0.25">
      <c r="A142" t="s">
        <v>402</v>
      </c>
      <c r="B142" s="201">
        <v>44501</v>
      </c>
      <c r="C142">
        <v>5.1719999999999997</v>
      </c>
      <c r="D142">
        <v>23</v>
      </c>
      <c r="E142">
        <v>11.0123</v>
      </c>
    </row>
    <row r="144" spans="1:5" x14ac:dyDescent="0.25">
      <c r="A144" t="s">
        <v>403</v>
      </c>
      <c r="B144" s="201">
        <v>44498</v>
      </c>
      <c r="C144">
        <v>5.4119999999999999</v>
      </c>
      <c r="D144">
        <v>22.25</v>
      </c>
      <c r="E144">
        <v>10.9694</v>
      </c>
    </row>
    <row r="145" spans="1:5" x14ac:dyDescent="0.25">
      <c r="A145" t="s">
        <v>404</v>
      </c>
      <c r="B145" s="201">
        <v>44497</v>
      </c>
      <c r="C145">
        <v>5.6020000000000003</v>
      </c>
      <c r="D145">
        <v>26.06</v>
      </c>
      <c r="E145">
        <v>10.961600000000001</v>
      </c>
    </row>
    <row r="146" spans="1:5" x14ac:dyDescent="0.25">
      <c r="A146" t="s">
        <v>405</v>
      </c>
      <c r="B146" s="201">
        <v>44496</v>
      </c>
      <c r="C146">
        <v>5.859</v>
      </c>
      <c r="D146">
        <v>28.93</v>
      </c>
      <c r="E146">
        <v>10.9954</v>
      </c>
    </row>
    <row r="147" spans="1:5" x14ac:dyDescent="0.25">
      <c r="A147" t="s">
        <v>401</v>
      </c>
      <c r="B147" s="201">
        <v>44495</v>
      </c>
      <c r="C147">
        <v>5.593</v>
      </c>
      <c r="D147">
        <v>30.32</v>
      </c>
      <c r="E147">
        <v>11.231999999999999</v>
      </c>
    </row>
    <row r="148" spans="1:5" x14ac:dyDescent="0.25">
      <c r="A148" t="s">
        <v>402</v>
      </c>
      <c r="B148" s="201">
        <v>44494</v>
      </c>
      <c r="C148">
        <v>5.6070000000000002</v>
      </c>
      <c r="D148">
        <v>29.98</v>
      </c>
      <c r="E148">
        <v>11.178699999999999</v>
      </c>
    </row>
    <row r="150" spans="1:5" x14ac:dyDescent="0.25">
      <c r="A150" t="s">
        <v>403</v>
      </c>
      <c r="B150" s="201">
        <v>44491</v>
      </c>
      <c r="C150">
        <v>5.0869999999999997</v>
      </c>
      <c r="D150">
        <v>29.92</v>
      </c>
      <c r="E150">
        <v>11.1189</v>
      </c>
    </row>
    <row r="151" spans="1:5" x14ac:dyDescent="0.25">
      <c r="A151" t="s">
        <v>404</v>
      </c>
      <c r="B151" s="201">
        <v>44490</v>
      </c>
      <c r="C151">
        <v>4.9269999999999996</v>
      </c>
      <c r="D151">
        <v>29.82</v>
      </c>
      <c r="E151">
        <v>10.9993</v>
      </c>
    </row>
    <row r="152" spans="1:5" x14ac:dyDescent="0.25">
      <c r="A152" t="s">
        <v>405</v>
      </c>
      <c r="B152" s="201">
        <v>44489</v>
      </c>
      <c r="C152">
        <v>4.7560000000000002</v>
      </c>
      <c r="D152">
        <v>31.94</v>
      </c>
      <c r="E152">
        <v>11.156599999999999</v>
      </c>
    </row>
    <row r="153" spans="1:5" x14ac:dyDescent="0.25">
      <c r="A153" t="s">
        <v>401</v>
      </c>
      <c r="B153" s="201">
        <v>44488</v>
      </c>
      <c r="C153">
        <v>4.7859999999999996</v>
      </c>
      <c r="D153">
        <v>31.11</v>
      </c>
      <c r="E153">
        <v>11.0604</v>
      </c>
    </row>
    <row r="154" spans="1:5" x14ac:dyDescent="0.25">
      <c r="A154" t="s">
        <v>402</v>
      </c>
      <c r="B154" s="201">
        <v>44487</v>
      </c>
      <c r="C154">
        <v>5.0270000000000001</v>
      </c>
      <c r="D154">
        <v>30.85</v>
      </c>
      <c r="E154">
        <v>10.962899999999999</v>
      </c>
    </row>
    <row r="156" spans="1:5" x14ac:dyDescent="0.25">
      <c r="A156" t="s">
        <v>403</v>
      </c>
      <c r="B156" s="201">
        <v>44484</v>
      </c>
      <c r="C156">
        <v>5.4470000000000001</v>
      </c>
      <c r="D156">
        <v>30.42</v>
      </c>
      <c r="E156">
        <v>11.0318</v>
      </c>
    </row>
    <row r="157" spans="1:5" x14ac:dyDescent="0.25">
      <c r="A157" t="s">
        <v>404</v>
      </c>
      <c r="B157" s="201">
        <v>44483</v>
      </c>
      <c r="C157">
        <v>5.84</v>
      </c>
      <c r="D157">
        <v>34.549999999999997</v>
      </c>
      <c r="E157">
        <v>10.92</v>
      </c>
    </row>
    <row r="158" spans="1:5" x14ac:dyDescent="0.25">
      <c r="A158" t="s">
        <v>405</v>
      </c>
      <c r="B158" s="201">
        <v>44482</v>
      </c>
      <c r="C158">
        <v>5.4260000000000002</v>
      </c>
      <c r="D158">
        <v>31.97</v>
      </c>
      <c r="E158">
        <v>10.8134</v>
      </c>
    </row>
    <row r="159" spans="1:5" x14ac:dyDescent="0.25">
      <c r="A159" t="s">
        <v>401</v>
      </c>
      <c r="B159" s="201">
        <v>44481</v>
      </c>
      <c r="C159">
        <v>5.3479999999999999</v>
      </c>
      <c r="D159">
        <v>29.59</v>
      </c>
      <c r="E159">
        <v>10.8446</v>
      </c>
    </row>
    <row r="160" spans="1:5" x14ac:dyDescent="0.25">
      <c r="A160" t="s">
        <v>402</v>
      </c>
      <c r="B160" s="201">
        <v>44480</v>
      </c>
      <c r="C160">
        <v>5.399</v>
      </c>
      <c r="D160">
        <v>28.6</v>
      </c>
      <c r="E160">
        <v>10.874499999999999</v>
      </c>
    </row>
    <row r="162" spans="1:5" x14ac:dyDescent="0.25">
      <c r="A162" t="s">
        <v>403</v>
      </c>
      <c r="B162" s="201">
        <v>44477</v>
      </c>
      <c r="C162">
        <v>5.6829999999999998</v>
      </c>
      <c r="D162">
        <v>28.6</v>
      </c>
      <c r="E162">
        <v>10.710699999999999</v>
      </c>
    </row>
    <row r="163" spans="1:5" x14ac:dyDescent="0.25">
      <c r="A163" t="s">
        <v>404</v>
      </c>
      <c r="B163" s="201">
        <v>44476</v>
      </c>
      <c r="C163">
        <v>5.702</v>
      </c>
      <c r="D163">
        <v>33.69</v>
      </c>
      <c r="E163">
        <v>10.653499999999999</v>
      </c>
    </row>
    <row r="164" spans="1:5" x14ac:dyDescent="0.25">
      <c r="A164" t="s">
        <v>405</v>
      </c>
      <c r="B164" s="201">
        <v>44475</v>
      </c>
      <c r="C164">
        <v>5.9509999999999996</v>
      </c>
      <c r="D164">
        <v>35.17</v>
      </c>
      <c r="E164">
        <v>10.5404</v>
      </c>
    </row>
    <row r="165" spans="1:5" x14ac:dyDescent="0.25">
      <c r="A165" t="s">
        <v>401</v>
      </c>
      <c r="B165" s="201">
        <v>44474</v>
      </c>
      <c r="C165">
        <v>6.2</v>
      </c>
      <c r="D165">
        <v>40.090000000000003</v>
      </c>
      <c r="E165">
        <v>10.732799999999999</v>
      </c>
    </row>
    <row r="166" spans="1:5" x14ac:dyDescent="0.25">
      <c r="A166" t="s">
        <v>402</v>
      </c>
      <c r="B166" s="201">
        <v>44473</v>
      </c>
      <c r="C166">
        <v>5.8090000000000002</v>
      </c>
      <c r="D166">
        <v>32.93</v>
      </c>
      <c r="E166">
        <v>10.563800000000001</v>
      </c>
    </row>
    <row r="168" spans="1:5" x14ac:dyDescent="0.25">
      <c r="A168" t="s">
        <v>403</v>
      </c>
      <c r="B168" s="201">
        <v>44470</v>
      </c>
      <c r="C168">
        <v>5.5819999999999999</v>
      </c>
      <c r="D168">
        <v>31.12</v>
      </c>
      <c r="E168">
        <v>10.3064</v>
      </c>
    </row>
    <row r="169" spans="1:5" x14ac:dyDescent="0.25">
      <c r="A169" t="s">
        <v>404</v>
      </c>
      <c r="B169" s="201">
        <v>44469</v>
      </c>
      <c r="C169">
        <v>5.5460000000000003</v>
      </c>
      <c r="D169">
        <v>30.5</v>
      </c>
      <c r="E169">
        <v>10.207599999999999</v>
      </c>
    </row>
    <row r="170" spans="1:5" x14ac:dyDescent="0.25">
      <c r="A170" t="s">
        <v>405</v>
      </c>
      <c r="B170" s="201">
        <v>44468</v>
      </c>
      <c r="C170">
        <v>5.63</v>
      </c>
      <c r="D170">
        <v>29.4</v>
      </c>
      <c r="E170">
        <v>10.2232</v>
      </c>
    </row>
    <row r="171" spans="1:5" x14ac:dyDescent="0.25">
      <c r="A171" t="s">
        <v>401</v>
      </c>
      <c r="B171" s="201">
        <v>44467</v>
      </c>
      <c r="C171">
        <v>5.9189999999999996</v>
      </c>
      <c r="D171">
        <v>27.71</v>
      </c>
      <c r="E171">
        <v>10.281700000000001</v>
      </c>
    </row>
    <row r="172" spans="1:5" x14ac:dyDescent="0.25">
      <c r="A172" t="s">
        <v>402</v>
      </c>
      <c r="B172" s="201">
        <v>44466</v>
      </c>
      <c r="C172">
        <v>5.5</v>
      </c>
      <c r="D172">
        <v>26.63</v>
      </c>
      <c r="E172">
        <v>10.338900000000001</v>
      </c>
    </row>
    <row r="174" spans="1:5" x14ac:dyDescent="0.25">
      <c r="A174" t="s">
        <v>403</v>
      </c>
      <c r="B174" s="201">
        <v>44463</v>
      </c>
      <c r="C174">
        <v>5.0199999999999996</v>
      </c>
      <c r="D174">
        <v>24.44</v>
      </c>
      <c r="E174">
        <v>10.1517</v>
      </c>
    </row>
    <row r="175" spans="1:5" x14ac:dyDescent="0.25">
      <c r="A175" t="s">
        <v>404</v>
      </c>
      <c r="B175" s="201">
        <v>44462</v>
      </c>
      <c r="C175">
        <v>4.9020000000000001</v>
      </c>
      <c r="D175">
        <v>24.34</v>
      </c>
      <c r="E175">
        <v>10.0425</v>
      </c>
    </row>
    <row r="176" spans="1:5" x14ac:dyDescent="0.25">
      <c r="A176" t="s">
        <v>405</v>
      </c>
      <c r="B176" s="201">
        <v>44461</v>
      </c>
      <c r="C176">
        <v>4.8099999999999996</v>
      </c>
      <c r="D176">
        <v>24.06</v>
      </c>
      <c r="E176">
        <v>9.9047000000000001</v>
      </c>
    </row>
    <row r="177" spans="1:5" x14ac:dyDescent="0.25">
      <c r="A177" t="s">
        <v>401</v>
      </c>
      <c r="B177" s="201">
        <v>44460</v>
      </c>
      <c r="C177">
        <v>4.891</v>
      </c>
      <c r="D177">
        <v>24.81</v>
      </c>
      <c r="E177">
        <v>9.6668000000000003</v>
      </c>
    </row>
    <row r="178" spans="1:5" x14ac:dyDescent="0.25">
      <c r="A178" t="s">
        <v>402</v>
      </c>
      <c r="B178" s="201">
        <v>44459</v>
      </c>
      <c r="C178">
        <v>5.1449999999999996</v>
      </c>
      <c r="D178">
        <v>24.73</v>
      </c>
      <c r="E178">
        <v>9.6096000000000004</v>
      </c>
    </row>
    <row r="180" spans="1:5" x14ac:dyDescent="0.25">
      <c r="A180" t="s">
        <v>403</v>
      </c>
      <c r="B180" s="201">
        <v>44456</v>
      </c>
      <c r="C180">
        <v>5.2590000000000003</v>
      </c>
      <c r="D180">
        <v>22.76</v>
      </c>
      <c r="E180">
        <v>9.7942</v>
      </c>
    </row>
    <row r="181" spans="1:5" x14ac:dyDescent="0.25">
      <c r="A181" t="s">
        <v>404</v>
      </c>
      <c r="B181" s="201">
        <v>44455</v>
      </c>
      <c r="C181">
        <v>5.45</v>
      </c>
      <c r="D181">
        <v>21.48</v>
      </c>
      <c r="E181">
        <v>9.8370999999999995</v>
      </c>
    </row>
    <row r="182" spans="1:5" x14ac:dyDescent="0.25">
      <c r="A182" t="s">
        <v>405</v>
      </c>
      <c r="B182" s="201">
        <v>44454</v>
      </c>
      <c r="C182">
        <v>5.59</v>
      </c>
      <c r="D182">
        <v>22.67</v>
      </c>
      <c r="E182">
        <v>9.8097999999999992</v>
      </c>
    </row>
    <row r="183" spans="1:5" x14ac:dyDescent="0.25">
      <c r="A183" t="s">
        <v>401</v>
      </c>
      <c r="B183" s="201">
        <v>44453</v>
      </c>
      <c r="C183">
        <v>5.3550000000000004</v>
      </c>
      <c r="D183">
        <v>22.94</v>
      </c>
      <c r="E183">
        <v>9.5679999999999996</v>
      </c>
    </row>
    <row r="184" spans="1:5" x14ac:dyDescent="0.25">
      <c r="A184" t="s">
        <v>402</v>
      </c>
      <c r="B184" s="201">
        <v>44452</v>
      </c>
      <c r="C184">
        <v>5.1790000000000003</v>
      </c>
      <c r="D184">
        <v>21.47</v>
      </c>
      <c r="E184">
        <v>9.5563000000000002</v>
      </c>
    </row>
    <row r="186" spans="1:5" x14ac:dyDescent="0.25">
      <c r="A186" t="s">
        <v>403</v>
      </c>
      <c r="B186" s="201">
        <v>44449</v>
      </c>
      <c r="C186">
        <v>5.0519999999999996</v>
      </c>
      <c r="D186">
        <v>20.02</v>
      </c>
      <c r="E186">
        <v>9.4795999999999996</v>
      </c>
    </row>
    <row r="187" spans="1:5" x14ac:dyDescent="0.25">
      <c r="A187" t="s">
        <v>404</v>
      </c>
      <c r="B187" s="201">
        <v>44448</v>
      </c>
      <c r="C187">
        <v>4.976</v>
      </c>
      <c r="D187">
        <v>19.45</v>
      </c>
      <c r="E187">
        <v>9.2885000000000009</v>
      </c>
    </row>
    <row r="188" spans="1:5" x14ac:dyDescent="0.25">
      <c r="A188" t="s">
        <v>405</v>
      </c>
      <c r="B188" s="201">
        <v>44447</v>
      </c>
      <c r="C188">
        <v>4.6710000000000003</v>
      </c>
      <c r="D188">
        <v>19.13</v>
      </c>
      <c r="E188">
        <v>9.4380000000000006</v>
      </c>
    </row>
    <row r="189" spans="1:5" x14ac:dyDescent="0.25">
      <c r="A189" t="s">
        <v>401</v>
      </c>
      <c r="B189" s="201">
        <v>44446</v>
      </c>
      <c r="C189">
        <v>4.6870000000000003</v>
      </c>
      <c r="D189">
        <v>18.95</v>
      </c>
      <c r="E189">
        <v>9.3196999999999992</v>
      </c>
    </row>
    <row r="191" spans="1:5" x14ac:dyDescent="0.25">
      <c r="A191" t="s">
        <v>403</v>
      </c>
      <c r="B191" s="201">
        <v>44442</v>
      </c>
      <c r="C191">
        <v>4.718</v>
      </c>
      <c r="D191">
        <v>18</v>
      </c>
      <c r="E191">
        <v>9.4392999999999994</v>
      </c>
    </row>
    <row r="192" spans="1:5" x14ac:dyDescent="0.25">
      <c r="A192" t="s">
        <v>404</v>
      </c>
      <c r="B192" s="201">
        <v>44441</v>
      </c>
      <c r="C192">
        <v>4.6379999999999999</v>
      </c>
      <c r="D192">
        <v>17.93</v>
      </c>
      <c r="E192">
        <v>9.4939</v>
      </c>
    </row>
    <row r="193" spans="1:5" x14ac:dyDescent="0.25">
      <c r="A193" t="s">
        <v>405</v>
      </c>
      <c r="B193" s="201">
        <v>44440</v>
      </c>
      <c r="C193">
        <v>4.3879999999999999</v>
      </c>
      <c r="D193">
        <v>17.309999999999999</v>
      </c>
      <c r="E193">
        <v>9.3066999999999993</v>
      </c>
    </row>
    <row r="194" spans="1:5" x14ac:dyDescent="0.25">
      <c r="A194" t="s">
        <v>401</v>
      </c>
      <c r="B194" s="201">
        <v>44439</v>
      </c>
      <c r="C194">
        <v>4.3369999999999997</v>
      </c>
      <c r="D194">
        <v>17.28</v>
      </c>
      <c r="E194">
        <v>9.4886999999999997</v>
      </c>
    </row>
    <row r="195" spans="1:5" x14ac:dyDescent="0.25">
      <c r="A195" t="s">
        <v>402</v>
      </c>
      <c r="B195" s="201">
        <v>44438</v>
      </c>
      <c r="C195">
        <v>4.2460000000000004</v>
      </c>
      <c r="D195">
        <v>17.7</v>
      </c>
      <c r="E195">
        <v>9.5433000000000003</v>
      </c>
    </row>
    <row r="197" spans="1:5" x14ac:dyDescent="0.25">
      <c r="A197" t="s">
        <v>403</v>
      </c>
      <c r="B197" s="201">
        <v>44435</v>
      </c>
      <c r="C197">
        <v>4.3369999999999997</v>
      </c>
      <c r="D197">
        <v>16.510000000000002</v>
      </c>
      <c r="E197">
        <v>9.4510000000000005</v>
      </c>
    </row>
    <row r="198" spans="1:5" x14ac:dyDescent="0.25">
      <c r="A198" t="s">
        <v>404</v>
      </c>
      <c r="B198" s="201">
        <v>44434</v>
      </c>
      <c r="C198">
        <v>4.0659999999999998</v>
      </c>
      <c r="D198">
        <v>15.79</v>
      </c>
      <c r="E198">
        <v>9.2391000000000005</v>
      </c>
    </row>
    <row r="199" spans="1:5" x14ac:dyDescent="0.25">
      <c r="A199" t="s">
        <v>405</v>
      </c>
      <c r="B199" s="201">
        <v>44433</v>
      </c>
      <c r="C199">
        <v>3.9359999999999999</v>
      </c>
      <c r="D199">
        <v>15.25</v>
      </c>
      <c r="E199">
        <v>9.3925000000000001</v>
      </c>
    </row>
    <row r="200" spans="1:5" x14ac:dyDescent="0.25">
      <c r="A200" t="s">
        <v>401</v>
      </c>
      <c r="B200" s="201">
        <v>44432</v>
      </c>
      <c r="C200">
        <v>4.0039999999999996</v>
      </c>
      <c r="D200">
        <v>15.62</v>
      </c>
      <c r="E200">
        <v>9.2364999999999995</v>
      </c>
    </row>
    <row r="201" spans="1:5" x14ac:dyDescent="0.25">
      <c r="A201" t="s">
        <v>402</v>
      </c>
      <c r="B201" s="201">
        <v>44431</v>
      </c>
      <c r="C201">
        <v>3.9249999999999998</v>
      </c>
      <c r="D201">
        <v>14.66</v>
      </c>
      <c r="E201">
        <v>8.9375</v>
      </c>
    </row>
    <row r="203" spans="1:5" x14ac:dyDescent="0.25">
      <c r="A203" t="s">
        <v>403</v>
      </c>
      <c r="B203" s="201">
        <v>44428</v>
      </c>
      <c r="C203">
        <v>3.9449999999999998</v>
      </c>
      <c r="D203">
        <v>14.29</v>
      </c>
      <c r="E203">
        <v>8.4733999999999998</v>
      </c>
    </row>
    <row r="204" spans="1:5" x14ac:dyDescent="0.25">
      <c r="A204" t="s">
        <v>404</v>
      </c>
      <c r="B204" s="201">
        <v>44427</v>
      </c>
      <c r="C204">
        <v>3.83</v>
      </c>
      <c r="D204">
        <v>14.02</v>
      </c>
      <c r="E204">
        <v>8.6385000000000005</v>
      </c>
    </row>
    <row r="205" spans="1:5" x14ac:dyDescent="0.25">
      <c r="A205" t="s">
        <v>405</v>
      </c>
      <c r="B205" s="201">
        <v>44426</v>
      </c>
      <c r="C205">
        <v>3.8650000000000002</v>
      </c>
      <c r="D205">
        <v>15.31</v>
      </c>
      <c r="E205">
        <v>8.8698999999999995</v>
      </c>
    </row>
    <row r="206" spans="1:5" x14ac:dyDescent="0.25">
      <c r="A206" t="s">
        <v>401</v>
      </c>
      <c r="B206" s="201">
        <v>44425</v>
      </c>
      <c r="C206">
        <v>3.9249999999999998</v>
      </c>
      <c r="D206">
        <v>16.09</v>
      </c>
      <c r="E206">
        <v>8.9739000000000004</v>
      </c>
    </row>
    <row r="207" spans="1:5" x14ac:dyDescent="0.25">
      <c r="A207" t="s">
        <v>402</v>
      </c>
      <c r="B207" s="201">
        <v>44424</v>
      </c>
      <c r="C207">
        <v>3.9350000000000001</v>
      </c>
      <c r="D207">
        <v>16.600000000000001</v>
      </c>
      <c r="E207">
        <v>9.0363000000000007</v>
      </c>
    </row>
    <row r="209" spans="1:5" x14ac:dyDescent="0.25">
      <c r="A209" t="s">
        <v>403</v>
      </c>
      <c r="B209" s="201">
        <v>44421</v>
      </c>
      <c r="C209">
        <v>3.9039999999999999</v>
      </c>
      <c r="D209">
        <v>15.42</v>
      </c>
      <c r="E209">
        <v>9.1767000000000003</v>
      </c>
    </row>
    <row r="210" spans="1:5" x14ac:dyDescent="0.25">
      <c r="A210" t="s">
        <v>404</v>
      </c>
      <c r="B210" s="201">
        <v>44420</v>
      </c>
      <c r="C210">
        <v>4.0529999999999999</v>
      </c>
      <c r="D210">
        <v>15.62</v>
      </c>
      <c r="E210">
        <v>9.2703000000000007</v>
      </c>
    </row>
    <row r="211" spans="1:5" x14ac:dyDescent="0.25">
      <c r="A211" t="s">
        <v>405</v>
      </c>
      <c r="B211" s="201">
        <v>44419</v>
      </c>
      <c r="C211">
        <v>4.0659999999999998</v>
      </c>
      <c r="D211">
        <v>15.91</v>
      </c>
      <c r="E211">
        <v>9.2872000000000003</v>
      </c>
    </row>
    <row r="212" spans="1:5" x14ac:dyDescent="0.25">
      <c r="A212" t="s">
        <v>401</v>
      </c>
      <c r="B212" s="201">
        <v>44418</v>
      </c>
      <c r="C212">
        <v>4.125</v>
      </c>
      <c r="D212">
        <v>15.34</v>
      </c>
      <c r="E212">
        <v>9.1819000000000006</v>
      </c>
    </row>
    <row r="213" spans="1:5" x14ac:dyDescent="0.25">
      <c r="A213" t="s">
        <v>402</v>
      </c>
      <c r="B213" s="201">
        <v>44417</v>
      </c>
      <c r="C213">
        <v>4.13</v>
      </c>
      <c r="D213">
        <v>14.93</v>
      </c>
      <c r="E213">
        <v>8.9751999999999992</v>
      </c>
    </row>
    <row r="215" spans="1:5" x14ac:dyDescent="0.25">
      <c r="A215" t="s">
        <v>403</v>
      </c>
      <c r="B215" s="201">
        <v>44414</v>
      </c>
      <c r="C215">
        <v>4.1459999999999999</v>
      </c>
      <c r="D215">
        <v>15.02</v>
      </c>
      <c r="E215">
        <v>9.1910000000000007</v>
      </c>
    </row>
    <row r="216" spans="1:5" x14ac:dyDescent="0.25">
      <c r="A216" t="s">
        <v>404</v>
      </c>
      <c r="B216" s="201">
        <v>44413</v>
      </c>
      <c r="C216">
        <v>4.1980000000000004</v>
      </c>
      <c r="D216">
        <v>14.97</v>
      </c>
      <c r="E216">
        <v>9.2676999999999996</v>
      </c>
    </row>
    <row r="217" spans="1:5" x14ac:dyDescent="0.25">
      <c r="A217" t="s">
        <v>405</v>
      </c>
      <c r="B217" s="201">
        <v>44412</v>
      </c>
      <c r="C217">
        <v>4.1769999999999996</v>
      </c>
      <c r="D217">
        <v>14.59</v>
      </c>
      <c r="E217">
        <v>9.1494</v>
      </c>
    </row>
    <row r="218" spans="1:5" x14ac:dyDescent="0.25">
      <c r="A218" t="s">
        <v>401</v>
      </c>
      <c r="B218" s="201">
        <v>44411</v>
      </c>
      <c r="C218">
        <v>3.992</v>
      </c>
      <c r="D218">
        <v>14.47</v>
      </c>
      <c r="E218">
        <v>9.4132999999999996</v>
      </c>
    </row>
    <row r="219" spans="1:5" x14ac:dyDescent="0.25">
      <c r="A219" t="s">
        <v>402</v>
      </c>
      <c r="B219" s="201">
        <v>44410</v>
      </c>
      <c r="C219">
        <v>3.9750000000000001</v>
      </c>
      <c r="D219">
        <v>14.72</v>
      </c>
      <c r="E219">
        <v>9.4756999999999998</v>
      </c>
    </row>
    <row r="221" spans="1:5" x14ac:dyDescent="0.25">
      <c r="A221" t="s">
        <v>403</v>
      </c>
      <c r="B221" s="201">
        <v>44407</v>
      </c>
      <c r="C221">
        <v>3.9039999999999999</v>
      </c>
      <c r="D221">
        <v>13.88</v>
      </c>
      <c r="E221">
        <v>9.9229000000000003</v>
      </c>
    </row>
    <row r="222" spans="1:5" x14ac:dyDescent="0.25">
      <c r="A222" t="s">
        <v>404</v>
      </c>
      <c r="B222" s="201">
        <v>44406</v>
      </c>
      <c r="C222">
        <v>4.0049999999999999</v>
      </c>
      <c r="D222">
        <v>14.42</v>
      </c>
      <c r="E222">
        <v>9.8864999999999998</v>
      </c>
    </row>
    <row r="223" spans="1:5" x14ac:dyDescent="0.25">
      <c r="A223" t="s">
        <v>405</v>
      </c>
      <c r="B223" s="201">
        <v>44405</v>
      </c>
      <c r="C223">
        <v>4.0549999999999997</v>
      </c>
      <c r="D223">
        <v>13.77</v>
      </c>
      <c r="E223">
        <v>9.7162000000000006</v>
      </c>
    </row>
    <row r="224" spans="1:5" x14ac:dyDescent="0.25">
      <c r="A224" t="s">
        <v>401</v>
      </c>
      <c r="B224" s="201">
        <v>44404</v>
      </c>
      <c r="C224">
        <v>4.085</v>
      </c>
      <c r="D224">
        <v>13.05</v>
      </c>
      <c r="E224">
        <v>9.6823999999999995</v>
      </c>
    </row>
    <row r="225" spans="1:5" x14ac:dyDescent="0.25">
      <c r="A225" t="s">
        <v>402</v>
      </c>
      <c r="B225" s="201">
        <v>44403</v>
      </c>
      <c r="C225">
        <v>4.0960000000000001</v>
      </c>
      <c r="D225">
        <v>12.8</v>
      </c>
      <c r="E225">
        <v>9.6850000000000005</v>
      </c>
    </row>
    <row r="227" spans="1:5" x14ac:dyDescent="0.25">
      <c r="A227" t="s">
        <v>403</v>
      </c>
      <c r="B227" s="201">
        <v>44400</v>
      </c>
      <c r="C227">
        <v>4.077</v>
      </c>
      <c r="D227">
        <v>12.24</v>
      </c>
      <c r="E227">
        <v>9.6329999999999991</v>
      </c>
    </row>
    <row r="228" spans="1:5" x14ac:dyDescent="0.25">
      <c r="A228" t="s">
        <v>404</v>
      </c>
      <c r="B228" s="201">
        <v>44399</v>
      </c>
      <c r="C228">
        <v>3.9750000000000001</v>
      </c>
      <c r="D228">
        <v>12.26</v>
      </c>
      <c r="E228">
        <v>9.5927000000000007</v>
      </c>
    </row>
    <row r="229" spans="1:5" x14ac:dyDescent="0.25">
      <c r="A229" t="s">
        <v>405</v>
      </c>
      <c r="B229" s="201">
        <v>44398</v>
      </c>
      <c r="C229">
        <v>3.8929999999999998</v>
      </c>
      <c r="D229">
        <v>12.36</v>
      </c>
      <c r="E229">
        <v>9.3899000000000008</v>
      </c>
    </row>
    <row r="230" spans="1:5" x14ac:dyDescent="0.25">
      <c r="A230" t="s">
        <v>401</v>
      </c>
      <c r="B230" s="201">
        <v>44397</v>
      </c>
      <c r="C230">
        <v>3.827</v>
      </c>
      <c r="D230">
        <v>12.15</v>
      </c>
      <c r="E230">
        <v>9.0154999999999994</v>
      </c>
    </row>
    <row r="231" spans="1:5" x14ac:dyDescent="0.25">
      <c r="A231" t="s">
        <v>402</v>
      </c>
      <c r="B231" s="201">
        <v>44396</v>
      </c>
      <c r="C231">
        <v>3.7429999999999999</v>
      </c>
      <c r="D231">
        <v>12.45</v>
      </c>
      <c r="E231">
        <v>8.9206000000000003</v>
      </c>
    </row>
    <row r="233" spans="1:5" x14ac:dyDescent="0.25">
      <c r="A233" t="s">
        <v>403</v>
      </c>
      <c r="B233" s="201">
        <v>44393</v>
      </c>
      <c r="C233">
        <v>3.6930000000000001</v>
      </c>
      <c r="D233">
        <v>12.07</v>
      </c>
      <c r="E233">
        <v>9.5667000000000009</v>
      </c>
    </row>
    <row r="234" spans="1:5" x14ac:dyDescent="0.25">
      <c r="A234" t="s">
        <v>404</v>
      </c>
      <c r="B234" s="201">
        <v>44392</v>
      </c>
      <c r="C234">
        <v>3.6829999999999998</v>
      </c>
      <c r="D234">
        <v>11.74</v>
      </c>
      <c r="E234">
        <v>9.5510999999999999</v>
      </c>
    </row>
    <row r="235" spans="1:5" x14ac:dyDescent="0.25">
      <c r="A235" t="s">
        <v>405</v>
      </c>
      <c r="B235" s="201">
        <v>44391</v>
      </c>
      <c r="C235">
        <v>3.7530000000000001</v>
      </c>
      <c r="D235">
        <v>11.82</v>
      </c>
      <c r="E235">
        <v>9.7187999999999999</v>
      </c>
    </row>
    <row r="236" spans="1:5" x14ac:dyDescent="0.25">
      <c r="A236" t="s">
        <v>401</v>
      </c>
      <c r="B236" s="201">
        <v>44390</v>
      </c>
      <c r="C236">
        <v>3.7120000000000002</v>
      </c>
      <c r="D236">
        <v>12.19</v>
      </c>
      <c r="E236">
        <v>9.9436999999999998</v>
      </c>
    </row>
    <row r="237" spans="1:5" x14ac:dyDescent="0.25">
      <c r="A237" t="s">
        <v>402</v>
      </c>
      <c r="B237" s="201">
        <v>44389</v>
      </c>
      <c r="C237">
        <v>3.694</v>
      </c>
      <c r="D237">
        <v>11.95</v>
      </c>
      <c r="E237">
        <v>9.7707999999999995</v>
      </c>
    </row>
    <row r="239" spans="1:5" x14ac:dyDescent="0.25">
      <c r="A239" t="s">
        <v>403</v>
      </c>
      <c r="B239" s="201">
        <v>44386</v>
      </c>
      <c r="C239">
        <v>3.7069999999999999</v>
      </c>
      <c r="D239">
        <v>12.77</v>
      </c>
      <c r="E239">
        <v>9.8215000000000003</v>
      </c>
    </row>
    <row r="240" spans="1:5" x14ac:dyDescent="0.25">
      <c r="A240" t="s">
        <v>404</v>
      </c>
      <c r="B240" s="201">
        <v>44385</v>
      </c>
      <c r="C240">
        <v>3.5270000000000001</v>
      </c>
      <c r="D240">
        <v>11.66</v>
      </c>
      <c r="E240">
        <v>9.6356000000000002</v>
      </c>
    </row>
    <row r="241" spans="1:5" x14ac:dyDescent="0.25">
      <c r="A241" t="s">
        <v>405</v>
      </c>
      <c r="B241" s="201">
        <v>44384</v>
      </c>
      <c r="C241">
        <v>3.5830000000000002</v>
      </c>
      <c r="D241">
        <v>11.75</v>
      </c>
      <c r="E241">
        <v>9.5458999999999996</v>
      </c>
    </row>
    <row r="242" spans="1:5" x14ac:dyDescent="0.25">
      <c r="A242" t="s">
        <v>401</v>
      </c>
      <c r="B242" s="201">
        <v>44383</v>
      </c>
      <c r="C242">
        <v>3.6739999999999999</v>
      </c>
      <c r="D242">
        <v>11.65</v>
      </c>
      <c r="E242">
        <v>9.6889000000000003</v>
      </c>
    </row>
    <row r="243" spans="1:5" x14ac:dyDescent="0.25">
      <c r="A243" t="s">
        <v>402</v>
      </c>
      <c r="B243" s="201">
        <v>44382</v>
      </c>
      <c r="D243">
        <v>13.22</v>
      </c>
      <c r="E243">
        <v>10.030799999999999</v>
      </c>
    </row>
    <row r="245" spans="1:5" x14ac:dyDescent="0.25">
      <c r="A245" t="s">
        <v>403</v>
      </c>
      <c r="B245" s="201">
        <v>44379</v>
      </c>
      <c r="C245">
        <v>3.6360000000000001</v>
      </c>
      <c r="D245">
        <v>12.53</v>
      </c>
      <c r="E245">
        <v>9.9021000000000008</v>
      </c>
    </row>
    <row r="246" spans="1:5" x14ac:dyDescent="0.25">
      <c r="A246" t="s">
        <v>404</v>
      </c>
      <c r="B246" s="201">
        <v>44378</v>
      </c>
      <c r="C246">
        <v>3.3069999999999999</v>
      </c>
      <c r="D246">
        <v>12.46</v>
      </c>
      <c r="E246">
        <v>9.8591999999999995</v>
      </c>
    </row>
    <row r="247" spans="1:5" x14ac:dyDescent="0.25">
      <c r="A247" t="s">
        <v>405</v>
      </c>
      <c r="B247" s="201">
        <v>44377</v>
      </c>
      <c r="C247">
        <v>3.714</v>
      </c>
      <c r="D247">
        <v>12.18</v>
      </c>
      <c r="E247">
        <v>9.7668999999999997</v>
      </c>
    </row>
    <row r="248" spans="1:5" x14ac:dyDescent="0.25">
      <c r="A248" t="s">
        <v>401</v>
      </c>
      <c r="B248" s="201">
        <v>44376</v>
      </c>
      <c r="C248">
        <v>3.7570000000000001</v>
      </c>
      <c r="D248">
        <v>11.69</v>
      </c>
      <c r="E248">
        <v>9.7187999999999999</v>
      </c>
    </row>
    <row r="249" spans="1:5" x14ac:dyDescent="0.25">
      <c r="A249" t="s">
        <v>402</v>
      </c>
      <c r="B249" s="201">
        <v>44375</v>
      </c>
      <c r="C249">
        <v>3.597</v>
      </c>
      <c r="D249">
        <v>11.35</v>
      </c>
      <c r="E249">
        <v>9.7083999999999993</v>
      </c>
    </row>
    <row r="251" spans="1:5" x14ac:dyDescent="0.25">
      <c r="A251" t="s">
        <v>403</v>
      </c>
      <c r="B251" s="201">
        <v>44372</v>
      </c>
      <c r="C251">
        <v>3.4060000000000001</v>
      </c>
      <c r="D251">
        <v>11.31</v>
      </c>
      <c r="E251">
        <v>9.9033999999999995</v>
      </c>
    </row>
    <row r="252" spans="1:5" x14ac:dyDescent="0.25">
      <c r="A252" t="s">
        <v>404</v>
      </c>
      <c r="B252" s="201">
        <v>44371</v>
      </c>
      <c r="C252">
        <v>3.306</v>
      </c>
      <c r="D252">
        <v>11.11</v>
      </c>
      <c r="E252">
        <v>9.8228000000000009</v>
      </c>
    </row>
    <row r="253" spans="1:5" x14ac:dyDescent="0.25">
      <c r="A253" t="s">
        <v>405</v>
      </c>
      <c r="B253" s="201">
        <v>44370</v>
      </c>
      <c r="C253">
        <v>3.335</v>
      </c>
      <c r="D253">
        <v>10.96</v>
      </c>
      <c r="E253">
        <v>9.7746999999999993</v>
      </c>
    </row>
    <row r="254" spans="1:5" x14ac:dyDescent="0.25">
      <c r="A254" t="s">
        <v>401</v>
      </c>
      <c r="B254" s="201">
        <v>44369</v>
      </c>
      <c r="C254">
        <v>3.2149999999999999</v>
      </c>
      <c r="D254">
        <v>10.79</v>
      </c>
      <c r="E254">
        <v>9.7253000000000007</v>
      </c>
    </row>
    <row r="255" spans="1:5" x14ac:dyDescent="0.25">
      <c r="A255" t="s">
        <v>402</v>
      </c>
      <c r="B255" s="201">
        <v>44368</v>
      </c>
      <c r="C255">
        <v>3.1459999999999999</v>
      </c>
      <c r="D255">
        <v>10.26</v>
      </c>
      <c r="E255">
        <v>9.7370000000000001</v>
      </c>
    </row>
    <row r="257" spans="1:5" x14ac:dyDescent="0.25">
      <c r="A257" t="s">
        <v>403</v>
      </c>
      <c r="B257" s="201">
        <v>44365</v>
      </c>
      <c r="C257">
        <v>3.1749999999999998</v>
      </c>
      <c r="D257">
        <v>10.3</v>
      </c>
      <c r="E257">
        <v>9.5563000000000002</v>
      </c>
    </row>
    <row r="258" spans="1:5" x14ac:dyDescent="0.25">
      <c r="A258" t="s">
        <v>404</v>
      </c>
      <c r="B258" s="201">
        <v>44364</v>
      </c>
      <c r="C258">
        <v>3.1859999999999999</v>
      </c>
      <c r="D258">
        <v>9.98</v>
      </c>
      <c r="E258">
        <v>9.5004000000000008</v>
      </c>
    </row>
    <row r="259" spans="1:5" x14ac:dyDescent="0.25">
      <c r="A259" t="s">
        <v>405</v>
      </c>
      <c r="B259" s="201">
        <v>44363</v>
      </c>
      <c r="C259">
        <v>3.2040000000000002</v>
      </c>
      <c r="D259">
        <v>9.89</v>
      </c>
      <c r="E259">
        <v>9.6707000000000001</v>
      </c>
    </row>
    <row r="260" spans="1:5" x14ac:dyDescent="0.25">
      <c r="A260" t="s">
        <v>401</v>
      </c>
      <c r="B260" s="201">
        <v>44362</v>
      </c>
      <c r="C260">
        <v>3.306</v>
      </c>
      <c r="D260">
        <v>9.92</v>
      </c>
      <c r="E260">
        <v>9.6187000000000005</v>
      </c>
    </row>
    <row r="261" spans="1:5" x14ac:dyDescent="0.25">
      <c r="A261" t="s">
        <v>402</v>
      </c>
      <c r="B261" s="201">
        <v>44361</v>
      </c>
      <c r="C261">
        <v>3.3159999999999998</v>
      </c>
      <c r="D261">
        <v>10.17</v>
      </c>
      <c r="E261">
        <v>9.4718</v>
      </c>
    </row>
    <row r="263" spans="1:5" x14ac:dyDescent="0.25">
      <c r="A263" t="s">
        <v>403</v>
      </c>
      <c r="B263" s="201">
        <v>44358</v>
      </c>
      <c r="C263">
        <v>3.2370000000000001</v>
      </c>
      <c r="D263">
        <v>9.91</v>
      </c>
      <c r="E263">
        <v>9.4497</v>
      </c>
    </row>
    <row r="264" spans="1:5" x14ac:dyDescent="0.25">
      <c r="A264" t="s">
        <v>404</v>
      </c>
      <c r="B264" s="201">
        <v>44357</v>
      </c>
      <c r="C264">
        <v>3.1070000000000002</v>
      </c>
      <c r="D264">
        <v>9.9499999999999993</v>
      </c>
      <c r="E264">
        <v>9.4276</v>
      </c>
    </row>
    <row r="265" spans="1:5" x14ac:dyDescent="0.25">
      <c r="A265" t="s">
        <v>405</v>
      </c>
      <c r="B265" s="201">
        <v>44356</v>
      </c>
      <c r="C265">
        <v>3.1059999999999999</v>
      </c>
      <c r="D265">
        <v>10.029999999999999</v>
      </c>
      <c r="E265">
        <v>9.3886000000000003</v>
      </c>
    </row>
    <row r="266" spans="1:5" x14ac:dyDescent="0.25">
      <c r="A266" t="s">
        <v>401</v>
      </c>
      <c r="B266" s="201">
        <v>44355</v>
      </c>
      <c r="C266">
        <v>3.1120000000000001</v>
      </c>
      <c r="D266">
        <v>9.84</v>
      </c>
      <c r="E266">
        <v>9.3886000000000003</v>
      </c>
    </row>
    <row r="267" spans="1:5" x14ac:dyDescent="0.25">
      <c r="A267" t="s">
        <v>402</v>
      </c>
      <c r="B267" s="201">
        <v>44354</v>
      </c>
      <c r="C267">
        <v>2.9860000000000002</v>
      </c>
      <c r="D267">
        <v>9.5399999999999991</v>
      </c>
      <c r="E267">
        <v>9.2936999999999994</v>
      </c>
    </row>
    <row r="269" spans="1:5" x14ac:dyDescent="0.25">
      <c r="A269" t="s">
        <v>403</v>
      </c>
      <c r="B269" s="201">
        <v>44351</v>
      </c>
      <c r="C269">
        <v>2.9649999999999999</v>
      </c>
      <c r="D269">
        <v>9.1999999999999993</v>
      </c>
      <c r="E269">
        <v>9.3457000000000008</v>
      </c>
    </row>
    <row r="270" spans="1:5" x14ac:dyDescent="0.25">
      <c r="A270" t="s">
        <v>404</v>
      </c>
      <c r="B270" s="201">
        <v>44350</v>
      </c>
      <c r="C270">
        <v>3.0129999999999999</v>
      </c>
      <c r="D270">
        <v>9.2200000000000006</v>
      </c>
      <c r="E270">
        <v>9.2703000000000007</v>
      </c>
    </row>
    <row r="271" spans="1:5" x14ac:dyDescent="0.25">
      <c r="A271" t="s">
        <v>405</v>
      </c>
      <c r="B271" s="201">
        <v>44349</v>
      </c>
      <c r="C271">
        <v>3.036</v>
      </c>
      <c r="D271">
        <v>9.2100000000000009</v>
      </c>
      <c r="E271">
        <v>9.2754999999999992</v>
      </c>
    </row>
    <row r="272" spans="1:5" x14ac:dyDescent="0.25">
      <c r="A272" t="s">
        <v>401</v>
      </c>
      <c r="B272" s="201">
        <v>44348</v>
      </c>
      <c r="C272">
        <v>2.956</v>
      </c>
      <c r="D272">
        <v>9.26</v>
      </c>
      <c r="E272">
        <v>9.1325000000000003</v>
      </c>
    </row>
    <row r="273" spans="1:5" x14ac:dyDescent="0.25">
      <c r="A273" t="s">
        <v>402</v>
      </c>
      <c r="B273" s="201">
        <v>44347</v>
      </c>
      <c r="D273">
        <v>9.0500000000000007</v>
      </c>
      <c r="E273">
        <v>9.0115999999999996</v>
      </c>
    </row>
    <row r="275" spans="1:5" x14ac:dyDescent="0.25">
      <c r="A275" t="s">
        <v>403</v>
      </c>
      <c r="B275" s="201">
        <v>44344</v>
      </c>
      <c r="C275">
        <v>2.8460000000000001</v>
      </c>
      <c r="D275">
        <v>9.0500000000000007</v>
      </c>
      <c r="E275">
        <v>9.0518999999999998</v>
      </c>
    </row>
    <row r="276" spans="1:5" x14ac:dyDescent="0.25">
      <c r="A276" t="s">
        <v>404</v>
      </c>
      <c r="B276" s="201">
        <v>44343</v>
      </c>
      <c r="C276">
        <v>2.843</v>
      </c>
      <c r="D276">
        <v>8.9700000000000006</v>
      </c>
      <c r="E276">
        <v>9.0297999999999998</v>
      </c>
    </row>
    <row r="277" spans="1:5" x14ac:dyDescent="0.25">
      <c r="A277" t="s">
        <v>405</v>
      </c>
      <c r="B277" s="201">
        <v>44342</v>
      </c>
      <c r="C277">
        <v>2.8849999999999998</v>
      </c>
      <c r="D277">
        <v>9.27</v>
      </c>
      <c r="E277">
        <v>8.9530999999999992</v>
      </c>
    </row>
    <row r="278" spans="1:5" x14ac:dyDescent="0.25">
      <c r="A278" t="s">
        <v>401</v>
      </c>
      <c r="B278" s="201">
        <v>44341</v>
      </c>
      <c r="C278">
        <v>2.8450000000000002</v>
      </c>
      <c r="D278">
        <v>9.4</v>
      </c>
      <c r="E278">
        <v>8.9245000000000001</v>
      </c>
    </row>
    <row r="279" spans="1:5" x14ac:dyDescent="0.25">
      <c r="A279" t="s">
        <v>402</v>
      </c>
      <c r="B279" s="201">
        <v>44340</v>
      </c>
      <c r="C279">
        <v>2.786</v>
      </c>
      <c r="D279">
        <v>8.7899999999999991</v>
      </c>
      <c r="E279">
        <v>8.8998000000000008</v>
      </c>
    </row>
    <row r="281" spans="1:5" x14ac:dyDescent="0.25">
      <c r="A281" t="s">
        <v>403</v>
      </c>
      <c r="B281" s="201">
        <v>44337</v>
      </c>
      <c r="C281">
        <v>2.8050000000000002</v>
      </c>
      <c r="D281">
        <v>8.83</v>
      </c>
      <c r="E281">
        <v>8.6372</v>
      </c>
    </row>
    <row r="282" spans="1:5" x14ac:dyDescent="0.25">
      <c r="A282" t="s">
        <v>404</v>
      </c>
      <c r="B282" s="201">
        <v>44336</v>
      </c>
      <c r="C282">
        <v>2.8650000000000002</v>
      </c>
      <c r="D282">
        <v>8.7899999999999991</v>
      </c>
      <c r="E282">
        <v>8.4642999999999997</v>
      </c>
    </row>
    <row r="283" spans="1:5" x14ac:dyDescent="0.25">
      <c r="A283" t="s">
        <v>405</v>
      </c>
      <c r="B283" s="201">
        <v>44335</v>
      </c>
      <c r="C283">
        <v>2.8860000000000001</v>
      </c>
      <c r="D283">
        <v>8.14</v>
      </c>
      <c r="E283">
        <v>8.6658000000000008</v>
      </c>
    </row>
    <row r="284" spans="1:5" x14ac:dyDescent="0.25">
      <c r="A284" t="s">
        <v>401</v>
      </c>
      <c r="B284" s="201">
        <v>44334</v>
      </c>
      <c r="C284">
        <v>2.9460000000000002</v>
      </c>
      <c r="D284">
        <v>8.77</v>
      </c>
      <c r="E284">
        <v>8.9322999999999997</v>
      </c>
    </row>
    <row r="285" spans="1:5" x14ac:dyDescent="0.25">
      <c r="A285" t="s">
        <v>402</v>
      </c>
      <c r="B285" s="201">
        <v>44333</v>
      </c>
      <c r="C285">
        <v>2.9660000000000002</v>
      </c>
      <c r="D285">
        <v>9.1199999999999992</v>
      </c>
      <c r="E285">
        <v>9.0297999999999998</v>
      </c>
    </row>
    <row r="287" spans="1:5" x14ac:dyDescent="0.25">
      <c r="A287" t="s">
        <v>403</v>
      </c>
      <c r="B287" s="201">
        <v>44330</v>
      </c>
      <c r="C287">
        <v>2.863</v>
      </c>
      <c r="D287">
        <v>9.4700000000000006</v>
      </c>
      <c r="E287">
        <v>8.9322999999999997</v>
      </c>
    </row>
    <row r="288" spans="1:5" x14ac:dyDescent="0.25">
      <c r="A288" t="s">
        <v>404</v>
      </c>
      <c r="B288" s="201">
        <v>44329</v>
      </c>
      <c r="C288">
        <v>2.8759999999999999</v>
      </c>
      <c r="D288">
        <v>9.27</v>
      </c>
      <c r="E288">
        <v>8.7164999999999999</v>
      </c>
    </row>
    <row r="289" spans="1:5" x14ac:dyDescent="0.25">
      <c r="A289" t="s">
        <v>405</v>
      </c>
      <c r="B289" s="201">
        <v>44328</v>
      </c>
      <c r="C289">
        <v>2.8940000000000001</v>
      </c>
      <c r="D289">
        <v>9.2100000000000009</v>
      </c>
      <c r="E289">
        <v>9.0115999999999996</v>
      </c>
    </row>
    <row r="290" spans="1:5" x14ac:dyDescent="0.25">
      <c r="A290" t="s">
        <v>401</v>
      </c>
      <c r="B290" s="201">
        <v>44327</v>
      </c>
      <c r="C290">
        <v>2.8860000000000001</v>
      </c>
      <c r="D290">
        <v>9.27</v>
      </c>
      <c r="E290">
        <v>8.9115000000000002</v>
      </c>
    </row>
    <row r="291" spans="1:5" x14ac:dyDescent="0.25">
      <c r="A291" t="s">
        <v>402</v>
      </c>
      <c r="B291" s="201">
        <v>44326</v>
      </c>
      <c r="C291">
        <v>2.9060000000000001</v>
      </c>
      <c r="D291">
        <v>8.9</v>
      </c>
      <c r="E291">
        <v>8.8816000000000006</v>
      </c>
    </row>
    <row r="293" spans="1:5" x14ac:dyDescent="0.25">
      <c r="A293" t="s">
        <v>403</v>
      </c>
      <c r="B293" s="201">
        <v>44323</v>
      </c>
      <c r="C293">
        <v>2.8919999999999999</v>
      </c>
      <c r="D293">
        <v>8.74</v>
      </c>
      <c r="E293">
        <v>8.8764000000000003</v>
      </c>
    </row>
    <row r="294" spans="1:5" x14ac:dyDescent="0.25">
      <c r="A294" t="s">
        <v>404</v>
      </c>
      <c r="B294" s="201">
        <v>44322</v>
      </c>
      <c r="C294">
        <v>2.8940000000000001</v>
      </c>
      <c r="D294">
        <v>8.61</v>
      </c>
      <c r="E294">
        <v>8.8516999999999992</v>
      </c>
    </row>
    <row r="295" spans="1:5" x14ac:dyDescent="0.25">
      <c r="A295" t="s">
        <v>405</v>
      </c>
      <c r="B295" s="201">
        <v>44321</v>
      </c>
      <c r="C295">
        <v>2.9729999999999999</v>
      </c>
      <c r="D295">
        <v>8.39</v>
      </c>
      <c r="E295">
        <v>8.9648000000000003</v>
      </c>
    </row>
    <row r="296" spans="1:5" x14ac:dyDescent="0.25">
      <c r="A296" t="s">
        <v>401</v>
      </c>
      <c r="B296" s="201">
        <v>44320</v>
      </c>
      <c r="C296">
        <v>2.9940000000000002</v>
      </c>
      <c r="D296">
        <v>8.1</v>
      </c>
      <c r="E296">
        <v>8.9543999999999997</v>
      </c>
    </row>
    <row r="297" spans="1:5" x14ac:dyDescent="0.25">
      <c r="A297" t="s">
        <v>402</v>
      </c>
      <c r="B297" s="201">
        <v>44319</v>
      </c>
      <c r="C297">
        <v>2.9569999999999999</v>
      </c>
      <c r="D297">
        <v>8.4499999999999993</v>
      </c>
      <c r="E297">
        <v>8.7827999999999999</v>
      </c>
    </row>
    <row r="299" spans="1:5" x14ac:dyDescent="0.25">
      <c r="A299" t="s">
        <v>403</v>
      </c>
      <c r="B299" s="201">
        <v>44316</v>
      </c>
      <c r="C299">
        <v>2.8769999999999998</v>
      </c>
      <c r="D299">
        <v>8.23</v>
      </c>
      <c r="E299">
        <v>8.7424999999999997</v>
      </c>
    </row>
    <row r="300" spans="1:5" x14ac:dyDescent="0.25">
      <c r="A300" t="s">
        <v>404</v>
      </c>
      <c r="B300" s="201">
        <v>44315</v>
      </c>
      <c r="C300">
        <v>2.8559999999999999</v>
      </c>
      <c r="D300">
        <v>7.92</v>
      </c>
      <c r="E300">
        <v>8.9128000000000007</v>
      </c>
    </row>
    <row r="301" spans="1:5" x14ac:dyDescent="0.25">
      <c r="A301" t="s">
        <v>405</v>
      </c>
      <c r="B301" s="201">
        <v>44314</v>
      </c>
      <c r="C301">
        <v>2.9260000000000002</v>
      </c>
      <c r="D301">
        <v>7.71</v>
      </c>
      <c r="E301">
        <v>8.7451000000000008</v>
      </c>
    </row>
    <row r="302" spans="1:5" x14ac:dyDescent="0.25">
      <c r="A302" t="s">
        <v>401</v>
      </c>
      <c r="B302" s="201">
        <v>44313</v>
      </c>
      <c r="C302">
        <v>2.867</v>
      </c>
      <c r="D302">
        <v>7.62</v>
      </c>
      <c r="E302">
        <v>8.6346000000000007</v>
      </c>
    </row>
    <row r="303" spans="1:5" x14ac:dyDescent="0.25">
      <c r="A303" t="s">
        <v>402</v>
      </c>
      <c r="B303" s="201">
        <v>44312</v>
      </c>
      <c r="C303">
        <v>2.6960000000000002</v>
      </c>
      <c r="D303">
        <v>7.1</v>
      </c>
      <c r="E303">
        <v>8.5344999999999995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DBC85-78FE-4FCF-801A-6ED15161E0C9}">
  <dimension ref="A2:F66"/>
  <sheetViews>
    <sheetView workbookViewId="0">
      <selection activeCell="C12" sqref="C12"/>
    </sheetView>
  </sheetViews>
  <sheetFormatPr defaultColWidth="9.140625" defaultRowHeight="15" x14ac:dyDescent="0.25"/>
  <cols>
    <col min="1" max="1" width="9.140625" style="2"/>
    <col min="2" max="2" width="24.85546875" style="2" bestFit="1" customWidth="1"/>
    <col min="3" max="3" width="18.85546875" style="2" bestFit="1" customWidth="1"/>
    <col min="4" max="4" width="11.28515625" style="2" bestFit="1" customWidth="1"/>
    <col min="5" max="5" width="12.42578125" style="2" bestFit="1" customWidth="1"/>
    <col min="6" max="6" width="11.28515625" style="2" bestFit="1" customWidth="1"/>
    <col min="7" max="7" width="9.140625" style="2"/>
    <col min="8" max="8" width="21.85546875" style="2" bestFit="1" customWidth="1"/>
    <col min="9" max="9" width="15.85546875" style="2" bestFit="1" customWidth="1"/>
    <col min="10" max="10" width="7.140625" style="2" bestFit="1" customWidth="1"/>
    <col min="11" max="11" width="12.42578125" style="2" bestFit="1" customWidth="1"/>
    <col min="12" max="12" width="11.28515625" style="2" bestFit="1" customWidth="1"/>
    <col min="13" max="13" width="9.140625" style="2"/>
    <col min="14" max="14" width="21.85546875" style="2" bestFit="1" customWidth="1"/>
    <col min="15" max="15" width="15.85546875" style="2" bestFit="1" customWidth="1"/>
    <col min="16" max="16" width="7.140625" style="2" bestFit="1" customWidth="1"/>
    <col min="17" max="17" width="12.42578125" style="2" bestFit="1" customWidth="1"/>
    <col min="18" max="18" width="11.28515625" style="2" bestFit="1" customWidth="1"/>
    <col min="19" max="16384" width="9.140625" style="2"/>
  </cols>
  <sheetData>
    <row r="2" spans="1:6" ht="15.75" x14ac:dyDescent="0.25">
      <c r="A2" s="2" t="s">
        <v>7</v>
      </c>
      <c r="B2" s="38" t="s">
        <v>501</v>
      </c>
      <c r="C2" s="39"/>
      <c r="D2" s="39"/>
      <c r="E2" s="39"/>
      <c r="F2" s="40"/>
    </row>
    <row r="3" spans="1:6" ht="15.75" x14ac:dyDescent="0.25">
      <c r="B3" s="41" t="s">
        <v>502</v>
      </c>
      <c r="C3" s="42" t="s">
        <v>503</v>
      </c>
      <c r="D3" s="42" t="s">
        <v>504</v>
      </c>
      <c r="E3" s="42" t="s">
        <v>505</v>
      </c>
      <c r="F3" s="43" t="s">
        <v>396</v>
      </c>
    </row>
    <row r="4" spans="1:6" ht="15.75" x14ac:dyDescent="0.25">
      <c r="B4" s="9" t="s">
        <v>506</v>
      </c>
      <c r="C4" s="10" t="s">
        <v>507</v>
      </c>
      <c r="D4" s="10" t="s">
        <v>508</v>
      </c>
      <c r="E4" s="44">
        <v>27</v>
      </c>
      <c r="F4" s="45">
        <v>44678</v>
      </c>
    </row>
    <row r="5" spans="1:6" ht="15.75" x14ac:dyDescent="0.25">
      <c r="B5" s="9" t="s">
        <v>509</v>
      </c>
      <c r="C5" s="10" t="s">
        <v>510</v>
      </c>
      <c r="D5" s="10" t="s">
        <v>508</v>
      </c>
      <c r="E5" s="44">
        <v>30</v>
      </c>
      <c r="F5" s="45">
        <v>44678</v>
      </c>
    </row>
    <row r="6" spans="1:6" ht="15.75" x14ac:dyDescent="0.25">
      <c r="B6" s="9" t="s">
        <v>511</v>
      </c>
      <c r="C6" s="10" t="s">
        <v>512</v>
      </c>
      <c r="D6" s="10" t="s">
        <v>508</v>
      </c>
      <c r="E6" s="44">
        <v>30</v>
      </c>
      <c r="F6" s="45">
        <v>44677</v>
      </c>
    </row>
    <row r="7" spans="1:6" ht="15.75" x14ac:dyDescent="0.25">
      <c r="B7" s="9" t="s">
        <v>513</v>
      </c>
      <c r="C7" s="10" t="s">
        <v>514</v>
      </c>
      <c r="D7" s="10" t="s">
        <v>508</v>
      </c>
      <c r="E7" s="44">
        <v>31</v>
      </c>
      <c r="F7" s="45">
        <v>44676</v>
      </c>
    </row>
    <row r="8" spans="1:6" ht="15.75" x14ac:dyDescent="0.25">
      <c r="B8" s="9" t="s">
        <v>515</v>
      </c>
      <c r="C8" s="10" t="s">
        <v>516</v>
      </c>
      <c r="D8" s="10" t="s">
        <v>508</v>
      </c>
      <c r="E8" s="44">
        <v>35</v>
      </c>
      <c r="F8" s="45">
        <v>44657</v>
      </c>
    </row>
    <row r="9" spans="1:6" ht="15.75" x14ac:dyDescent="0.25">
      <c r="B9" s="9" t="s">
        <v>517</v>
      </c>
      <c r="C9" s="10" t="s">
        <v>518</v>
      </c>
      <c r="D9" s="10" t="s">
        <v>508</v>
      </c>
      <c r="E9" s="44">
        <v>35</v>
      </c>
      <c r="F9" s="45">
        <v>44649</v>
      </c>
    </row>
    <row r="10" spans="1:6" ht="15.75" x14ac:dyDescent="0.25">
      <c r="B10" s="9" t="s">
        <v>519</v>
      </c>
      <c r="C10" s="10" t="s">
        <v>520</v>
      </c>
      <c r="D10" s="10" t="s">
        <v>508</v>
      </c>
      <c r="E10" s="44">
        <v>30</v>
      </c>
      <c r="F10" s="45">
        <v>44634</v>
      </c>
    </row>
    <row r="11" spans="1:6" ht="15.75" x14ac:dyDescent="0.25">
      <c r="B11" s="9" t="s">
        <v>521</v>
      </c>
      <c r="C11" s="10" t="s">
        <v>522</v>
      </c>
      <c r="D11" s="10" t="s">
        <v>508</v>
      </c>
      <c r="E11" s="44">
        <v>20</v>
      </c>
      <c r="F11" s="45">
        <v>44617</v>
      </c>
    </row>
    <row r="12" spans="1:6" ht="15.75" x14ac:dyDescent="0.25">
      <c r="B12" s="9" t="s">
        <v>523</v>
      </c>
      <c r="C12" s="10" t="s">
        <v>524</v>
      </c>
      <c r="D12" s="10" t="s">
        <v>508</v>
      </c>
      <c r="E12" s="44">
        <v>22</v>
      </c>
      <c r="F12" s="45">
        <v>44617</v>
      </c>
    </row>
    <row r="13" spans="1:6" ht="15.75" x14ac:dyDescent="0.25">
      <c r="B13" s="9" t="s">
        <v>525</v>
      </c>
      <c r="C13" s="10" t="s">
        <v>526</v>
      </c>
      <c r="D13" s="10" t="s">
        <v>508</v>
      </c>
      <c r="E13" s="44">
        <v>28</v>
      </c>
      <c r="F13" s="45">
        <v>44617</v>
      </c>
    </row>
    <row r="14" spans="1:6" ht="15.75" x14ac:dyDescent="0.25">
      <c r="B14" s="9" t="s">
        <v>527</v>
      </c>
      <c r="C14" s="10" t="s">
        <v>528</v>
      </c>
      <c r="D14" s="10" t="s">
        <v>508</v>
      </c>
      <c r="E14" s="44">
        <v>20</v>
      </c>
      <c r="F14" s="45">
        <v>44617</v>
      </c>
    </row>
    <row r="15" spans="1:6" ht="15.75" x14ac:dyDescent="0.25">
      <c r="B15" s="9"/>
      <c r="C15" s="10"/>
      <c r="D15" s="10"/>
      <c r="E15" s="44"/>
      <c r="F15" s="45"/>
    </row>
    <row r="16" spans="1:6" ht="15.75" x14ac:dyDescent="0.25">
      <c r="B16" s="46" t="s">
        <v>508</v>
      </c>
      <c r="C16" s="47">
        <f>COUNTIF(D4:D15,"buy")</f>
        <v>11</v>
      </c>
      <c r="D16" s="48"/>
      <c r="E16" s="48"/>
      <c r="F16" s="49"/>
    </row>
    <row r="17" spans="1:6" ht="15.75" x14ac:dyDescent="0.25">
      <c r="B17" s="9" t="s">
        <v>529</v>
      </c>
      <c r="C17" s="50">
        <f>COUNTIF(D4:D15,"hold")</f>
        <v>0</v>
      </c>
      <c r="D17" s="10"/>
      <c r="E17" s="10"/>
      <c r="F17" s="11"/>
    </row>
    <row r="18" spans="1:6" ht="15.75" x14ac:dyDescent="0.25">
      <c r="B18" s="51" t="s">
        <v>530</v>
      </c>
      <c r="C18" s="52">
        <f>COUNTIF(D4:D15,"sell")</f>
        <v>0</v>
      </c>
      <c r="D18" s="53"/>
      <c r="E18" s="53"/>
      <c r="F18" s="54"/>
    </row>
    <row r="19" spans="1:6" ht="15.75" x14ac:dyDescent="0.25">
      <c r="B19" s="9" t="s">
        <v>198</v>
      </c>
      <c r="C19" s="55">
        <f>MIN(E4:E15)</f>
        <v>20</v>
      </c>
      <c r="D19" s="10"/>
      <c r="E19" s="10"/>
      <c r="F19" s="11"/>
    </row>
    <row r="20" spans="1:6" ht="15.75" x14ac:dyDescent="0.25">
      <c r="B20" s="9" t="s">
        <v>531</v>
      </c>
      <c r="C20" s="55">
        <f>_xlfn.QUARTILE.EXC(E4:E15,1)</f>
        <v>22</v>
      </c>
      <c r="D20" s="10"/>
      <c r="E20" s="10"/>
      <c r="F20" s="11"/>
    </row>
    <row r="21" spans="1:6" ht="15.75" x14ac:dyDescent="0.25">
      <c r="B21" s="9" t="s">
        <v>532</v>
      </c>
      <c r="C21" s="55">
        <f>AVERAGE(E4:E15)</f>
        <v>28</v>
      </c>
      <c r="D21" s="10"/>
      <c r="E21" s="10"/>
      <c r="F21" s="11"/>
    </row>
    <row r="22" spans="1:6" ht="15.75" x14ac:dyDescent="0.25">
      <c r="B22" s="9" t="s">
        <v>533</v>
      </c>
      <c r="C22" s="55">
        <f>MEDIAN(E4:E15)</f>
        <v>30</v>
      </c>
      <c r="D22" s="10"/>
      <c r="E22" s="10"/>
      <c r="F22" s="11"/>
    </row>
    <row r="23" spans="1:6" ht="15.75" x14ac:dyDescent="0.25">
      <c r="B23" s="9" t="s">
        <v>534</v>
      </c>
      <c r="C23" s="55">
        <f>_xlfn.QUARTILE.EXC(E4:E15,3)</f>
        <v>31</v>
      </c>
      <c r="D23" s="10"/>
      <c r="E23" s="10"/>
      <c r="F23" s="11"/>
    </row>
    <row r="24" spans="1:6" ht="15.75" x14ac:dyDescent="0.25">
      <c r="B24" s="51" t="s">
        <v>200</v>
      </c>
      <c r="C24" s="56">
        <f>MAX(E4:E15)</f>
        <v>35</v>
      </c>
      <c r="D24" s="53"/>
      <c r="E24" s="53"/>
      <c r="F24" s="54"/>
    </row>
    <row r="25" spans="1:6" ht="15.75" x14ac:dyDescent="0.25">
      <c r="B25" s="59" t="s">
        <v>196</v>
      </c>
      <c r="C25" s="57"/>
      <c r="D25" s="57"/>
      <c r="E25" s="57"/>
      <c r="F25" s="58"/>
    </row>
    <row r="27" spans="1:6" ht="15.75" x14ac:dyDescent="0.25">
      <c r="A27" s="2" t="s">
        <v>7</v>
      </c>
      <c r="B27" s="38" t="s">
        <v>535</v>
      </c>
      <c r="C27" s="39"/>
      <c r="D27" s="39"/>
      <c r="E27" s="39"/>
      <c r="F27" s="40"/>
    </row>
    <row r="28" spans="1:6" ht="15.75" x14ac:dyDescent="0.25">
      <c r="B28" s="41" t="s">
        <v>502</v>
      </c>
      <c r="C28" s="42" t="s">
        <v>503</v>
      </c>
      <c r="D28" s="42" t="s">
        <v>504</v>
      </c>
      <c r="E28" s="42" t="s">
        <v>505</v>
      </c>
      <c r="F28" s="43" t="s">
        <v>396</v>
      </c>
    </row>
    <row r="29" spans="1:6" ht="15.75" x14ac:dyDescent="0.25">
      <c r="B29" s="9" t="s">
        <v>536</v>
      </c>
      <c r="C29" s="10" t="s">
        <v>537</v>
      </c>
      <c r="D29" s="10" t="s">
        <v>508</v>
      </c>
      <c r="E29" s="44">
        <v>13.52</v>
      </c>
      <c r="F29" s="45">
        <v>44658</v>
      </c>
    </row>
    <row r="30" spans="1:6" ht="15.75" x14ac:dyDescent="0.25">
      <c r="B30" s="9" t="s">
        <v>538</v>
      </c>
      <c r="C30" s="10" t="s">
        <v>539</v>
      </c>
      <c r="D30" s="10" t="s">
        <v>508</v>
      </c>
      <c r="E30" s="44">
        <v>16.399999999999999</v>
      </c>
      <c r="F30" s="45">
        <v>44656</v>
      </c>
    </row>
    <row r="31" spans="1:6" ht="15.75" x14ac:dyDescent="0.25">
      <c r="B31" s="9" t="s">
        <v>515</v>
      </c>
      <c r="C31" s="10" t="s">
        <v>540</v>
      </c>
      <c r="D31" s="10" t="s">
        <v>508</v>
      </c>
      <c r="E31" s="44">
        <v>13.31</v>
      </c>
      <c r="F31" s="45">
        <v>44652</v>
      </c>
    </row>
    <row r="32" spans="1:6" ht="15.75" x14ac:dyDescent="0.25">
      <c r="B32" s="9" t="s">
        <v>517</v>
      </c>
      <c r="C32" s="10" t="s">
        <v>541</v>
      </c>
      <c r="D32" s="10" t="s">
        <v>508</v>
      </c>
      <c r="E32" s="44">
        <v>15.11</v>
      </c>
      <c r="F32" s="45">
        <v>44650</v>
      </c>
    </row>
    <row r="33" spans="1:6" ht="15.75" x14ac:dyDescent="0.25">
      <c r="B33" s="9" t="s">
        <v>521</v>
      </c>
      <c r="C33" s="10" t="s">
        <v>522</v>
      </c>
      <c r="D33" s="10" t="s">
        <v>508</v>
      </c>
      <c r="E33" s="44">
        <v>10.92</v>
      </c>
      <c r="F33" s="45">
        <v>44628</v>
      </c>
    </row>
    <row r="34" spans="1:6" ht="15.75" x14ac:dyDescent="0.25">
      <c r="B34" s="9" t="s">
        <v>523</v>
      </c>
      <c r="C34" s="10" t="s">
        <v>524</v>
      </c>
      <c r="D34" s="10" t="s">
        <v>508</v>
      </c>
      <c r="E34" s="44">
        <v>14.46</v>
      </c>
      <c r="F34" s="45">
        <v>44614</v>
      </c>
    </row>
    <row r="35" spans="1:6" ht="15.75" x14ac:dyDescent="0.25">
      <c r="B35" s="9"/>
      <c r="C35" s="10"/>
      <c r="D35" s="10"/>
      <c r="E35" s="44"/>
      <c r="F35" s="45"/>
    </row>
    <row r="36" spans="1:6" ht="15.75" x14ac:dyDescent="0.25">
      <c r="B36" s="46" t="s">
        <v>508</v>
      </c>
      <c r="C36" s="47">
        <f>COUNTIF(D29:D35,"buy")</f>
        <v>6</v>
      </c>
      <c r="D36" s="48"/>
      <c r="E36" s="48"/>
      <c r="F36" s="49"/>
    </row>
    <row r="37" spans="1:6" ht="15.75" x14ac:dyDescent="0.25">
      <c r="B37" s="9" t="s">
        <v>529</v>
      </c>
      <c r="C37" s="50">
        <f>COUNTIF(D29:D35,"hold")</f>
        <v>0</v>
      </c>
      <c r="D37" s="10"/>
      <c r="E37" s="10"/>
      <c r="F37" s="11"/>
    </row>
    <row r="38" spans="1:6" ht="15.75" x14ac:dyDescent="0.25">
      <c r="B38" s="51" t="s">
        <v>530</v>
      </c>
      <c r="C38" s="52">
        <f>COUNTIF(D29:D35,"sell")</f>
        <v>0</v>
      </c>
      <c r="D38" s="53"/>
      <c r="E38" s="53"/>
      <c r="F38" s="54"/>
    </row>
    <row r="39" spans="1:6" ht="15.75" x14ac:dyDescent="0.25">
      <c r="B39" s="9" t="s">
        <v>198</v>
      </c>
      <c r="C39" s="55">
        <f>MIN(E29:E35)</f>
        <v>10.92</v>
      </c>
      <c r="D39" s="10"/>
      <c r="E39" s="10"/>
      <c r="F39" s="11"/>
    </row>
    <row r="40" spans="1:6" ht="15.75" x14ac:dyDescent="0.25">
      <c r="B40" s="9" t="s">
        <v>531</v>
      </c>
      <c r="C40" s="55">
        <f>_xlfn.QUARTILE.EXC(E29:E35,1)</f>
        <v>12.7125</v>
      </c>
      <c r="D40" s="10"/>
      <c r="E40" s="10"/>
      <c r="F40" s="11"/>
    </row>
    <row r="41" spans="1:6" ht="15.75" x14ac:dyDescent="0.25">
      <c r="B41" s="9" t="s">
        <v>532</v>
      </c>
      <c r="C41" s="55">
        <f>AVERAGE(E29:E35)</f>
        <v>13.953333333333333</v>
      </c>
      <c r="D41" s="10"/>
      <c r="E41" s="10"/>
      <c r="F41" s="11"/>
    </row>
    <row r="42" spans="1:6" ht="15.75" x14ac:dyDescent="0.25">
      <c r="B42" s="9" t="s">
        <v>533</v>
      </c>
      <c r="C42" s="55">
        <f>MEDIAN(E29:E35)</f>
        <v>13.99</v>
      </c>
      <c r="D42" s="10"/>
      <c r="E42" s="10"/>
      <c r="F42" s="11"/>
    </row>
    <row r="43" spans="1:6" ht="15.75" x14ac:dyDescent="0.25">
      <c r="B43" s="9" t="s">
        <v>534</v>
      </c>
      <c r="C43" s="55">
        <f>_xlfn.QUARTILE.EXC(E29:E35,3)</f>
        <v>15.432499999999999</v>
      </c>
      <c r="D43" s="10"/>
      <c r="E43" s="10"/>
      <c r="F43" s="11"/>
    </row>
    <row r="44" spans="1:6" ht="15.75" x14ac:dyDescent="0.25">
      <c r="B44" s="51" t="s">
        <v>200</v>
      </c>
      <c r="C44" s="56">
        <f>MAX(E29:E35)</f>
        <v>16.399999999999999</v>
      </c>
      <c r="D44" s="53"/>
      <c r="E44" s="53"/>
      <c r="F44" s="54"/>
    </row>
    <row r="45" spans="1:6" ht="15.75" x14ac:dyDescent="0.25">
      <c r="B45" s="59" t="s">
        <v>196</v>
      </c>
      <c r="C45" s="57"/>
      <c r="D45" s="57"/>
      <c r="E45" s="57"/>
      <c r="F45" s="58"/>
    </row>
    <row r="47" spans="1:6" ht="15.75" x14ac:dyDescent="0.25">
      <c r="A47" s="2" t="s">
        <v>7</v>
      </c>
      <c r="B47" s="38" t="s">
        <v>542</v>
      </c>
      <c r="C47" s="39"/>
      <c r="D47" s="39"/>
      <c r="E47" s="39"/>
      <c r="F47" s="40"/>
    </row>
    <row r="48" spans="1:6" ht="15.75" x14ac:dyDescent="0.25">
      <c r="B48" s="41" t="s">
        <v>502</v>
      </c>
      <c r="C48" s="42" t="s">
        <v>503</v>
      </c>
      <c r="D48" s="42" t="s">
        <v>504</v>
      </c>
      <c r="E48" s="42" t="s">
        <v>505</v>
      </c>
      <c r="F48" s="43" t="s">
        <v>396</v>
      </c>
    </row>
    <row r="49" spans="2:6" ht="15.75" x14ac:dyDescent="0.25">
      <c r="B49" s="9" t="s">
        <v>543</v>
      </c>
      <c r="C49" s="10" t="s">
        <v>544</v>
      </c>
      <c r="D49" s="10" t="s">
        <v>508</v>
      </c>
      <c r="E49" s="44">
        <v>54</v>
      </c>
      <c r="F49" s="45">
        <v>44678</v>
      </c>
    </row>
    <row r="50" spans="2:6" ht="15.75" x14ac:dyDescent="0.25">
      <c r="B50" s="9" t="s">
        <v>509</v>
      </c>
      <c r="C50" s="10" t="s">
        <v>510</v>
      </c>
      <c r="D50" s="10" t="s">
        <v>508</v>
      </c>
      <c r="E50" s="44">
        <v>67</v>
      </c>
      <c r="F50" s="45">
        <v>44678</v>
      </c>
    </row>
    <row r="51" spans="2:6" ht="15.75" x14ac:dyDescent="0.25">
      <c r="B51" s="9" t="s">
        <v>511</v>
      </c>
      <c r="C51" s="10" t="s">
        <v>545</v>
      </c>
      <c r="D51" s="10" t="s">
        <v>508</v>
      </c>
      <c r="E51" s="44">
        <v>60</v>
      </c>
      <c r="F51" s="45">
        <v>44677</v>
      </c>
    </row>
    <row r="52" spans="2:6" ht="15.75" x14ac:dyDescent="0.25">
      <c r="B52" s="9" t="s">
        <v>513</v>
      </c>
      <c r="C52" s="10" t="s">
        <v>514</v>
      </c>
      <c r="D52" s="10" t="s">
        <v>508</v>
      </c>
      <c r="E52" s="44">
        <v>68</v>
      </c>
      <c r="F52" s="45">
        <v>44676</v>
      </c>
    </row>
    <row r="53" spans="2:6" ht="15.75" x14ac:dyDescent="0.25">
      <c r="B53" s="9" t="s">
        <v>546</v>
      </c>
      <c r="C53" s="10" t="s">
        <v>547</v>
      </c>
      <c r="D53" s="10" t="s">
        <v>529</v>
      </c>
      <c r="E53" s="44">
        <v>47</v>
      </c>
      <c r="F53" s="45">
        <v>44671</v>
      </c>
    </row>
    <row r="54" spans="2:6" ht="15.75" x14ac:dyDescent="0.25">
      <c r="B54" s="9" t="s">
        <v>548</v>
      </c>
      <c r="C54" s="10" t="s">
        <v>549</v>
      </c>
      <c r="D54" s="10" t="s">
        <v>508</v>
      </c>
      <c r="E54" s="44">
        <v>49</v>
      </c>
      <c r="F54" s="45">
        <v>44669</v>
      </c>
    </row>
    <row r="55" spans="2:6" ht="15.75" x14ac:dyDescent="0.25">
      <c r="B55" s="9" t="s">
        <v>550</v>
      </c>
      <c r="C55" s="10" t="s">
        <v>551</v>
      </c>
      <c r="D55" s="10" t="s">
        <v>508</v>
      </c>
      <c r="E55" s="44">
        <v>55</v>
      </c>
      <c r="F55" s="45">
        <v>44628</v>
      </c>
    </row>
    <row r="56" spans="2:6" ht="15.75" x14ac:dyDescent="0.25">
      <c r="B56" s="9"/>
      <c r="C56" s="10"/>
      <c r="D56" s="10"/>
      <c r="E56" s="44"/>
      <c r="F56" s="45"/>
    </row>
    <row r="57" spans="2:6" ht="15.75" x14ac:dyDescent="0.25">
      <c r="B57" s="46" t="s">
        <v>508</v>
      </c>
      <c r="C57" s="47">
        <f>COUNTIF(D49:D56,"buy")</f>
        <v>6</v>
      </c>
      <c r="D57" s="48"/>
      <c r="E57" s="48"/>
      <c r="F57" s="49"/>
    </row>
    <row r="58" spans="2:6" ht="15.75" x14ac:dyDescent="0.25">
      <c r="B58" s="9" t="s">
        <v>529</v>
      </c>
      <c r="C58" s="50">
        <f>COUNTIF(D49:D56,"hold")</f>
        <v>1</v>
      </c>
      <c r="D58" s="10"/>
      <c r="E58" s="10"/>
      <c r="F58" s="11"/>
    </row>
    <row r="59" spans="2:6" ht="15.75" x14ac:dyDescent="0.25">
      <c r="B59" s="51" t="s">
        <v>530</v>
      </c>
      <c r="C59" s="52">
        <f>COUNTIF(D49:D56,"sell")</f>
        <v>0</v>
      </c>
      <c r="D59" s="53"/>
      <c r="E59" s="53"/>
      <c r="F59" s="54"/>
    </row>
    <row r="60" spans="2:6" ht="15.75" x14ac:dyDescent="0.25">
      <c r="B60" s="9" t="s">
        <v>198</v>
      </c>
      <c r="C60" s="55">
        <f>MIN(E49:E56)</f>
        <v>47</v>
      </c>
      <c r="D60" s="10"/>
      <c r="E60" s="10"/>
      <c r="F60" s="11"/>
    </row>
    <row r="61" spans="2:6" ht="15.75" x14ac:dyDescent="0.25">
      <c r="B61" s="9" t="s">
        <v>531</v>
      </c>
      <c r="C61" s="55">
        <f>_xlfn.QUARTILE.EXC(E49:E56,1)</f>
        <v>49</v>
      </c>
      <c r="D61" s="10"/>
      <c r="E61" s="10"/>
      <c r="F61" s="11"/>
    </row>
    <row r="62" spans="2:6" ht="15.75" x14ac:dyDescent="0.25">
      <c r="B62" s="9" t="s">
        <v>532</v>
      </c>
      <c r="C62" s="55">
        <f>AVERAGE(E49:E56)</f>
        <v>57.142857142857146</v>
      </c>
      <c r="D62" s="10"/>
      <c r="E62" s="10"/>
      <c r="F62" s="11"/>
    </row>
    <row r="63" spans="2:6" ht="15.75" x14ac:dyDescent="0.25">
      <c r="B63" s="9" t="s">
        <v>533</v>
      </c>
      <c r="C63" s="55">
        <f>MEDIAN(E49:E56)</f>
        <v>55</v>
      </c>
      <c r="D63" s="10"/>
      <c r="E63" s="10"/>
      <c r="F63" s="11"/>
    </row>
    <row r="64" spans="2:6" ht="15.75" x14ac:dyDescent="0.25">
      <c r="B64" s="9" t="s">
        <v>534</v>
      </c>
      <c r="C64" s="55">
        <f>_xlfn.QUARTILE.EXC(E49:E56,3)</f>
        <v>67</v>
      </c>
      <c r="D64" s="10"/>
      <c r="E64" s="10"/>
      <c r="F64" s="11"/>
    </row>
    <row r="65" spans="2:6" ht="15.75" x14ac:dyDescent="0.25">
      <c r="B65" s="51" t="s">
        <v>200</v>
      </c>
      <c r="C65" s="56">
        <f>MAX(E49:E56)</f>
        <v>68</v>
      </c>
      <c r="D65" s="53"/>
      <c r="E65" s="53"/>
      <c r="F65" s="54"/>
    </row>
    <row r="66" spans="2:6" ht="15.75" x14ac:dyDescent="0.25">
      <c r="B66" s="59" t="s">
        <v>196</v>
      </c>
      <c r="C66" s="57"/>
      <c r="D66" s="57"/>
      <c r="E66" s="57"/>
      <c r="F66" s="5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62D0C-0C64-4B19-86C5-CBCE448420B5}">
  <dimension ref="B2:AH123"/>
  <sheetViews>
    <sheetView topLeftCell="L1" workbookViewId="0">
      <selection activeCell="R74" sqref="R74"/>
    </sheetView>
  </sheetViews>
  <sheetFormatPr defaultColWidth="8.7109375" defaultRowHeight="15" x14ac:dyDescent="0.25"/>
  <cols>
    <col min="1" max="1" width="8.7109375" style="2"/>
    <col min="2" max="2" width="31.140625" style="2" bestFit="1" customWidth="1"/>
    <col min="3" max="3" width="9.28515625" style="2" bestFit="1" customWidth="1"/>
    <col min="4" max="4" width="8.7109375" style="2"/>
    <col min="5" max="5" width="16.85546875" style="2" bestFit="1" customWidth="1"/>
    <col min="6" max="7" width="25.5703125" style="2" bestFit="1" customWidth="1"/>
    <col min="8" max="8" width="12.42578125" style="2" bestFit="1" customWidth="1"/>
    <col min="9" max="9" width="11.5703125" style="2" bestFit="1" customWidth="1"/>
    <col min="10" max="10" width="8.7109375" style="2"/>
    <col min="11" max="11" width="25.28515625" style="2" bestFit="1" customWidth="1"/>
    <col min="12" max="16" width="8.7109375" style="2"/>
    <col min="17" max="17" width="22.5703125" style="2" bestFit="1" customWidth="1"/>
    <col min="18" max="18" width="8.7109375" style="2"/>
    <col min="19" max="19" width="22.5703125" style="2" bestFit="1" customWidth="1"/>
    <col min="20" max="20" width="19.85546875" style="2" bestFit="1" customWidth="1"/>
    <col min="21" max="16384" width="8.7109375" style="2"/>
  </cols>
  <sheetData>
    <row r="2" spans="2:20" x14ac:dyDescent="0.25">
      <c r="B2" s="24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Q2" s="12"/>
    </row>
    <row r="3" spans="2:20" x14ac:dyDescent="0.25">
      <c r="B3" s="25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2:20" x14ac:dyDescent="0.25">
      <c r="B4" s="17"/>
      <c r="C4" s="17"/>
      <c r="D4" s="17"/>
      <c r="E4" s="28"/>
      <c r="F4" s="17"/>
      <c r="G4" s="17"/>
      <c r="H4" s="17"/>
      <c r="I4" s="17"/>
      <c r="J4" s="17"/>
      <c r="K4" s="17"/>
      <c r="L4" s="17"/>
      <c r="M4" s="17"/>
      <c r="N4" s="17"/>
    </row>
    <row r="5" spans="2:20" x14ac:dyDescent="0.25">
      <c r="B5" s="26"/>
      <c r="C5" s="17"/>
      <c r="D5" s="17"/>
      <c r="E5" s="28"/>
      <c r="F5" s="17"/>
      <c r="G5" s="17"/>
      <c r="H5" s="17"/>
      <c r="I5" s="17"/>
      <c r="J5" s="17"/>
      <c r="K5" s="17"/>
      <c r="L5" s="17"/>
      <c r="M5" s="17"/>
      <c r="N5" s="17"/>
    </row>
    <row r="6" spans="2:20" x14ac:dyDescent="0.25">
      <c r="E6" s="29"/>
    </row>
    <row r="7" spans="2:20" x14ac:dyDescent="0.25">
      <c r="E7" s="29"/>
    </row>
    <row r="8" spans="2:20" x14ac:dyDescent="0.25">
      <c r="E8" s="29"/>
    </row>
    <row r="9" spans="2:20" x14ac:dyDescent="0.25">
      <c r="E9" s="29"/>
      <c r="Q9" s="31"/>
      <c r="R9" s="32"/>
      <c r="S9" s="32"/>
      <c r="T9" s="33"/>
    </row>
    <row r="10" spans="2:20" x14ac:dyDescent="0.25">
      <c r="E10" s="29"/>
      <c r="Q10" s="29"/>
      <c r="T10" s="34"/>
    </row>
    <row r="11" spans="2:20" x14ac:dyDescent="0.25">
      <c r="B11" s="27"/>
      <c r="C11" s="27"/>
      <c r="D11" s="27"/>
      <c r="E11" s="30"/>
      <c r="F11" s="27"/>
      <c r="G11" s="27"/>
      <c r="H11" s="27"/>
      <c r="I11" s="27"/>
      <c r="J11" s="27"/>
      <c r="K11" s="27"/>
      <c r="L11" s="27"/>
      <c r="M11" s="27"/>
      <c r="N11" s="27"/>
      <c r="Q11" s="29"/>
      <c r="T11" s="34"/>
    </row>
    <row r="12" spans="2:20" x14ac:dyDescent="0.25">
      <c r="E12" s="29"/>
      <c r="Q12" s="29"/>
      <c r="T12" s="34"/>
    </row>
    <row r="13" spans="2:20" x14ac:dyDescent="0.25">
      <c r="E13" s="29"/>
      <c r="Q13" s="29"/>
      <c r="T13" s="34"/>
    </row>
    <row r="14" spans="2:20" x14ac:dyDescent="0.25">
      <c r="E14" s="29"/>
      <c r="Q14" s="29"/>
      <c r="T14" s="34"/>
    </row>
    <row r="15" spans="2:20" x14ac:dyDescent="0.25">
      <c r="E15" s="29"/>
      <c r="Q15" s="29"/>
      <c r="T15" s="34"/>
    </row>
    <row r="16" spans="2:20" x14ac:dyDescent="0.25">
      <c r="B16" s="27"/>
      <c r="C16" s="27"/>
      <c r="D16" s="27"/>
      <c r="E16" s="30"/>
      <c r="F16" s="27"/>
      <c r="G16" s="27"/>
      <c r="H16" s="27"/>
      <c r="I16" s="27"/>
      <c r="J16" s="27"/>
      <c r="K16" s="27"/>
      <c r="L16" s="27"/>
      <c r="M16" s="27"/>
      <c r="N16" s="27"/>
      <c r="Q16" s="29"/>
      <c r="T16" s="34"/>
    </row>
    <row r="17" spans="2:20" x14ac:dyDescent="0.25">
      <c r="E17" s="29"/>
      <c r="Q17" s="29"/>
      <c r="T17" s="34"/>
    </row>
    <row r="18" spans="2:20" x14ac:dyDescent="0.25">
      <c r="E18" s="29"/>
      <c r="Q18" s="29"/>
      <c r="T18" s="34"/>
    </row>
    <row r="19" spans="2:20" x14ac:dyDescent="0.25">
      <c r="E19" s="29"/>
      <c r="Q19" s="29"/>
      <c r="T19" s="34"/>
    </row>
    <row r="20" spans="2:20" x14ac:dyDescent="0.25">
      <c r="B20" s="27"/>
      <c r="C20" s="27"/>
      <c r="D20" s="27"/>
      <c r="E20" s="30"/>
      <c r="F20" s="27"/>
      <c r="G20" s="27"/>
      <c r="H20" s="27"/>
      <c r="I20" s="27"/>
      <c r="J20" s="27"/>
      <c r="K20" s="27"/>
      <c r="L20" s="27"/>
      <c r="M20" s="27"/>
      <c r="N20" s="27"/>
      <c r="Q20" s="29"/>
      <c r="T20" s="34"/>
    </row>
    <row r="21" spans="2:20" x14ac:dyDescent="0.25">
      <c r="Q21" s="29"/>
      <c r="T21" s="34"/>
    </row>
    <row r="22" spans="2:20" x14ac:dyDescent="0.25">
      <c r="Q22" s="29"/>
      <c r="T22" s="34"/>
    </row>
    <row r="23" spans="2:20" x14ac:dyDescent="0.25">
      <c r="Q23" s="29"/>
      <c r="T23" s="34"/>
    </row>
    <row r="24" spans="2:20" x14ac:dyDescent="0.25">
      <c r="Q24" s="29"/>
      <c r="T24" s="34"/>
    </row>
    <row r="25" spans="2:20" x14ac:dyDescent="0.25">
      <c r="Q25" s="35"/>
      <c r="R25" s="36"/>
      <c r="S25" s="36"/>
      <c r="T25" s="37"/>
    </row>
    <row r="35" spans="2:13" x14ac:dyDescent="0.25">
      <c r="C35" s="2">
        <v>2021</v>
      </c>
      <c r="D35" s="2">
        <f>C35+1</f>
        <v>2022</v>
      </c>
      <c r="E35" s="2">
        <f t="shared" ref="E35:H35" si="0">D35+1</f>
        <v>2023</v>
      </c>
      <c r="F35" s="2">
        <f t="shared" si="0"/>
        <v>2024</v>
      </c>
      <c r="G35" s="2">
        <f t="shared" si="0"/>
        <v>2025</v>
      </c>
      <c r="H35" s="2">
        <f t="shared" si="0"/>
        <v>2026</v>
      </c>
    </row>
    <row r="36" spans="2:13" x14ac:dyDescent="0.25">
      <c r="B36" s="2" t="s">
        <v>552</v>
      </c>
      <c r="C36" s="20">
        <v>99</v>
      </c>
      <c r="D36" s="206">
        <f>Base!F35/1000</f>
        <v>335.3909646474354</v>
      </c>
      <c r="E36" s="206">
        <f>Base!G35/1000</f>
        <v>301.89954208867459</v>
      </c>
      <c r="F36" s="206">
        <f>Base!H35/1000</f>
        <v>271.18061952991388</v>
      </c>
      <c r="G36" s="206">
        <f>Base!I35/1000</f>
        <v>288.52719697115322</v>
      </c>
      <c r="H36" s="206">
        <f>Base!J35/1000</f>
        <v>307.44652441239236</v>
      </c>
    </row>
    <row r="39" spans="2:13" x14ac:dyDescent="0.25">
      <c r="L39" s="2" t="s">
        <v>553</v>
      </c>
    </row>
    <row r="40" spans="2:13" x14ac:dyDescent="0.25">
      <c r="L40" s="2" t="s">
        <v>554</v>
      </c>
      <c r="M40" s="76">
        <v>0.41099999999999998</v>
      </c>
    </row>
    <row r="41" spans="2:13" x14ac:dyDescent="0.25">
      <c r="L41" s="2" t="s">
        <v>555</v>
      </c>
      <c r="M41" s="76">
        <v>0.16200000000000001</v>
      </c>
    </row>
    <row r="42" spans="2:13" x14ac:dyDescent="0.25">
      <c r="L42" s="2" t="s">
        <v>556</v>
      </c>
      <c r="M42" s="76">
        <v>7.5999999999999998E-2</v>
      </c>
    </row>
    <row r="43" spans="2:13" x14ac:dyDescent="0.25">
      <c r="L43" s="2" t="s">
        <v>557</v>
      </c>
      <c r="M43" s="76">
        <v>5.1999999999999998E-2</v>
      </c>
    </row>
    <row r="44" spans="2:13" x14ac:dyDescent="0.25">
      <c r="L44" s="2" t="s">
        <v>558</v>
      </c>
      <c r="M44" s="76">
        <v>0.29899999999999999</v>
      </c>
    </row>
    <row r="55" spans="3:13" x14ac:dyDescent="0.25">
      <c r="C55" s="2" t="s">
        <v>559</v>
      </c>
    </row>
    <row r="56" spans="3:13" x14ac:dyDescent="0.25">
      <c r="D56" s="2" t="s">
        <v>560</v>
      </c>
      <c r="E56" s="2" t="s">
        <v>561</v>
      </c>
      <c r="F56" s="2" t="s">
        <v>562</v>
      </c>
      <c r="G56" s="2" t="s">
        <v>563</v>
      </c>
    </row>
    <row r="57" spans="3:13" x14ac:dyDescent="0.25">
      <c r="C57" s="2" t="s">
        <v>564</v>
      </c>
      <c r="G57" s="2">
        <v>50</v>
      </c>
    </row>
    <row r="58" spans="3:13" x14ac:dyDescent="0.25">
      <c r="C58" s="2" t="s">
        <v>565</v>
      </c>
      <c r="D58" s="2">
        <f>G57</f>
        <v>50</v>
      </c>
      <c r="F58" s="2">
        <v>10</v>
      </c>
    </row>
    <row r="59" spans="3:13" x14ac:dyDescent="0.25">
      <c r="C59" s="2" t="s">
        <v>566</v>
      </c>
      <c r="D59" s="2">
        <f>SUM(D58:F58)</f>
        <v>60</v>
      </c>
      <c r="F59" s="2">
        <v>3.5</v>
      </c>
      <c r="M59" s="2">
        <v>50</v>
      </c>
    </row>
    <row r="60" spans="3:13" x14ac:dyDescent="0.25">
      <c r="C60" s="2" t="s">
        <v>567</v>
      </c>
      <c r="D60" s="2">
        <f t="shared" ref="D60:D63" si="1">SUM(D59:F59)</f>
        <v>63.5</v>
      </c>
      <c r="F60" s="2">
        <v>14</v>
      </c>
      <c r="M60" s="2">
        <v>10</v>
      </c>
    </row>
    <row r="61" spans="3:13" x14ac:dyDescent="0.25">
      <c r="C61" s="2" t="s">
        <v>568</v>
      </c>
      <c r="D61" s="2">
        <f t="shared" si="1"/>
        <v>77.5</v>
      </c>
      <c r="F61" s="2">
        <v>20</v>
      </c>
      <c r="M61" s="2">
        <v>3.5</v>
      </c>
    </row>
    <row r="62" spans="3:13" x14ac:dyDescent="0.25">
      <c r="C62" s="2" t="s">
        <v>569</v>
      </c>
      <c r="D62" s="2">
        <f t="shared" si="1"/>
        <v>97.5</v>
      </c>
      <c r="F62" s="2">
        <v>3</v>
      </c>
      <c r="M62" s="2">
        <v>14</v>
      </c>
    </row>
    <row r="63" spans="3:13" x14ac:dyDescent="0.25">
      <c r="C63" s="2" t="s">
        <v>570</v>
      </c>
      <c r="D63" s="2">
        <f t="shared" si="1"/>
        <v>100.5</v>
      </c>
      <c r="F63" s="2">
        <v>54.5</v>
      </c>
      <c r="M63" s="2">
        <v>20</v>
      </c>
    </row>
    <row r="64" spans="3:13" x14ac:dyDescent="0.25">
      <c r="C64" s="2" t="s">
        <v>571</v>
      </c>
      <c r="E64" s="2">
        <v>155</v>
      </c>
      <c r="L64" s="2">
        <v>155</v>
      </c>
      <c r="M64" s="2">
        <v>3</v>
      </c>
    </row>
    <row r="65" spans="12:34" x14ac:dyDescent="0.25">
      <c r="L65" s="2">
        <v>100.5</v>
      </c>
    </row>
    <row r="66" spans="12:34" x14ac:dyDescent="0.25">
      <c r="L66" s="2">
        <f>L64-L65</f>
        <v>54.5</v>
      </c>
    </row>
    <row r="67" spans="12:34" x14ac:dyDescent="0.25">
      <c r="T67" s="2" t="s">
        <v>714</v>
      </c>
      <c r="U67" s="2">
        <v>2013</v>
      </c>
      <c r="V67" s="2">
        <f>U67+1</f>
        <v>2014</v>
      </c>
      <c r="W67" s="2">
        <f t="shared" ref="W67:AH67" si="2">V67+1</f>
        <v>2015</v>
      </c>
      <c r="X67" s="2">
        <f t="shared" si="2"/>
        <v>2016</v>
      </c>
      <c r="Y67" s="2">
        <f t="shared" si="2"/>
        <v>2017</v>
      </c>
      <c r="Z67" s="2">
        <f t="shared" si="2"/>
        <v>2018</v>
      </c>
      <c r="AA67" s="2">
        <f t="shared" si="2"/>
        <v>2019</v>
      </c>
      <c r="AB67" s="2">
        <f t="shared" si="2"/>
        <v>2020</v>
      </c>
      <c r="AC67" s="2">
        <f t="shared" si="2"/>
        <v>2021</v>
      </c>
      <c r="AD67" s="2">
        <f t="shared" si="2"/>
        <v>2022</v>
      </c>
      <c r="AE67" s="2">
        <f t="shared" si="2"/>
        <v>2023</v>
      </c>
      <c r="AF67" s="2">
        <f t="shared" si="2"/>
        <v>2024</v>
      </c>
      <c r="AG67" s="2">
        <f t="shared" si="2"/>
        <v>2025</v>
      </c>
      <c r="AH67" s="2">
        <f t="shared" si="2"/>
        <v>2026</v>
      </c>
    </row>
    <row r="68" spans="12:34" x14ac:dyDescent="0.25">
      <c r="T68" s="2" t="s">
        <v>715</v>
      </c>
      <c r="U68" s="2">
        <v>257.39999999999998</v>
      </c>
      <c r="V68" s="2">
        <v>270.5</v>
      </c>
      <c r="W68" s="2">
        <v>284.8</v>
      </c>
      <c r="X68" s="2">
        <v>321.7</v>
      </c>
      <c r="Y68" s="2">
        <v>353.6</v>
      </c>
      <c r="Z68" s="2">
        <v>390.2</v>
      </c>
      <c r="AA68" s="2">
        <v>421.1</v>
      </c>
      <c r="AB68" s="2">
        <v>446.9</v>
      </c>
      <c r="AC68" s="2">
        <v>452.8</v>
      </c>
      <c r="AD68" s="2">
        <v>452.8</v>
      </c>
      <c r="AE68" s="2">
        <v>452.8</v>
      </c>
      <c r="AF68" s="2">
        <v>452.8</v>
      </c>
      <c r="AG68" s="2">
        <v>452.8</v>
      </c>
      <c r="AH68" s="2">
        <v>452.8</v>
      </c>
    </row>
    <row r="69" spans="12:34" x14ac:dyDescent="0.25">
      <c r="T69" s="2" t="s">
        <v>716</v>
      </c>
      <c r="AD69" s="2">
        <v>16.100000000000001</v>
      </c>
      <c r="AE69" s="2">
        <v>29.1</v>
      </c>
      <c r="AF69" s="2">
        <v>48.2</v>
      </c>
      <c r="AG69" s="203">
        <v>102.3</v>
      </c>
      <c r="AH69" s="2">
        <v>123.7</v>
      </c>
    </row>
    <row r="70" spans="12:34" x14ac:dyDescent="0.25">
      <c r="T70" s="2" t="s">
        <v>717</v>
      </c>
      <c r="AD70" s="2">
        <f>SUM(AD68:AD69)</f>
        <v>468.90000000000003</v>
      </c>
      <c r="AE70" s="2">
        <f t="shared" ref="AE70:AH70" si="3">SUM(AE68:AE69)</f>
        <v>481.90000000000003</v>
      </c>
      <c r="AF70" s="2">
        <f t="shared" si="3"/>
        <v>501</v>
      </c>
      <c r="AG70" s="2">
        <f t="shared" si="3"/>
        <v>555.1</v>
      </c>
      <c r="AH70" s="2">
        <f t="shared" si="3"/>
        <v>576.5</v>
      </c>
    </row>
    <row r="74" spans="12:34" x14ac:dyDescent="0.25">
      <c r="AC74" s="76"/>
    </row>
    <row r="87" spans="5:8" x14ac:dyDescent="0.25">
      <c r="E87" s="330" t="s">
        <v>572</v>
      </c>
      <c r="F87" s="331" t="s">
        <v>573</v>
      </c>
      <c r="G87" s="331" t="s">
        <v>574</v>
      </c>
      <c r="H87" s="332" t="s">
        <v>575</v>
      </c>
    </row>
    <row r="88" spans="5:8" x14ac:dyDescent="0.25">
      <c r="E88" s="29" t="s">
        <v>576</v>
      </c>
      <c r="F88" s="65" t="s">
        <v>577</v>
      </c>
      <c r="G88" s="65">
        <v>3.4</v>
      </c>
      <c r="H88" s="333">
        <v>2022</v>
      </c>
    </row>
    <row r="89" spans="5:8" x14ac:dyDescent="0.25">
      <c r="E89" s="29" t="s">
        <v>578</v>
      </c>
      <c r="F89" s="65" t="s">
        <v>579</v>
      </c>
      <c r="G89" s="65">
        <v>3.8</v>
      </c>
      <c r="H89" s="333">
        <v>2023</v>
      </c>
    </row>
    <row r="90" spans="5:8" x14ac:dyDescent="0.25">
      <c r="E90" s="29" t="s">
        <v>580</v>
      </c>
      <c r="F90" s="65" t="s">
        <v>581</v>
      </c>
      <c r="G90" s="65">
        <v>2.5</v>
      </c>
      <c r="H90" s="333">
        <v>2023</v>
      </c>
    </row>
    <row r="91" spans="5:8" x14ac:dyDescent="0.25">
      <c r="E91" s="29" t="s">
        <v>554</v>
      </c>
      <c r="F91" s="65" t="s">
        <v>582</v>
      </c>
      <c r="G91" s="65">
        <v>6.6</v>
      </c>
      <c r="H91" s="333">
        <v>2023</v>
      </c>
    </row>
    <row r="92" spans="5:8" x14ac:dyDescent="0.25">
      <c r="E92" s="29" t="s">
        <v>554</v>
      </c>
      <c r="F92" s="65" t="s">
        <v>582</v>
      </c>
      <c r="G92" s="65">
        <v>6.6</v>
      </c>
      <c r="H92" s="333">
        <v>2024</v>
      </c>
    </row>
    <row r="93" spans="5:8" x14ac:dyDescent="0.25">
      <c r="E93" s="29" t="s">
        <v>578</v>
      </c>
      <c r="F93" s="65" t="s">
        <v>583</v>
      </c>
      <c r="G93" s="65">
        <v>0.5</v>
      </c>
      <c r="H93" s="333">
        <v>2024</v>
      </c>
    </row>
    <row r="94" spans="5:8" x14ac:dyDescent="0.25">
      <c r="E94" s="29" t="s">
        <v>584</v>
      </c>
      <c r="F94" s="65" t="s">
        <v>585</v>
      </c>
      <c r="G94" s="65">
        <v>3.3</v>
      </c>
      <c r="H94" s="333">
        <v>2024</v>
      </c>
    </row>
    <row r="95" spans="5:8" x14ac:dyDescent="0.25">
      <c r="E95" s="29" t="s">
        <v>554</v>
      </c>
      <c r="F95" s="65" t="s">
        <v>586</v>
      </c>
      <c r="G95" s="334">
        <v>13</v>
      </c>
      <c r="H95" s="333">
        <v>2025</v>
      </c>
    </row>
    <row r="96" spans="5:8" x14ac:dyDescent="0.25">
      <c r="E96" s="29" t="s">
        <v>576</v>
      </c>
      <c r="F96" s="65" t="s">
        <v>213</v>
      </c>
      <c r="G96" s="65">
        <v>12.9</v>
      </c>
      <c r="H96" s="333">
        <v>2025</v>
      </c>
    </row>
    <row r="97" spans="5:15" x14ac:dyDescent="0.25">
      <c r="E97" s="29" t="s">
        <v>557</v>
      </c>
      <c r="F97" s="65" t="s">
        <v>587</v>
      </c>
      <c r="G97" s="65">
        <v>7.8</v>
      </c>
      <c r="H97" s="333">
        <v>2025</v>
      </c>
    </row>
    <row r="98" spans="5:15" x14ac:dyDescent="0.25">
      <c r="E98" s="29" t="s">
        <v>588</v>
      </c>
      <c r="F98" s="65" t="s">
        <v>589</v>
      </c>
      <c r="G98" s="334">
        <v>14</v>
      </c>
      <c r="H98" s="333">
        <v>2025</v>
      </c>
    </row>
    <row r="99" spans="5:15" x14ac:dyDescent="0.25">
      <c r="E99" s="29" t="s">
        <v>590</v>
      </c>
      <c r="F99" s="65" t="s">
        <v>591</v>
      </c>
      <c r="G99" s="65">
        <v>5.2</v>
      </c>
      <c r="H99" s="333">
        <v>2025</v>
      </c>
    </row>
    <row r="100" spans="5:15" x14ac:dyDescent="0.25">
      <c r="E100" s="29" t="s">
        <v>592</v>
      </c>
      <c r="F100" s="65" t="s">
        <v>593</v>
      </c>
      <c r="G100" s="65">
        <v>7.5</v>
      </c>
      <c r="H100" s="333">
        <v>2025</v>
      </c>
    </row>
    <row r="101" spans="5:15" x14ac:dyDescent="0.25">
      <c r="E101" s="29" t="s">
        <v>594</v>
      </c>
      <c r="F101" s="65" t="s">
        <v>595</v>
      </c>
      <c r="G101" s="65">
        <v>3.7</v>
      </c>
      <c r="H101" s="333">
        <v>2025</v>
      </c>
    </row>
    <row r="102" spans="5:15" x14ac:dyDescent="0.25">
      <c r="E102" s="29" t="s">
        <v>554</v>
      </c>
      <c r="F102" s="65" t="s">
        <v>582</v>
      </c>
      <c r="G102" s="65">
        <v>6.6</v>
      </c>
      <c r="H102" s="333">
        <v>2026</v>
      </c>
    </row>
    <row r="103" spans="5:15" x14ac:dyDescent="0.25">
      <c r="E103" s="29" t="s">
        <v>590</v>
      </c>
      <c r="F103" s="65" t="s">
        <v>591</v>
      </c>
      <c r="G103" s="65">
        <v>5.2</v>
      </c>
      <c r="H103" s="333">
        <v>2026</v>
      </c>
    </row>
    <row r="104" spans="5:15" x14ac:dyDescent="0.25">
      <c r="E104" s="29" t="s">
        <v>594</v>
      </c>
      <c r="F104" s="65" t="s">
        <v>596</v>
      </c>
      <c r="G104" s="334">
        <v>5</v>
      </c>
      <c r="H104" s="333">
        <v>2026</v>
      </c>
    </row>
    <row r="105" spans="5:15" x14ac:dyDescent="0.25">
      <c r="E105" s="29" t="s">
        <v>590</v>
      </c>
      <c r="F105" s="65" t="s">
        <v>591</v>
      </c>
      <c r="G105" s="65">
        <v>5.2</v>
      </c>
      <c r="H105" s="333">
        <v>2026</v>
      </c>
    </row>
    <row r="106" spans="5:15" x14ac:dyDescent="0.25">
      <c r="E106" s="35"/>
      <c r="F106" s="335" t="s">
        <v>213</v>
      </c>
      <c r="G106" s="335">
        <f>SUM(G88:G105)</f>
        <v>112.80000000000001</v>
      </c>
      <c r="H106" s="37"/>
    </row>
    <row r="107" spans="5:15" x14ac:dyDescent="0.25">
      <c r="K107" s="2" t="s">
        <v>597</v>
      </c>
    </row>
    <row r="108" spans="5:15" x14ac:dyDescent="0.25">
      <c r="K108" s="2" t="s">
        <v>598</v>
      </c>
      <c r="L108" s="2">
        <v>2010</v>
      </c>
      <c r="M108" s="2">
        <v>2020</v>
      </c>
      <c r="N108" s="2">
        <v>2030</v>
      </c>
      <c r="O108" s="2">
        <v>2050</v>
      </c>
    </row>
    <row r="109" spans="5:15" x14ac:dyDescent="0.25">
      <c r="K109" s="2" t="s">
        <v>599</v>
      </c>
      <c r="L109" s="2">
        <v>544.70000000000005</v>
      </c>
      <c r="M109" s="2">
        <v>589.1</v>
      </c>
      <c r="N109" s="2">
        <v>671</v>
      </c>
      <c r="O109" s="2">
        <v>743.9</v>
      </c>
    </row>
    <row r="110" spans="5:15" x14ac:dyDescent="0.25">
      <c r="K110" s="2" t="s">
        <v>600</v>
      </c>
      <c r="L110" s="2">
        <v>47.7</v>
      </c>
      <c r="M110" s="2">
        <v>68.5</v>
      </c>
      <c r="N110" s="2">
        <v>109</v>
      </c>
      <c r="O110" s="2">
        <v>192.5</v>
      </c>
    </row>
    <row r="111" spans="5:15" x14ac:dyDescent="0.25">
      <c r="K111" s="2" t="s">
        <v>601</v>
      </c>
      <c r="L111" s="2">
        <v>3336</v>
      </c>
      <c r="M111" s="2">
        <v>3999</v>
      </c>
      <c r="N111" s="2">
        <v>4554</v>
      </c>
      <c r="O111" s="2">
        <v>5113</v>
      </c>
    </row>
    <row r="112" spans="5:15" x14ac:dyDescent="0.25">
      <c r="K112" s="2" t="s">
        <v>602</v>
      </c>
      <c r="L112" s="2">
        <v>86.7</v>
      </c>
      <c r="M112" s="2">
        <v>87.9</v>
      </c>
      <c r="N112" s="2">
        <v>103</v>
      </c>
      <c r="O112" s="2">
        <v>103</v>
      </c>
    </row>
    <row r="113" spans="11:15" x14ac:dyDescent="0.25">
      <c r="K113" s="2" t="s">
        <v>603</v>
      </c>
      <c r="M113" s="2">
        <v>89.7</v>
      </c>
      <c r="N113" s="2">
        <v>106.4</v>
      </c>
      <c r="O113" s="2">
        <v>108.7</v>
      </c>
    </row>
    <row r="114" spans="11:15" x14ac:dyDescent="0.25">
      <c r="K114" s="2" t="s">
        <v>604</v>
      </c>
      <c r="L114" s="2">
        <v>5221</v>
      </c>
      <c r="M114" s="2">
        <v>5317</v>
      </c>
      <c r="N114" s="2">
        <v>5132</v>
      </c>
      <c r="O114" s="2">
        <v>4020</v>
      </c>
    </row>
    <row r="115" spans="11:15" x14ac:dyDescent="0.25">
      <c r="K115" s="2" t="s">
        <v>605</v>
      </c>
      <c r="L115" s="2">
        <v>5756</v>
      </c>
      <c r="M115" s="2">
        <v>5692</v>
      </c>
      <c r="N115" s="2">
        <v>3115</v>
      </c>
      <c r="O115" s="2">
        <v>3711</v>
      </c>
    </row>
    <row r="117" spans="11:15" x14ac:dyDescent="0.25">
      <c r="M117" s="2">
        <v>2020</v>
      </c>
      <c r="N117" s="2">
        <v>2030</v>
      </c>
      <c r="O117" s="2">
        <v>2050</v>
      </c>
    </row>
    <row r="118" spans="11:15" x14ac:dyDescent="0.25">
      <c r="K118" s="2" t="str">
        <f>K109</f>
        <v>Total Energy (EJ)</v>
      </c>
      <c r="M118" s="337">
        <f>(M109-L109)/L109</f>
        <v>8.1512759317055206E-2</v>
      </c>
      <c r="N118" s="337">
        <f t="shared" ref="N118:O118" si="4">(N109-M109)/M109</f>
        <v>0.13902563232048884</v>
      </c>
      <c r="O118" s="337">
        <f t="shared" si="4"/>
        <v>0.10864381520119222</v>
      </c>
    </row>
    <row r="119" spans="11:15" x14ac:dyDescent="0.25">
      <c r="K119" s="2" t="str">
        <f>K110</f>
        <v>Remewable Energy Supply (EJ)</v>
      </c>
      <c r="M119" s="337">
        <f t="shared" ref="M119:O119" si="5">(M110-L110)/L110</f>
        <v>0.43605870020964355</v>
      </c>
      <c r="N119" s="337">
        <f t="shared" si="5"/>
        <v>0.59124087591240881</v>
      </c>
      <c r="O119" s="337">
        <f t="shared" si="5"/>
        <v>0.76605504587155959</v>
      </c>
    </row>
    <row r="120" spans="11:15" x14ac:dyDescent="0.25">
      <c r="K120" s="2" t="str">
        <f>K111</f>
        <v>Natural Gas Demand (bcm)</v>
      </c>
      <c r="M120" s="337">
        <f t="shared" ref="M120:O120" si="6">(M111-L111)/L111</f>
        <v>0.19874100719424462</v>
      </c>
      <c r="N120" s="337">
        <f t="shared" si="6"/>
        <v>0.13878469617404351</v>
      </c>
      <c r="O120" s="337">
        <f t="shared" si="6"/>
        <v>0.12274923144488362</v>
      </c>
    </row>
    <row r="121" spans="11:15" x14ac:dyDescent="0.25">
      <c r="K121" s="2" t="str">
        <f>K112</f>
        <v>Oil Demand (mb/d)</v>
      </c>
      <c r="M121" s="337">
        <f t="shared" ref="M121:O121" si="7">(M112-L112)/L112</f>
        <v>1.3840830449827021E-2</v>
      </c>
      <c r="N121" s="337">
        <f t="shared" si="7"/>
        <v>0.17178612059158127</v>
      </c>
      <c r="O121" s="337">
        <f t="shared" si="7"/>
        <v>0</v>
      </c>
    </row>
    <row r="122" spans="11:15" x14ac:dyDescent="0.25">
      <c r="K122" s="2" t="str">
        <f>K114</f>
        <v>Coal (Mtce)</v>
      </c>
      <c r="M122" s="337">
        <f t="shared" ref="M122:O122" si="8">(M114-L114)/L114</f>
        <v>1.8387282129860179E-2</v>
      </c>
      <c r="N122" s="337">
        <f t="shared" si="8"/>
        <v>-3.4794056798946774E-2</v>
      </c>
      <c r="O122" s="337">
        <f t="shared" si="8"/>
        <v>-0.2166796570537802</v>
      </c>
    </row>
    <row r="123" spans="11:15" x14ac:dyDescent="0.25">
      <c r="K123" s="2" t="str">
        <f>K115</f>
        <v>Nuclear</v>
      </c>
      <c r="M123" s="337">
        <f t="shared" ref="M123:O123" si="9">(M115-L115)/L115</f>
        <v>-1.1118832522585128E-2</v>
      </c>
      <c r="N123" s="337">
        <f t="shared" si="9"/>
        <v>-0.45274068868587491</v>
      </c>
      <c r="O123" s="337">
        <f t="shared" si="9"/>
        <v>0.19133226324237559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98EAE-3B8F-47A5-A9C0-703A39F4498F}">
  <dimension ref="A1:AH2779"/>
  <sheetViews>
    <sheetView showGridLines="0" topLeftCell="B7" workbookViewId="0">
      <pane xSplit="1" ySplit="9" topLeftCell="C16" activePane="bottomRight" state="frozen"/>
      <selection pane="topRight" activeCell="C7" sqref="C7"/>
      <selection pane="bottomLeft" activeCell="B16" sqref="B16"/>
      <selection pane="bottomRight" activeCell="D40" sqref="D40"/>
    </sheetView>
  </sheetViews>
  <sheetFormatPr defaultRowHeight="15" x14ac:dyDescent="0.25"/>
  <cols>
    <col min="1" max="1" width="22.42578125" hidden="1" customWidth="1"/>
    <col min="2" max="2" width="49" customWidth="1"/>
  </cols>
  <sheetData>
    <row r="1" spans="1:33" ht="15" customHeight="1" thickBot="1" x14ac:dyDescent="0.3">
      <c r="B1" s="338" t="s">
        <v>606</v>
      </c>
      <c r="C1" s="339">
        <v>2021</v>
      </c>
      <c r="D1" s="339">
        <v>2022</v>
      </c>
      <c r="E1" s="339">
        <v>2023</v>
      </c>
      <c r="F1" s="339">
        <v>2024</v>
      </c>
      <c r="G1" s="339">
        <v>2025</v>
      </c>
      <c r="H1" s="339">
        <v>2026</v>
      </c>
      <c r="I1" s="339">
        <v>2027</v>
      </c>
      <c r="J1" s="339">
        <v>2028</v>
      </c>
      <c r="K1" s="339">
        <v>2029</v>
      </c>
      <c r="L1" s="339">
        <v>2030</v>
      </c>
      <c r="M1" s="339">
        <v>2031</v>
      </c>
      <c r="N1" s="339">
        <v>2032</v>
      </c>
      <c r="O1" s="339">
        <v>2033</v>
      </c>
      <c r="P1" s="339">
        <v>2034</v>
      </c>
      <c r="Q1" s="339">
        <v>2035</v>
      </c>
      <c r="R1" s="339">
        <v>2036</v>
      </c>
      <c r="S1" s="339">
        <v>2037</v>
      </c>
      <c r="T1" s="339">
        <v>2038</v>
      </c>
      <c r="U1" s="339">
        <v>2039</v>
      </c>
      <c r="V1" s="339">
        <v>2040</v>
      </c>
      <c r="W1" s="339">
        <v>2041</v>
      </c>
      <c r="X1" s="339">
        <v>2042</v>
      </c>
      <c r="Y1" s="339">
        <v>2043</v>
      </c>
      <c r="Z1" s="339">
        <v>2044</v>
      </c>
      <c r="AA1" s="339">
        <v>2045</v>
      </c>
      <c r="AB1" s="339">
        <v>2046</v>
      </c>
      <c r="AC1" s="339">
        <v>2047</v>
      </c>
      <c r="AD1" s="339">
        <v>2048</v>
      </c>
      <c r="AE1" s="339">
        <v>2049</v>
      </c>
      <c r="AF1" s="339">
        <v>2050</v>
      </c>
    </row>
    <row r="2" spans="1:33" ht="15" customHeight="1" thickTop="1" x14ac:dyDescent="0.25"/>
    <row r="3" spans="1:33" ht="15" customHeight="1" x14ac:dyDescent="0.25">
      <c r="C3" s="340" t="s">
        <v>607</v>
      </c>
      <c r="D3" s="340" t="s">
        <v>608</v>
      </c>
      <c r="E3" s="340"/>
      <c r="F3" s="340"/>
      <c r="G3" s="340"/>
    </row>
    <row r="4" spans="1:33" ht="15" customHeight="1" x14ac:dyDescent="0.25">
      <c r="C4" s="340" t="s">
        <v>609</v>
      </c>
      <c r="D4" s="340" t="s">
        <v>610</v>
      </c>
      <c r="E4" s="340"/>
      <c r="F4" s="340"/>
      <c r="G4" s="340" t="s">
        <v>611</v>
      </c>
    </row>
    <row r="5" spans="1:33" ht="15" customHeight="1" x14ac:dyDescent="0.25">
      <c r="C5" s="340" t="s">
        <v>612</v>
      </c>
      <c r="D5" s="340" t="s">
        <v>613</v>
      </c>
      <c r="E5" s="340"/>
      <c r="F5" s="340"/>
      <c r="G5" s="340"/>
    </row>
    <row r="6" spans="1:33" ht="15" customHeight="1" x14ac:dyDescent="0.25">
      <c r="C6" s="340" t="s">
        <v>614</v>
      </c>
      <c r="D6" s="340"/>
      <c r="E6" s="340" t="s">
        <v>615</v>
      </c>
      <c r="F6" s="340"/>
      <c r="G6" s="340"/>
    </row>
    <row r="10" spans="1:33" ht="15" customHeight="1" x14ac:dyDescent="0.25">
      <c r="A10" s="341" t="s">
        <v>616</v>
      </c>
      <c r="B10" s="342" t="s">
        <v>617</v>
      </c>
      <c r="AG10" s="343" t="s">
        <v>233</v>
      </c>
    </row>
    <row r="11" spans="1:33" ht="15" customHeight="1" x14ac:dyDescent="0.25">
      <c r="B11" s="338" t="s">
        <v>618</v>
      </c>
      <c r="AG11" s="343" t="s">
        <v>619</v>
      </c>
    </row>
    <row r="12" spans="1:33" ht="15" customHeight="1" x14ac:dyDescent="0.25">
      <c r="B12" s="338"/>
      <c r="C12" s="344"/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3" t="s">
        <v>620</v>
      </c>
    </row>
    <row r="13" spans="1:33" ht="15" customHeight="1" thickBot="1" x14ac:dyDescent="0.3">
      <c r="B13" s="339" t="s">
        <v>621</v>
      </c>
      <c r="C13" s="339">
        <v>2021</v>
      </c>
      <c r="D13" s="339">
        <v>2022</v>
      </c>
      <c r="E13" s="339">
        <v>2023</v>
      </c>
      <c r="F13" s="339">
        <v>2024</v>
      </c>
      <c r="G13" s="339">
        <v>2025</v>
      </c>
      <c r="H13" s="339">
        <v>2026</v>
      </c>
      <c r="I13" s="339">
        <v>2027</v>
      </c>
      <c r="J13" s="339">
        <v>2028</v>
      </c>
      <c r="K13" s="339">
        <v>2029</v>
      </c>
      <c r="L13" s="339">
        <v>2030</v>
      </c>
      <c r="M13" s="339">
        <v>2031</v>
      </c>
      <c r="N13" s="339">
        <v>2032</v>
      </c>
      <c r="O13" s="339">
        <v>2033</v>
      </c>
      <c r="P13" s="339">
        <v>2034</v>
      </c>
      <c r="Q13" s="339">
        <v>2035</v>
      </c>
      <c r="R13" s="339">
        <v>2036</v>
      </c>
      <c r="S13" s="339">
        <v>2037</v>
      </c>
      <c r="T13" s="339">
        <v>2038</v>
      </c>
      <c r="U13" s="339">
        <v>2039</v>
      </c>
      <c r="V13" s="339">
        <v>2040</v>
      </c>
      <c r="W13" s="339">
        <v>2041</v>
      </c>
      <c r="X13" s="339">
        <v>2042</v>
      </c>
      <c r="Y13" s="339">
        <v>2043</v>
      </c>
      <c r="Z13" s="339">
        <v>2044</v>
      </c>
      <c r="AA13" s="339">
        <v>2045</v>
      </c>
      <c r="AB13" s="339">
        <v>2046</v>
      </c>
      <c r="AC13" s="339">
        <v>2047</v>
      </c>
      <c r="AD13" s="339">
        <v>2048</v>
      </c>
      <c r="AE13" s="339">
        <v>2049</v>
      </c>
      <c r="AF13" s="339">
        <v>2050</v>
      </c>
      <c r="AG13" s="345" t="s">
        <v>622</v>
      </c>
    </row>
    <row r="14" spans="1:33" ht="15" customHeight="1" thickTop="1" x14ac:dyDescent="0.25"/>
    <row r="15" spans="1:33" ht="15" customHeight="1" x14ac:dyDescent="0.25">
      <c r="B15" s="346" t="s">
        <v>623</v>
      </c>
      <c r="C15">
        <f>C13</f>
        <v>2021</v>
      </c>
      <c r="D15">
        <f t="shared" ref="D15:AF15" si="0">D13</f>
        <v>2022</v>
      </c>
      <c r="E15">
        <f t="shared" si="0"/>
        <v>2023</v>
      </c>
      <c r="F15">
        <f t="shared" si="0"/>
        <v>2024</v>
      </c>
      <c r="G15">
        <f t="shared" si="0"/>
        <v>2025</v>
      </c>
      <c r="H15">
        <f t="shared" si="0"/>
        <v>2026</v>
      </c>
      <c r="I15">
        <f t="shared" si="0"/>
        <v>2027</v>
      </c>
      <c r="J15">
        <f t="shared" si="0"/>
        <v>2028</v>
      </c>
      <c r="K15">
        <f t="shared" si="0"/>
        <v>2029</v>
      </c>
      <c r="L15">
        <f t="shared" si="0"/>
        <v>2030</v>
      </c>
      <c r="M15">
        <f t="shared" si="0"/>
        <v>2031</v>
      </c>
      <c r="N15">
        <f t="shared" si="0"/>
        <v>2032</v>
      </c>
      <c r="O15">
        <f t="shared" si="0"/>
        <v>2033</v>
      </c>
      <c r="P15">
        <f t="shared" si="0"/>
        <v>2034</v>
      </c>
      <c r="Q15">
        <f t="shared" si="0"/>
        <v>2035</v>
      </c>
      <c r="R15">
        <f t="shared" si="0"/>
        <v>2036</v>
      </c>
      <c r="S15">
        <f t="shared" si="0"/>
        <v>2037</v>
      </c>
      <c r="T15">
        <f t="shared" si="0"/>
        <v>2038</v>
      </c>
      <c r="U15">
        <f t="shared" si="0"/>
        <v>2039</v>
      </c>
      <c r="V15">
        <f t="shared" si="0"/>
        <v>2040</v>
      </c>
      <c r="W15">
        <f t="shared" si="0"/>
        <v>2041</v>
      </c>
      <c r="X15">
        <f t="shared" si="0"/>
        <v>2042</v>
      </c>
      <c r="Y15">
        <f t="shared" si="0"/>
        <v>2043</v>
      </c>
      <c r="Z15">
        <f t="shared" si="0"/>
        <v>2044</v>
      </c>
      <c r="AA15">
        <f t="shared" si="0"/>
        <v>2045</v>
      </c>
      <c r="AB15">
        <f t="shared" si="0"/>
        <v>2046</v>
      </c>
      <c r="AC15">
        <f t="shared" si="0"/>
        <v>2047</v>
      </c>
      <c r="AD15">
        <f t="shared" si="0"/>
        <v>2048</v>
      </c>
      <c r="AE15">
        <f t="shared" si="0"/>
        <v>2049</v>
      </c>
      <c r="AF15">
        <f t="shared" si="0"/>
        <v>2050</v>
      </c>
    </row>
    <row r="16" spans="1:33" ht="15" customHeight="1" x14ac:dyDescent="0.25">
      <c r="A16" s="341" t="s">
        <v>624</v>
      </c>
      <c r="B16" s="347" t="s">
        <v>625</v>
      </c>
      <c r="C16" s="348">
        <v>23.173483000000001</v>
      </c>
      <c r="D16" s="348">
        <v>24.718959999999999</v>
      </c>
      <c r="E16" s="348">
        <v>25.497368000000002</v>
      </c>
      <c r="F16" s="348">
        <v>26.154591</v>
      </c>
      <c r="G16" s="348">
        <v>27.055797999999999</v>
      </c>
      <c r="H16" s="348">
        <v>27.446814</v>
      </c>
      <c r="I16" s="348">
        <v>27.357749999999999</v>
      </c>
      <c r="J16" s="348">
        <v>27.782630999999999</v>
      </c>
      <c r="K16" s="348">
        <v>27.704027</v>
      </c>
      <c r="L16" s="348">
        <v>27.57546</v>
      </c>
      <c r="M16" s="348">
        <v>27.345032</v>
      </c>
      <c r="N16" s="348">
        <v>27.073671000000001</v>
      </c>
      <c r="O16" s="348">
        <v>27.201284000000001</v>
      </c>
      <c r="P16" s="348">
        <v>26.862385</v>
      </c>
      <c r="Q16" s="348">
        <v>26.600777000000001</v>
      </c>
      <c r="R16" s="348">
        <v>26.372246000000001</v>
      </c>
      <c r="S16" s="348">
        <v>26.081237999999999</v>
      </c>
      <c r="T16" s="348">
        <v>25.955031999999999</v>
      </c>
      <c r="U16" s="348">
        <v>25.959454000000001</v>
      </c>
      <c r="V16" s="348">
        <v>26.192076</v>
      </c>
      <c r="W16" s="348">
        <v>26.230937999999998</v>
      </c>
      <c r="X16" s="348">
        <v>26.295432999999999</v>
      </c>
      <c r="Y16" s="348">
        <v>26.138387999999999</v>
      </c>
      <c r="Z16" s="348">
        <v>26.198795</v>
      </c>
      <c r="AA16" s="348">
        <v>26.342886</v>
      </c>
      <c r="AB16" s="348">
        <v>26.481573000000001</v>
      </c>
      <c r="AC16" s="348">
        <v>26.292308999999999</v>
      </c>
      <c r="AD16" s="348">
        <v>26.207750000000001</v>
      </c>
      <c r="AE16" s="348">
        <v>26.556781999999998</v>
      </c>
      <c r="AF16" s="348">
        <v>26.863942999999999</v>
      </c>
      <c r="AG16" s="349">
        <v>5.1089999999999998E-3</v>
      </c>
    </row>
    <row r="17" spans="1:34" ht="15" customHeight="1" x14ac:dyDescent="0.25">
      <c r="A17" s="341" t="s">
        <v>626</v>
      </c>
      <c r="B17" s="347" t="s">
        <v>627</v>
      </c>
      <c r="C17" s="348">
        <v>7.0062150000000001</v>
      </c>
      <c r="D17" s="348">
        <v>7.571612</v>
      </c>
      <c r="E17" s="348">
        <v>7.9118000000000004</v>
      </c>
      <c r="F17" s="348">
        <v>8.0760199999999998</v>
      </c>
      <c r="G17" s="348">
        <v>8.2314190000000007</v>
      </c>
      <c r="H17" s="348">
        <v>8.1831460000000007</v>
      </c>
      <c r="I17" s="348">
        <v>8.1277480000000004</v>
      </c>
      <c r="J17" s="348">
        <v>8.1528170000000006</v>
      </c>
      <c r="K17" s="348">
        <v>8.2261489999999995</v>
      </c>
      <c r="L17" s="348">
        <v>8.2785089999999997</v>
      </c>
      <c r="M17" s="348">
        <v>8.311337</v>
      </c>
      <c r="N17" s="348">
        <v>8.3905910000000006</v>
      </c>
      <c r="O17" s="348">
        <v>8.3840170000000001</v>
      </c>
      <c r="P17" s="348">
        <v>8.4296880000000005</v>
      </c>
      <c r="Q17" s="348">
        <v>8.4338169999999995</v>
      </c>
      <c r="R17" s="348">
        <v>8.4141340000000007</v>
      </c>
      <c r="S17" s="348">
        <v>8.4362630000000003</v>
      </c>
      <c r="T17" s="348">
        <v>8.454561</v>
      </c>
      <c r="U17" s="348">
        <v>8.5408899999999992</v>
      </c>
      <c r="V17" s="348">
        <v>8.5980209999999992</v>
      </c>
      <c r="W17" s="348">
        <v>8.6840469999999996</v>
      </c>
      <c r="X17" s="348">
        <v>8.7282639999999994</v>
      </c>
      <c r="Y17" s="348">
        <v>8.7398109999999996</v>
      </c>
      <c r="Z17" s="348">
        <v>8.8389860000000002</v>
      </c>
      <c r="AA17" s="348">
        <v>8.9019220000000008</v>
      </c>
      <c r="AB17" s="348">
        <v>8.9375420000000005</v>
      </c>
      <c r="AC17" s="348">
        <v>8.9679839999999995</v>
      </c>
      <c r="AD17" s="348">
        <v>8.9143709999999992</v>
      </c>
      <c r="AE17" s="348">
        <v>8.9685649999999999</v>
      </c>
      <c r="AF17" s="348">
        <v>8.9968970000000006</v>
      </c>
      <c r="AG17" s="349">
        <v>8.6610000000000003E-3</v>
      </c>
    </row>
    <row r="18" spans="1:34" ht="15" customHeight="1" x14ac:dyDescent="0.25">
      <c r="A18" s="341" t="s">
        <v>628</v>
      </c>
      <c r="B18" s="347" t="s">
        <v>629</v>
      </c>
      <c r="C18" s="348">
        <v>35.677112999999999</v>
      </c>
      <c r="D18" s="348">
        <v>37.00629</v>
      </c>
      <c r="E18" s="348">
        <v>37.386218999999997</v>
      </c>
      <c r="F18" s="348">
        <v>37.756729</v>
      </c>
      <c r="G18" s="348">
        <v>37.834484000000003</v>
      </c>
      <c r="H18" s="348">
        <v>37.923594999999999</v>
      </c>
      <c r="I18" s="348">
        <v>38.078377000000003</v>
      </c>
      <c r="J18" s="348">
        <v>38.638888999999999</v>
      </c>
      <c r="K18" s="348">
        <v>38.901229999999998</v>
      </c>
      <c r="L18" s="348">
        <v>39.014060999999998</v>
      </c>
      <c r="M18" s="348">
        <v>39.335814999999997</v>
      </c>
      <c r="N18" s="348">
        <v>39.765284999999999</v>
      </c>
      <c r="O18" s="348">
        <v>39.928764000000001</v>
      </c>
      <c r="P18" s="348">
        <v>40.026867000000003</v>
      </c>
      <c r="Q18" s="348">
        <v>40.023518000000003</v>
      </c>
      <c r="R18" s="348">
        <v>40.137062</v>
      </c>
      <c r="S18" s="348">
        <v>40.332740999999999</v>
      </c>
      <c r="T18" s="348">
        <v>40.594585000000002</v>
      </c>
      <c r="U18" s="348">
        <v>40.806216999999997</v>
      </c>
      <c r="V18" s="348">
        <v>41.107716000000003</v>
      </c>
      <c r="W18" s="348">
        <v>41.445438000000003</v>
      </c>
      <c r="X18" s="348">
        <v>41.757412000000002</v>
      </c>
      <c r="Y18" s="348">
        <v>42.016826999999999</v>
      </c>
      <c r="Z18" s="348">
        <v>42.548439000000002</v>
      </c>
      <c r="AA18" s="348">
        <v>42.854004000000003</v>
      </c>
      <c r="AB18" s="348">
        <v>43.109141999999999</v>
      </c>
      <c r="AC18" s="348">
        <v>43.367289999999997</v>
      </c>
      <c r="AD18" s="348">
        <v>43.614924999999999</v>
      </c>
      <c r="AE18" s="348">
        <v>43.823196000000003</v>
      </c>
      <c r="AF18" s="348">
        <v>44.157814000000002</v>
      </c>
      <c r="AG18" s="349">
        <v>7.3810000000000004E-3</v>
      </c>
    </row>
    <row r="19" spans="1:34" ht="15" customHeight="1" x14ac:dyDescent="0.25">
      <c r="A19" s="341" t="s">
        <v>630</v>
      </c>
      <c r="B19" s="347" t="s">
        <v>631</v>
      </c>
      <c r="C19" s="348">
        <v>13.080795</v>
      </c>
      <c r="D19" s="348">
        <v>12.697872</v>
      </c>
      <c r="E19" s="348">
        <v>13.05766</v>
      </c>
      <c r="F19" s="348">
        <v>11.547979</v>
      </c>
      <c r="G19" s="348">
        <v>11.248151</v>
      </c>
      <c r="H19" s="348">
        <v>11.334068</v>
      </c>
      <c r="I19" s="348">
        <v>11.198976999999999</v>
      </c>
      <c r="J19" s="348">
        <v>11.104506000000001</v>
      </c>
      <c r="K19" s="348">
        <v>10.842525</v>
      </c>
      <c r="L19" s="348">
        <v>10.713126000000001</v>
      </c>
      <c r="M19" s="348">
        <v>10.645557999999999</v>
      </c>
      <c r="N19" s="348">
        <v>10.560084</v>
      </c>
      <c r="O19" s="348">
        <v>10.560112</v>
      </c>
      <c r="P19" s="348">
        <v>10.136657</v>
      </c>
      <c r="Q19" s="348">
        <v>9.9907909999999998</v>
      </c>
      <c r="R19" s="348">
        <v>9.7326250000000005</v>
      </c>
      <c r="S19" s="348">
        <v>9.6177499999999991</v>
      </c>
      <c r="T19" s="348">
        <v>9.6234129999999993</v>
      </c>
      <c r="U19" s="348">
        <v>9.5561430000000005</v>
      </c>
      <c r="V19" s="348">
        <v>9.4595149999999997</v>
      </c>
      <c r="W19" s="348">
        <v>9.3932830000000003</v>
      </c>
      <c r="X19" s="348">
        <v>9.3467789999999997</v>
      </c>
      <c r="Y19" s="348">
        <v>9.226521</v>
      </c>
      <c r="Z19" s="348">
        <v>9.1479879999999998</v>
      </c>
      <c r="AA19" s="348">
        <v>9.0831040000000005</v>
      </c>
      <c r="AB19" s="348">
        <v>9.0389999999999997</v>
      </c>
      <c r="AC19" s="348">
        <v>8.9906520000000008</v>
      </c>
      <c r="AD19" s="348">
        <v>8.9896130000000003</v>
      </c>
      <c r="AE19" s="348">
        <v>8.9897150000000003</v>
      </c>
      <c r="AF19" s="348">
        <v>9.0124650000000006</v>
      </c>
      <c r="AG19" s="349">
        <v>-1.2763999999999999E-2</v>
      </c>
    </row>
    <row r="20" spans="1:34" ht="15" customHeight="1" x14ac:dyDescent="0.25">
      <c r="A20" s="341" t="s">
        <v>632</v>
      </c>
      <c r="B20" s="347" t="s">
        <v>633</v>
      </c>
      <c r="C20" s="348">
        <v>8.1211500000000001</v>
      </c>
      <c r="D20" s="348">
        <v>8.1831110000000002</v>
      </c>
      <c r="E20" s="348">
        <v>8.2025790000000001</v>
      </c>
      <c r="F20" s="348">
        <v>8.239058</v>
      </c>
      <c r="G20" s="348">
        <v>8.1638990000000007</v>
      </c>
      <c r="H20" s="348">
        <v>8.0757549999999991</v>
      </c>
      <c r="I20" s="348">
        <v>7.9302669999999997</v>
      </c>
      <c r="J20" s="348">
        <v>7.5376779999999997</v>
      </c>
      <c r="K20" s="348">
        <v>7.4682399999999998</v>
      </c>
      <c r="L20" s="348">
        <v>7.3830489999999998</v>
      </c>
      <c r="M20" s="348">
        <v>7.3944660000000004</v>
      </c>
      <c r="N20" s="348">
        <v>7.4023870000000001</v>
      </c>
      <c r="O20" s="348">
        <v>6.97715</v>
      </c>
      <c r="P20" s="348">
        <v>6.9844030000000004</v>
      </c>
      <c r="Q20" s="348">
        <v>6.9990759999999996</v>
      </c>
      <c r="R20" s="348">
        <v>7.0099830000000001</v>
      </c>
      <c r="S20" s="348">
        <v>6.9454250000000002</v>
      </c>
      <c r="T20" s="348">
        <v>6.9476250000000004</v>
      </c>
      <c r="U20" s="348">
        <v>6.9433559999999996</v>
      </c>
      <c r="V20" s="348">
        <v>6.9481529999999996</v>
      </c>
      <c r="W20" s="348">
        <v>6.9605319999999997</v>
      </c>
      <c r="X20" s="348">
        <v>6.9737629999999999</v>
      </c>
      <c r="Y20" s="348">
        <v>6.982812</v>
      </c>
      <c r="Z20" s="348">
        <v>6.9907719999999998</v>
      </c>
      <c r="AA20" s="348">
        <v>6.9993160000000003</v>
      </c>
      <c r="AB20" s="348">
        <v>7.0037760000000002</v>
      </c>
      <c r="AC20" s="348">
        <v>7.0082190000000004</v>
      </c>
      <c r="AD20" s="348">
        <v>6.9090119999999997</v>
      </c>
      <c r="AE20" s="348">
        <v>6.9123650000000003</v>
      </c>
      <c r="AF20" s="348">
        <v>6.9172060000000002</v>
      </c>
      <c r="AG20" s="349">
        <v>-5.5180000000000003E-3</v>
      </c>
    </row>
    <row r="21" spans="1:34" ht="15" customHeight="1" x14ac:dyDescent="0.25">
      <c r="A21" s="341" t="s">
        <v>634</v>
      </c>
      <c r="B21" s="347" t="s">
        <v>635</v>
      </c>
      <c r="C21" s="348">
        <v>2.2890280000000001</v>
      </c>
      <c r="D21" s="348">
        <v>2.3967839999999998</v>
      </c>
      <c r="E21" s="348">
        <v>2.5171679999999999</v>
      </c>
      <c r="F21" s="348">
        <v>2.608241</v>
      </c>
      <c r="G21" s="348">
        <v>2.559021</v>
      </c>
      <c r="H21" s="348">
        <v>2.532505</v>
      </c>
      <c r="I21" s="348">
        <v>2.5173380000000001</v>
      </c>
      <c r="J21" s="348">
        <v>2.492607</v>
      </c>
      <c r="K21" s="348">
        <v>2.481665</v>
      </c>
      <c r="L21" s="348">
        <v>2.4606750000000002</v>
      </c>
      <c r="M21" s="348">
        <v>2.4493909999999999</v>
      </c>
      <c r="N21" s="348">
        <v>2.4410449999999999</v>
      </c>
      <c r="O21" s="348">
        <v>2.428226</v>
      </c>
      <c r="P21" s="348">
        <v>2.419861</v>
      </c>
      <c r="Q21" s="348">
        <v>2.40219</v>
      </c>
      <c r="R21" s="348">
        <v>2.3892720000000001</v>
      </c>
      <c r="S21" s="348">
        <v>2.3758460000000001</v>
      </c>
      <c r="T21" s="348">
        <v>2.3621409999999998</v>
      </c>
      <c r="U21" s="348">
        <v>2.348846</v>
      </c>
      <c r="V21" s="348">
        <v>2.3479320000000001</v>
      </c>
      <c r="W21" s="348">
        <v>2.3437739999999998</v>
      </c>
      <c r="X21" s="348">
        <v>2.3283559999999999</v>
      </c>
      <c r="Y21" s="348">
        <v>2.313898</v>
      </c>
      <c r="Z21" s="348">
        <v>2.311712</v>
      </c>
      <c r="AA21" s="348">
        <v>2.3028740000000001</v>
      </c>
      <c r="AB21" s="348">
        <v>2.2963979999999999</v>
      </c>
      <c r="AC21" s="348">
        <v>2.29053</v>
      </c>
      <c r="AD21" s="348">
        <v>2.2572459999999999</v>
      </c>
      <c r="AE21" s="348">
        <v>2.2424409999999999</v>
      </c>
      <c r="AF21" s="348">
        <v>2.2397749999999998</v>
      </c>
      <c r="AG21" s="349">
        <v>-7.5000000000000002E-4</v>
      </c>
    </row>
    <row r="22" spans="1:34" ht="15" customHeight="1" x14ac:dyDescent="0.25">
      <c r="A22" s="341" t="s">
        <v>636</v>
      </c>
      <c r="B22" s="347" t="s">
        <v>637</v>
      </c>
      <c r="C22" s="348">
        <v>4.6995639999999996</v>
      </c>
      <c r="D22" s="348">
        <v>4.8605219999999996</v>
      </c>
      <c r="E22" s="348">
        <v>4.780913</v>
      </c>
      <c r="F22" s="348">
        <v>4.7969010000000001</v>
      </c>
      <c r="G22" s="348">
        <v>4.8384600000000004</v>
      </c>
      <c r="H22" s="348">
        <v>4.8504379999999996</v>
      </c>
      <c r="I22" s="348">
        <v>4.8545350000000003</v>
      </c>
      <c r="J22" s="348">
        <v>4.857653</v>
      </c>
      <c r="K22" s="348">
        <v>4.8672139999999997</v>
      </c>
      <c r="L22" s="348">
        <v>4.8842590000000001</v>
      </c>
      <c r="M22" s="348">
        <v>4.8992310000000003</v>
      </c>
      <c r="N22" s="348">
        <v>4.9090759999999998</v>
      </c>
      <c r="O22" s="348">
        <v>4.9207340000000004</v>
      </c>
      <c r="P22" s="348">
        <v>4.927079</v>
      </c>
      <c r="Q22" s="348">
        <v>4.9486619999999997</v>
      </c>
      <c r="R22" s="348">
        <v>4.9522360000000001</v>
      </c>
      <c r="S22" s="348">
        <v>4.9738600000000002</v>
      </c>
      <c r="T22" s="348">
        <v>5.0261009999999997</v>
      </c>
      <c r="U22" s="348">
        <v>5.0460159999999998</v>
      </c>
      <c r="V22" s="348">
        <v>5.081639</v>
      </c>
      <c r="W22" s="348">
        <v>5.1232319999999998</v>
      </c>
      <c r="X22" s="348">
        <v>5.1600950000000001</v>
      </c>
      <c r="Y22" s="348">
        <v>5.2151860000000001</v>
      </c>
      <c r="Z22" s="348">
        <v>5.2665559999999996</v>
      </c>
      <c r="AA22" s="348">
        <v>5.302136</v>
      </c>
      <c r="AB22" s="348">
        <v>5.3510980000000004</v>
      </c>
      <c r="AC22" s="348">
        <v>5.3894849999999996</v>
      </c>
      <c r="AD22" s="348">
        <v>5.4544139999999999</v>
      </c>
      <c r="AE22" s="348">
        <v>5.5039689999999997</v>
      </c>
      <c r="AF22" s="348">
        <v>5.5558529999999999</v>
      </c>
      <c r="AG22" s="349">
        <v>5.7879999999999997E-3</v>
      </c>
    </row>
    <row r="23" spans="1:34" ht="15" customHeight="1" x14ac:dyDescent="0.25">
      <c r="A23" s="341" t="s">
        <v>638</v>
      </c>
      <c r="B23" s="347" t="s">
        <v>639</v>
      </c>
      <c r="C23" s="348">
        <v>4.8375180000000002</v>
      </c>
      <c r="D23" s="348">
        <v>5.5315700000000003</v>
      </c>
      <c r="E23" s="348">
        <v>6.0711469999999998</v>
      </c>
      <c r="F23" s="348">
        <v>7.048057</v>
      </c>
      <c r="G23" s="348">
        <v>7.6961969999999997</v>
      </c>
      <c r="H23" s="348">
        <v>7.9871150000000002</v>
      </c>
      <c r="I23" s="348">
        <v>8.1648899999999998</v>
      </c>
      <c r="J23" s="348">
        <v>8.4470709999999993</v>
      </c>
      <c r="K23" s="348">
        <v>8.9855330000000002</v>
      </c>
      <c r="L23" s="348">
        <v>9.4192999999999998</v>
      </c>
      <c r="M23" s="348">
        <v>9.6682009999999998</v>
      </c>
      <c r="N23" s="348">
        <v>9.8812870000000004</v>
      </c>
      <c r="O23" s="348">
        <v>10.22967</v>
      </c>
      <c r="P23" s="348">
        <v>10.708444999999999</v>
      </c>
      <c r="Q23" s="348">
        <v>11.114723</v>
      </c>
      <c r="R23" s="348">
        <v>11.477456999999999</v>
      </c>
      <c r="S23" s="348">
        <v>11.710376</v>
      </c>
      <c r="T23" s="348">
        <v>11.856728</v>
      </c>
      <c r="U23" s="348">
        <v>12.052443999999999</v>
      </c>
      <c r="V23" s="348">
        <v>12.223924999999999</v>
      </c>
      <c r="W23" s="348">
        <v>12.321215</v>
      </c>
      <c r="X23" s="348">
        <v>12.488827000000001</v>
      </c>
      <c r="Y23" s="348">
        <v>12.741999</v>
      </c>
      <c r="Z23" s="348">
        <v>12.862004000000001</v>
      </c>
      <c r="AA23" s="348">
        <v>13.024609</v>
      </c>
      <c r="AB23" s="348">
        <v>13.209072000000001</v>
      </c>
      <c r="AC23" s="348">
        <v>13.428094</v>
      </c>
      <c r="AD23" s="348">
        <v>13.684735999999999</v>
      </c>
      <c r="AE23" s="348">
        <v>13.945974</v>
      </c>
      <c r="AF23" s="348">
        <v>14.195777</v>
      </c>
      <c r="AG23" s="349">
        <v>3.7819999999999999E-2</v>
      </c>
    </row>
    <row r="24" spans="1:34" ht="15" customHeight="1" x14ac:dyDescent="0.25">
      <c r="A24" s="341" t="s">
        <v>640</v>
      </c>
      <c r="B24" s="347" t="s">
        <v>641</v>
      </c>
      <c r="C24" s="348">
        <v>2.1335760000000001</v>
      </c>
      <c r="D24" s="348">
        <v>1.0129729999999999</v>
      </c>
      <c r="E24" s="348">
        <v>0.89186299999999996</v>
      </c>
      <c r="F24" s="348">
        <v>0.91043300000000005</v>
      </c>
      <c r="G24" s="348">
        <v>0.79186400000000001</v>
      </c>
      <c r="H24" s="348">
        <v>0.90730100000000002</v>
      </c>
      <c r="I24" s="348">
        <v>0.89102199999999998</v>
      </c>
      <c r="J24" s="348">
        <v>0.81895200000000001</v>
      </c>
      <c r="K24" s="348">
        <v>0.79786500000000005</v>
      </c>
      <c r="L24" s="348">
        <v>0.79955200000000004</v>
      </c>
      <c r="M24" s="348">
        <v>0.78735500000000003</v>
      </c>
      <c r="N24" s="348">
        <v>0.66710000000000003</v>
      </c>
      <c r="O24" s="348">
        <v>0.66477799999999998</v>
      </c>
      <c r="P24" s="348">
        <v>0.66735500000000003</v>
      </c>
      <c r="Q24" s="348">
        <v>0.67216900000000002</v>
      </c>
      <c r="R24" s="348">
        <v>0.67508299999999999</v>
      </c>
      <c r="S24" s="348">
        <v>0.68022199999999999</v>
      </c>
      <c r="T24" s="348">
        <v>0.68031799999999998</v>
      </c>
      <c r="U24" s="348">
        <v>0.68044800000000005</v>
      </c>
      <c r="V24" s="348">
        <v>0.67422099999999996</v>
      </c>
      <c r="W24" s="348">
        <v>0.67469199999999996</v>
      </c>
      <c r="X24" s="348">
        <v>0.67234899999999997</v>
      </c>
      <c r="Y24" s="348">
        <v>0.66174100000000002</v>
      </c>
      <c r="Z24" s="348">
        <v>0.66670399999999996</v>
      </c>
      <c r="AA24" s="348">
        <v>0.66200800000000004</v>
      </c>
      <c r="AB24" s="348">
        <v>0.65541899999999997</v>
      </c>
      <c r="AC24" s="348">
        <v>0.65508100000000002</v>
      </c>
      <c r="AD24" s="348">
        <v>0.65375399999999995</v>
      </c>
      <c r="AE24" s="348">
        <v>0.6542</v>
      </c>
      <c r="AF24" s="348">
        <v>0.65100100000000005</v>
      </c>
      <c r="AG24" s="349">
        <v>-4.0106000000000003E-2</v>
      </c>
    </row>
    <row r="25" spans="1:34" ht="15" customHeight="1" x14ac:dyDescent="0.25">
      <c r="A25" s="341" t="s">
        <v>642</v>
      </c>
      <c r="B25" s="346" t="s">
        <v>643</v>
      </c>
      <c r="C25" s="350">
        <v>101.01844</v>
      </c>
      <c r="D25" s="350">
        <v>103.979698</v>
      </c>
      <c r="E25" s="350">
        <v>106.316711</v>
      </c>
      <c r="F25" s="350">
        <v>107.138008</v>
      </c>
      <c r="G25" s="350">
        <v>108.419304</v>
      </c>
      <c r="H25" s="350">
        <v>109.24073799999999</v>
      </c>
      <c r="I25" s="350">
        <v>109.120895</v>
      </c>
      <c r="J25" s="350">
        <v>109.83281700000001</v>
      </c>
      <c r="K25" s="350">
        <v>110.274452</v>
      </c>
      <c r="L25" s="350">
        <v>110.527985</v>
      </c>
      <c r="M25" s="350">
        <v>110.836388</v>
      </c>
      <c r="N25" s="350">
        <v>111.09053</v>
      </c>
      <c r="O25" s="350">
        <v>111.29473900000001</v>
      </c>
      <c r="P25" s="350">
        <v>111.162735</v>
      </c>
      <c r="Q25" s="350">
        <v>111.185722</v>
      </c>
      <c r="R25" s="350">
        <v>111.16010300000001</v>
      </c>
      <c r="S25" s="350">
        <v>111.15372499999999</v>
      </c>
      <c r="T25" s="350">
        <v>111.500511</v>
      </c>
      <c r="U25" s="350">
        <v>111.933815</v>
      </c>
      <c r="V25" s="350">
        <v>112.633202</v>
      </c>
      <c r="W25" s="350">
        <v>113.17714700000001</v>
      </c>
      <c r="X25" s="350">
        <v>113.751282</v>
      </c>
      <c r="Y25" s="350">
        <v>114.03717</v>
      </c>
      <c r="Z25" s="350">
        <v>114.83195499999999</v>
      </c>
      <c r="AA25" s="350">
        <v>115.47286200000001</v>
      </c>
      <c r="AB25" s="350">
        <v>116.083023</v>
      </c>
      <c r="AC25" s="350">
        <v>116.389641</v>
      </c>
      <c r="AD25" s="350">
        <v>116.685822</v>
      </c>
      <c r="AE25" s="350">
        <v>117.59721399999999</v>
      </c>
      <c r="AF25" s="350">
        <v>118.590729</v>
      </c>
      <c r="AG25" s="351">
        <v>5.5449999999999996E-3</v>
      </c>
    </row>
    <row r="26" spans="1:34" ht="15" customHeight="1" x14ac:dyDescent="0.25"/>
    <row r="27" spans="1:34" x14ac:dyDescent="0.25">
      <c r="B27" s="346" t="s">
        <v>644</v>
      </c>
      <c r="C27">
        <f>C13</f>
        <v>2021</v>
      </c>
      <c r="D27">
        <f t="shared" ref="D27:AF27" si="1">D13</f>
        <v>2022</v>
      </c>
      <c r="E27">
        <f t="shared" si="1"/>
        <v>2023</v>
      </c>
      <c r="F27">
        <f t="shared" si="1"/>
        <v>2024</v>
      </c>
      <c r="G27">
        <f t="shared" si="1"/>
        <v>2025</v>
      </c>
      <c r="H27">
        <f t="shared" si="1"/>
        <v>2026</v>
      </c>
      <c r="I27">
        <f t="shared" si="1"/>
        <v>2027</v>
      </c>
      <c r="J27">
        <f t="shared" si="1"/>
        <v>2028</v>
      </c>
      <c r="K27">
        <f t="shared" si="1"/>
        <v>2029</v>
      </c>
      <c r="L27">
        <f t="shared" si="1"/>
        <v>2030</v>
      </c>
      <c r="M27">
        <f t="shared" si="1"/>
        <v>2031</v>
      </c>
      <c r="N27">
        <f t="shared" si="1"/>
        <v>2032</v>
      </c>
      <c r="O27">
        <f t="shared" si="1"/>
        <v>2033</v>
      </c>
      <c r="P27">
        <f t="shared" si="1"/>
        <v>2034</v>
      </c>
      <c r="Q27">
        <f t="shared" si="1"/>
        <v>2035</v>
      </c>
      <c r="R27">
        <f t="shared" si="1"/>
        <v>2036</v>
      </c>
      <c r="S27">
        <f t="shared" si="1"/>
        <v>2037</v>
      </c>
      <c r="T27">
        <f t="shared" si="1"/>
        <v>2038</v>
      </c>
      <c r="U27">
        <f t="shared" si="1"/>
        <v>2039</v>
      </c>
      <c r="V27">
        <f t="shared" si="1"/>
        <v>2040</v>
      </c>
      <c r="W27">
        <f t="shared" si="1"/>
        <v>2041</v>
      </c>
      <c r="X27">
        <f t="shared" si="1"/>
        <v>2042</v>
      </c>
      <c r="Y27">
        <f t="shared" si="1"/>
        <v>2043</v>
      </c>
      <c r="Z27">
        <f t="shared" si="1"/>
        <v>2044</v>
      </c>
      <c r="AA27">
        <f t="shared" si="1"/>
        <v>2045</v>
      </c>
      <c r="AB27">
        <f t="shared" si="1"/>
        <v>2046</v>
      </c>
      <c r="AC27">
        <f t="shared" si="1"/>
        <v>2047</v>
      </c>
      <c r="AD27">
        <f t="shared" si="1"/>
        <v>2048</v>
      </c>
      <c r="AE27">
        <f t="shared" si="1"/>
        <v>2049</v>
      </c>
      <c r="AF27">
        <f t="shared" si="1"/>
        <v>2050</v>
      </c>
    </row>
    <row r="28" spans="1:34" x14ac:dyDescent="0.25">
      <c r="A28" s="341" t="s">
        <v>645</v>
      </c>
      <c r="B28" s="347" t="s">
        <v>646</v>
      </c>
      <c r="C28" s="348">
        <v>36.044361000000002</v>
      </c>
      <c r="D28" s="348">
        <v>37.224972000000001</v>
      </c>
      <c r="E28" s="348">
        <v>37.818272</v>
      </c>
      <c r="F28" s="348">
        <v>37.821902999999999</v>
      </c>
      <c r="G28" s="348">
        <v>37.948394999999998</v>
      </c>
      <c r="H28" s="348">
        <v>38.010570999999999</v>
      </c>
      <c r="I28" s="348">
        <v>37.922511999999998</v>
      </c>
      <c r="J28" s="348">
        <v>37.872149999999998</v>
      </c>
      <c r="K28" s="348">
        <v>37.837966999999999</v>
      </c>
      <c r="L28" s="348">
        <v>37.828014000000003</v>
      </c>
      <c r="M28" s="348">
        <v>37.847389</v>
      </c>
      <c r="N28" s="348">
        <v>37.852668999999999</v>
      </c>
      <c r="O28" s="348">
        <v>37.889983999999998</v>
      </c>
      <c r="P28" s="348">
        <v>37.912601000000002</v>
      </c>
      <c r="Q28" s="348">
        <v>37.928756999999997</v>
      </c>
      <c r="R28" s="348">
        <v>37.977603999999999</v>
      </c>
      <c r="S28" s="348">
        <v>38.092112999999998</v>
      </c>
      <c r="T28" s="348">
        <v>38.168449000000003</v>
      </c>
      <c r="U28" s="348">
        <v>38.289459000000001</v>
      </c>
      <c r="V28" s="348">
        <v>38.363556000000003</v>
      </c>
      <c r="W28" s="348">
        <v>38.490177000000003</v>
      </c>
      <c r="X28" s="348">
        <v>38.626716999999999</v>
      </c>
      <c r="Y28" s="348">
        <v>38.758597999999999</v>
      </c>
      <c r="Z28" s="348">
        <v>38.902782000000002</v>
      </c>
      <c r="AA28" s="348">
        <v>39.068516000000002</v>
      </c>
      <c r="AB28" s="348">
        <v>39.271403999999997</v>
      </c>
      <c r="AC28" s="348">
        <v>39.448132000000001</v>
      </c>
      <c r="AD28" s="348">
        <v>39.59684</v>
      </c>
      <c r="AE28" s="348">
        <v>39.813606</v>
      </c>
      <c r="AF28" s="348">
        <v>40.124302</v>
      </c>
      <c r="AG28" s="349">
        <v>3.705E-3</v>
      </c>
      <c r="AH28" s="353">
        <f>AF28/$AF$38</f>
        <v>0.36919539408749125</v>
      </c>
    </row>
    <row r="29" spans="1:34" x14ac:dyDescent="0.25">
      <c r="A29" s="341" t="s">
        <v>647</v>
      </c>
      <c r="B29" s="347" t="s">
        <v>648</v>
      </c>
      <c r="C29" s="348">
        <v>31.364001999999999</v>
      </c>
      <c r="D29" s="348">
        <v>31.590693000000002</v>
      </c>
      <c r="E29" s="348">
        <v>31.669806000000001</v>
      </c>
      <c r="F29" s="348">
        <v>31.834752999999999</v>
      </c>
      <c r="G29" s="348">
        <v>31.606369000000001</v>
      </c>
      <c r="H29" s="348">
        <v>31.646839</v>
      </c>
      <c r="I29" s="348">
        <v>31.648223999999999</v>
      </c>
      <c r="J29" s="348">
        <v>31.834326000000001</v>
      </c>
      <c r="K29" s="348">
        <v>31.667535999999998</v>
      </c>
      <c r="L29" s="348">
        <v>31.540631999999999</v>
      </c>
      <c r="M29" s="348">
        <v>31.508800999999998</v>
      </c>
      <c r="N29" s="348">
        <v>31.644221999999999</v>
      </c>
      <c r="O29" s="348">
        <v>31.724525</v>
      </c>
      <c r="P29" s="348">
        <v>31.748529000000001</v>
      </c>
      <c r="Q29" s="348">
        <v>31.702368</v>
      </c>
      <c r="R29" s="348">
        <v>31.800056000000001</v>
      </c>
      <c r="S29" s="348">
        <v>32.000366</v>
      </c>
      <c r="T29" s="348">
        <v>32.228591999999999</v>
      </c>
      <c r="U29" s="348">
        <v>32.384529000000001</v>
      </c>
      <c r="V29" s="348">
        <v>32.631245</v>
      </c>
      <c r="W29" s="348">
        <v>32.928466999999998</v>
      </c>
      <c r="X29" s="348">
        <v>33.218964</v>
      </c>
      <c r="Y29" s="348">
        <v>33.452292999999997</v>
      </c>
      <c r="Z29" s="348">
        <v>33.794918000000003</v>
      </c>
      <c r="AA29" s="348">
        <v>34.070728000000003</v>
      </c>
      <c r="AB29" s="348">
        <v>34.311028</v>
      </c>
      <c r="AC29" s="348">
        <v>34.532719</v>
      </c>
      <c r="AD29" s="348">
        <v>34.766818999999998</v>
      </c>
      <c r="AE29" s="348">
        <v>34.970325000000003</v>
      </c>
      <c r="AF29" s="348">
        <v>35.272995000000002</v>
      </c>
      <c r="AG29" s="349">
        <v>4.058E-3</v>
      </c>
      <c r="AH29" s="353">
        <f t="shared" ref="AH29:AH32" si="2">AF29/$AF$38</f>
        <v>0.32455710481072314</v>
      </c>
    </row>
    <row r="30" spans="1:34" x14ac:dyDescent="0.25">
      <c r="A30" s="341" t="s">
        <v>649</v>
      </c>
      <c r="B30" s="347" t="s">
        <v>650</v>
      </c>
      <c r="C30" s="348">
        <v>10.883175</v>
      </c>
      <c r="D30" s="348">
        <v>10.445541</v>
      </c>
      <c r="E30" s="348">
        <v>10.101284</v>
      </c>
      <c r="F30" s="348">
        <v>8.709911</v>
      </c>
      <c r="G30" s="348">
        <v>8.4682560000000002</v>
      </c>
      <c r="H30" s="348">
        <v>8.3823170000000005</v>
      </c>
      <c r="I30" s="348">
        <v>8.3112879999999993</v>
      </c>
      <c r="J30" s="348">
        <v>8.2223109999999995</v>
      </c>
      <c r="K30" s="348">
        <v>7.9810280000000002</v>
      </c>
      <c r="L30" s="348">
        <v>7.8595860000000002</v>
      </c>
      <c r="M30" s="348">
        <v>7.763439</v>
      </c>
      <c r="N30" s="348">
        <v>7.6234830000000002</v>
      </c>
      <c r="O30" s="348">
        <v>7.6946349999999999</v>
      </c>
      <c r="P30" s="348">
        <v>7.3000720000000001</v>
      </c>
      <c r="Q30" s="348">
        <v>7.1232829999999998</v>
      </c>
      <c r="R30" s="348">
        <v>6.8965509999999997</v>
      </c>
      <c r="S30" s="348">
        <v>6.7943470000000001</v>
      </c>
      <c r="T30" s="348">
        <v>6.7756059999999998</v>
      </c>
      <c r="U30" s="348">
        <v>6.7576470000000004</v>
      </c>
      <c r="V30" s="348">
        <v>6.6525119999999998</v>
      </c>
      <c r="W30" s="348">
        <v>6.6026619999999996</v>
      </c>
      <c r="X30" s="348">
        <v>6.549118</v>
      </c>
      <c r="Y30" s="348">
        <v>6.4690919999999998</v>
      </c>
      <c r="Z30" s="348">
        <v>6.3793249999999997</v>
      </c>
      <c r="AA30" s="348">
        <v>6.3075530000000004</v>
      </c>
      <c r="AB30" s="348">
        <v>6.2796469999999998</v>
      </c>
      <c r="AC30" s="348">
        <v>6.2360530000000001</v>
      </c>
      <c r="AD30" s="348">
        <v>6.2113950000000004</v>
      </c>
      <c r="AE30" s="348">
        <v>6.2032030000000002</v>
      </c>
      <c r="AF30" s="348">
        <v>6.2120629999999997</v>
      </c>
      <c r="AG30" s="349">
        <v>-1.915E-2</v>
      </c>
      <c r="AH30" s="353">
        <f t="shared" si="2"/>
        <v>5.7159001728711016E-2</v>
      </c>
    </row>
    <row r="31" spans="1:34" x14ac:dyDescent="0.25">
      <c r="A31" s="341" t="s">
        <v>651</v>
      </c>
      <c r="B31" s="347" t="s">
        <v>605</v>
      </c>
      <c r="C31" s="348">
        <v>8.1211500000000001</v>
      </c>
      <c r="D31" s="348">
        <v>8.1831110000000002</v>
      </c>
      <c r="E31" s="348">
        <v>8.2025790000000001</v>
      </c>
      <c r="F31" s="348">
        <v>8.239058</v>
      </c>
      <c r="G31" s="348">
        <v>8.1638990000000007</v>
      </c>
      <c r="H31" s="348">
        <v>8.0757549999999991</v>
      </c>
      <c r="I31" s="348">
        <v>7.9302669999999997</v>
      </c>
      <c r="J31" s="348">
        <v>7.5376779999999997</v>
      </c>
      <c r="K31" s="348">
        <v>7.4682399999999998</v>
      </c>
      <c r="L31" s="348">
        <v>7.3830489999999998</v>
      </c>
      <c r="M31" s="348">
        <v>7.3944660000000004</v>
      </c>
      <c r="N31" s="348">
        <v>7.4023870000000001</v>
      </c>
      <c r="O31" s="348">
        <v>6.97715</v>
      </c>
      <c r="P31" s="348">
        <v>6.9844030000000004</v>
      </c>
      <c r="Q31" s="348">
        <v>6.9990759999999996</v>
      </c>
      <c r="R31" s="348">
        <v>7.0099830000000001</v>
      </c>
      <c r="S31" s="348">
        <v>6.9454250000000002</v>
      </c>
      <c r="T31" s="348">
        <v>6.9476250000000004</v>
      </c>
      <c r="U31" s="348">
        <v>6.9433559999999996</v>
      </c>
      <c r="V31" s="348">
        <v>6.9481529999999996</v>
      </c>
      <c r="W31" s="348">
        <v>6.9605319999999997</v>
      </c>
      <c r="X31" s="348">
        <v>6.9737629999999999</v>
      </c>
      <c r="Y31" s="348">
        <v>6.982812</v>
      </c>
      <c r="Z31" s="348">
        <v>6.9907719999999998</v>
      </c>
      <c r="AA31" s="348">
        <v>6.9993160000000003</v>
      </c>
      <c r="AB31" s="348">
        <v>7.0037760000000002</v>
      </c>
      <c r="AC31" s="348">
        <v>7.0082190000000004</v>
      </c>
      <c r="AD31" s="348">
        <v>6.9090119999999997</v>
      </c>
      <c r="AE31" s="348">
        <v>6.9123650000000003</v>
      </c>
      <c r="AF31" s="348">
        <v>6.9172060000000002</v>
      </c>
      <c r="AG31" s="349">
        <v>-5.5180000000000003E-3</v>
      </c>
      <c r="AH31" s="353">
        <f t="shared" si="2"/>
        <v>6.3647227935687431E-2</v>
      </c>
    </row>
    <row r="32" spans="1:34" x14ac:dyDescent="0.25">
      <c r="A32" s="341"/>
      <c r="B32" s="347" t="s">
        <v>652</v>
      </c>
      <c r="C32" s="348">
        <f>SUM(C33:C36)</f>
        <v>10.586352999999999</v>
      </c>
      <c r="D32" s="348">
        <f t="shared" ref="D32:AF32" si="3">SUM(D33:D36)</f>
        <v>11.377997000000001</v>
      </c>
      <c r="E32" s="348">
        <f t="shared" si="3"/>
        <v>11.946964999999999</v>
      </c>
      <c r="F32" s="348">
        <f t="shared" si="3"/>
        <v>13.031611</v>
      </c>
      <c r="G32" s="348">
        <f t="shared" si="3"/>
        <v>13.652735</v>
      </c>
      <c r="H32" s="348">
        <f t="shared" si="3"/>
        <v>13.931640999999999</v>
      </c>
      <c r="I32" s="348">
        <f t="shared" si="3"/>
        <v>14.109070999999998</v>
      </c>
      <c r="J32" s="348">
        <f t="shared" si="3"/>
        <v>14.374713999999999</v>
      </c>
      <c r="K32" s="348">
        <f t="shared" si="3"/>
        <v>14.915314</v>
      </c>
      <c r="L32" s="348">
        <f t="shared" si="3"/>
        <v>15.344276000000001</v>
      </c>
      <c r="M32" s="348">
        <f t="shared" si="3"/>
        <v>15.587249</v>
      </c>
      <c r="N32" s="348">
        <f t="shared" si="3"/>
        <v>15.802173999999999</v>
      </c>
      <c r="O32" s="348">
        <f t="shared" si="3"/>
        <v>16.141524</v>
      </c>
      <c r="P32" s="348">
        <f t="shared" si="3"/>
        <v>16.619517000000002</v>
      </c>
      <c r="Q32" s="348">
        <f t="shared" si="3"/>
        <v>17.004774999999999</v>
      </c>
      <c r="R32" s="348">
        <f t="shared" si="3"/>
        <v>17.355214999999998</v>
      </c>
      <c r="S32" s="348">
        <f t="shared" si="3"/>
        <v>17.580897</v>
      </c>
      <c r="T32" s="348">
        <f t="shared" si="3"/>
        <v>17.725215000000002</v>
      </c>
      <c r="U32" s="348">
        <f t="shared" si="3"/>
        <v>17.920308000000002</v>
      </c>
      <c r="V32" s="348">
        <f t="shared" si="3"/>
        <v>18.109774999999999</v>
      </c>
      <c r="W32" s="348">
        <f t="shared" si="3"/>
        <v>18.213851000000002</v>
      </c>
      <c r="X32" s="348">
        <f t="shared" si="3"/>
        <v>18.380528000000002</v>
      </c>
      <c r="Y32" s="348">
        <f t="shared" si="3"/>
        <v>18.635282</v>
      </c>
      <c r="Z32" s="348">
        <f t="shared" si="3"/>
        <v>18.771842000000003</v>
      </c>
      <c r="AA32" s="348">
        <f t="shared" si="3"/>
        <v>18.937435000000001</v>
      </c>
      <c r="AB32" s="348">
        <f t="shared" si="3"/>
        <v>19.136748000000001</v>
      </c>
      <c r="AC32" s="348">
        <f t="shared" si="3"/>
        <v>19.367623999999999</v>
      </c>
      <c r="AD32" s="348">
        <f t="shared" si="3"/>
        <v>19.614006</v>
      </c>
      <c r="AE32" s="348">
        <f t="shared" si="3"/>
        <v>19.879768000000002</v>
      </c>
      <c r="AF32" s="348">
        <f t="shared" si="3"/>
        <v>20.153828000000001</v>
      </c>
      <c r="AG32" s="349"/>
      <c r="AH32" s="353">
        <f t="shared" si="2"/>
        <v>0.18544124383351307</v>
      </c>
    </row>
    <row r="33" spans="1:33" hidden="1" x14ac:dyDescent="0.25">
      <c r="A33" s="341" t="s">
        <v>653</v>
      </c>
      <c r="B33" s="347" t="s">
        <v>635</v>
      </c>
      <c r="C33" s="348">
        <v>2.2890280000000001</v>
      </c>
      <c r="D33" s="348">
        <v>2.3967839999999998</v>
      </c>
      <c r="E33" s="348">
        <v>2.5171679999999999</v>
      </c>
      <c r="F33" s="348">
        <v>2.608241</v>
      </c>
      <c r="G33" s="348">
        <v>2.559021</v>
      </c>
      <c r="H33" s="348">
        <v>2.532505</v>
      </c>
      <c r="I33" s="348">
        <v>2.5173380000000001</v>
      </c>
      <c r="J33" s="348">
        <v>2.492607</v>
      </c>
      <c r="K33" s="348">
        <v>2.481665</v>
      </c>
      <c r="L33" s="348">
        <v>2.4606750000000002</v>
      </c>
      <c r="M33" s="348">
        <v>2.4493909999999999</v>
      </c>
      <c r="N33" s="348">
        <v>2.4410449999999999</v>
      </c>
      <c r="O33" s="348">
        <v>2.428226</v>
      </c>
      <c r="P33" s="348">
        <v>2.419861</v>
      </c>
      <c r="Q33" s="348">
        <v>2.40219</v>
      </c>
      <c r="R33" s="348">
        <v>2.3892720000000001</v>
      </c>
      <c r="S33" s="348">
        <v>2.3758460000000001</v>
      </c>
      <c r="T33" s="348">
        <v>2.3621409999999998</v>
      </c>
      <c r="U33" s="348">
        <v>2.348846</v>
      </c>
      <c r="V33" s="348">
        <v>2.3479320000000001</v>
      </c>
      <c r="W33" s="348">
        <v>2.3437739999999998</v>
      </c>
      <c r="X33" s="348">
        <v>2.3283559999999999</v>
      </c>
      <c r="Y33" s="348">
        <v>2.313898</v>
      </c>
      <c r="Z33" s="348">
        <v>2.311712</v>
      </c>
      <c r="AA33" s="348">
        <v>2.3028740000000001</v>
      </c>
      <c r="AB33" s="348">
        <v>2.2963979999999999</v>
      </c>
      <c r="AC33" s="348">
        <v>2.29053</v>
      </c>
      <c r="AD33" s="348">
        <v>2.2572459999999999</v>
      </c>
      <c r="AE33" s="348">
        <v>2.2424409999999999</v>
      </c>
      <c r="AF33" s="348">
        <v>2.2397749999999998</v>
      </c>
      <c r="AG33" s="349">
        <v>-7.5000000000000002E-4</v>
      </c>
    </row>
    <row r="34" spans="1:33" hidden="1" x14ac:dyDescent="0.25">
      <c r="A34" s="341" t="s">
        <v>654</v>
      </c>
      <c r="B34" s="347" t="s">
        <v>655</v>
      </c>
      <c r="C34" s="348">
        <v>3.1231010000000001</v>
      </c>
      <c r="D34" s="348">
        <v>3.1651180000000001</v>
      </c>
      <c r="E34" s="348">
        <v>3.0964849999999999</v>
      </c>
      <c r="F34" s="348">
        <v>3.1100829999999999</v>
      </c>
      <c r="G34" s="348">
        <v>3.1420189999999999</v>
      </c>
      <c r="H34" s="348">
        <v>3.1514530000000001</v>
      </c>
      <c r="I34" s="348">
        <v>3.152345</v>
      </c>
      <c r="J34" s="348">
        <v>3.1522670000000002</v>
      </c>
      <c r="K34" s="348">
        <v>3.162369</v>
      </c>
      <c r="L34" s="348">
        <v>3.172193</v>
      </c>
      <c r="M34" s="348">
        <v>3.1847810000000001</v>
      </c>
      <c r="N34" s="348">
        <v>3.1909939999999999</v>
      </c>
      <c r="O34" s="348">
        <v>3.1990440000000002</v>
      </c>
      <c r="P34" s="348">
        <v>3.2014849999999999</v>
      </c>
      <c r="Q34" s="348">
        <v>3.202966</v>
      </c>
      <c r="R34" s="348">
        <v>3.2063459999999999</v>
      </c>
      <c r="S34" s="348">
        <v>3.2146880000000002</v>
      </c>
      <c r="T34" s="348">
        <v>3.2252890000000001</v>
      </c>
      <c r="U34" s="348">
        <v>3.2349190000000001</v>
      </c>
      <c r="V34" s="348">
        <v>3.25265</v>
      </c>
      <c r="W34" s="348">
        <v>3.2680359999999999</v>
      </c>
      <c r="X34" s="348">
        <v>3.2848929999999998</v>
      </c>
      <c r="Y34" s="348">
        <v>3.3033419999999998</v>
      </c>
      <c r="Z34" s="348">
        <v>3.319197</v>
      </c>
      <c r="AA34" s="348">
        <v>3.3341270000000001</v>
      </c>
      <c r="AB34" s="348">
        <v>3.3547530000000001</v>
      </c>
      <c r="AC34" s="348">
        <v>3.3722750000000001</v>
      </c>
      <c r="AD34" s="348">
        <v>3.3945609999999999</v>
      </c>
      <c r="AE34" s="348">
        <v>3.4135680000000002</v>
      </c>
      <c r="AF34" s="348">
        <v>3.4399540000000002</v>
      </c>
      <c r="AG34" s="349">
        <v>3.3379999999999998E-3</v>
      </c>
    </row>
    <row r="35" spans="1:33" hidden="1" x14ac:dyDescent="0.25">
      <c r="A35" s="341" t="s">
        <v>656</v>
      </c>
      <c r="B35" s="347" t="s">
        <v>639</v>
      </c>
      <c r="C35" s="348">
        <v>4.8375180000000002</v>
      </c>
      <c r="D35" s="348">
        <v>5.5315700000000003</v>
      </c>
      <c r="E35" s="348">
        <v>6.0711469999999998</v>
      </c>
      <c r="F35" s="348">
        <v>7.048057</v>
      </c>
      <c r="G35" s="348">
        <v>7.6961969999999997</v>
      </c>
      <c r="H35" s="348">
        <v>7.9871150000000002</v>
      </c>
      <c r="I35" s="348">
        <v>8.1648899999999998</v>
      </c>
      <c r="J35" s="348">
        <v>8.4470709999999993</v>
      </c>
      <c r="K35" s="348">
        <v>8.9855330000000002</v>
      </c>
      <c r="L35" s="348">
        <v>9.4192999999999998</v>
      </c>
      <c r="M35" s="348">
        <v>9.6682009999999998</v>
      </c>
      <c r="N35" s="348">
        <v>9.8812870000000004</v>
      </c>
      <c r="O35" s="348">
        <v>10.22967</v>
      </c>
      <c r="P35" s="348">
        <v>10.708444999999999</v>
      </c>
      <c r="Q35" s="348">
        <v>11.114723</v>
      </c>
      <c r="R35" s="348">
        <v>11.477456999999999</v>
      </c>
      <c r="S35" s="348">
        <v>11.710376</v>
      </c>
      <c r="T35" s="348">
        <v>11.856728</v>
      </c>
      <c r="U35" s="348">
        <v>12.052443999999999</v>
      </c>
      <c r="V35" s="348">
        <v>12.223924999999999</v>
      </c>
      <c r="W35" s="348">
        <v>12.321215</v>
      </c>
      <c r="X35" s="348">
        <v>12.488827000000001</v>
      </c>
      <c r="Y35" s="348">
        <v>12.741999</v>
      </c>
      <c r="Z35" s="348">
        <v>12.862004000000001</v>
      </c>
      <c r="AA35" s="348">
        <v>13.024609</v>
      </c>
      <c r="AB35" s="348">
        <v>13.209072000000001</v>
      </c>
      <c r="AC35" s="348">
        <v>13.428094</v>
      </c>
      <c r="AD35" s="348">
        <v>13.684735999999999</v>
      </c>
      <c r="AE35" s="348">
        <v>13.945974</v>
      </c>
      <c r="AF35" s="348">
        <v>14.195777</v>
      </c>
      <c r="AG35" s="349">
        <v>3.7819999999999999E-2</v>
      </c>
    </row>
    <row r="36" spans="1:33" ht="15" hidden="1" customHeight="1" x14ac:dyDescent="0.25">
      <c r="A36" s="341" t="s">
        <v>657</v>
      </c>
      <c r="B36" s="347" t="s">
        <v>658</v>
      </c>
      <c r="C36" s="348">
        <v>0.33670600000000001</v>
      </c>
      <c r="D36" s="348">
        <v>0.28452499999999997</v>
      </c>
      <c r="E36" s="348">
        <v>0.26216499999999998</v>
      </c>
      <c r="F36" s="348">
        <v>0.26523000000000002</v>
      </c>
      <c r="G36" s="348">
        <v>0.255498</v>
      </c>
      <c r="H36" s="348">
        <v>0.26056800000000002</v>
      </c>
      <c r="I36" s="348">
        <v>0.27449800000000002</v>
      </c>
      <c r="J36" s="348">
        <v>0.28276899999999999</v>
      </c>
      <c r="K36" s="348">
        <v>0.28574699999999997</v>
      </c>
      <c r="L36" s="348">
        <v>0.29210799999999998</v>
      </c>
      <c r="M36" s="348">
        <v>0.28487600000000002</v>
      </c>
      <c r="N36" s="348">
        <v>0.28884799999999999</v>
      </c>
      <c r="O36" s="348">
        <v>0.284584</v>
      </c>
      <c r="P36" s="348">
        <v>0.28972599999999998</v>
      </c>
      <c r="Q36" s="348">
        <v>0.28489599999999998</v>
      </c>
      <c r="R36" s="348">
        <v>0.28214</v>
      </c>
      <c r="S36" s="348">
        <v>0.27998699999999999</v>
      </c>
      <c r="T36" s="348">
        <v>0.281057</v>
      </c>
      <c r="U36" s="348">
        <v>0.28409899999999999</v>
      </c>
      <c r="V36" s="348">
        <v>0.28526800000000002</v>
      </c>
      <c r="W36" s="348">
        <v>0.28082600000000002</v>
      </c>
      <c r="X36" s="348">
        <v>0.27845199999999998</v>
      </c>
      <c r="Y36" s="348">
        <v>0.27604299999999998</v>
      </c>
      <c r="Z36" s="348">
        <v>0.27892899999999998</v>
      </c>
      <c r="AA36" s="348">
        <v>0.27582499999999999</v>
      </c>
      <c r="AB36" s="348">
        <v>0.27652500000000002</v>
      </c>
      <c r="AC36" s="348">
        <v>0.276725</v>
      </c>
      <c r="AD36" s="348">
        <v>0.27746300000000002</v>
      </c>
      <c r="AE36" s="348">
        <v>0.277785</v>
      </c>
      <c r="AF36" s="348">
        <v>0.27832200000000001</v>
      </c>
      <c r="AG36" s="349">
        <v>-6.5449999999999996E-3</v>
      </c>
    </row>
    <row r="37" spans="1:33" ht="15" hidden="1" customHeight="1" x14ac:dyDescent="0.25">
      <c r="A37" s="341"/>
      <c r="B37" s="347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48"/>
      <c r="AF37" s="348"/>
      <c r="AG37" s="349"/>
    </row>
    <row r="38" spans="1:33" ht="15" customHeight="1" x14ac:dyDescent="0.25">
      <c r="A38" s="341" t="s">
        <v>659</v>
      </c>
      <c r="B38" s="346" t="s">
        <v>660</v>
      </c>
      <c r="C38" s="350">
        <v>96.999038999999996</v>
      </c>
      <c r="D38" s="350">
        <v>98.822310999999999</v>
      </c>
      <c r="E38" s="350">
        <v>99.738892000000007</v>
      </c>
      <c r="F38" s="350">
        <v>99.637230000000002</v>
      </c>
      <c r="G38" s="350">
        <v>99.839661000000007</v>
      </c>
      <c r="H38" s="350">
        <v>100.047112</v>
      </c>
      <c r="I38" s="350">
        <v>99.921363999999997</v>
      </c>
      <c r="J38" s="350">
        <v>99.841187000000005</v>
      </c>
      <c r="K38" s="350">
        <v>99.870079000000004</v>
      </c>
      <c r="L38" s="350">
        <v>99.955558999999994</v>
      </c>
      <c r="M38" s="350">
        <v>100.10133399999999</v>
      </c>
      <c r="N38" s="350">
        <v>100.32493599999999</v>
      </c>
      <c r="O38" s="350">
        <v>100.42781100000001</v>
      </c>
      <c r="P38" s="350">
        <v>100.56512499999999</v>
      </c>
      <c r="Q38" s="350">
        <v>100.758263</v>
      </c>
      <c r="R38" s="350">
        <v>101.039421</v>
      </c>
      <c r="S38" s="350">
        <v>101.413155</v>
      </c>
      <c r="T38" s="350">
        <v>101.84549</v>
      </c>
      <c r="U38" s="350">
        <v>102.295288</v>
      </c>
      <c r="V38" s="350">
        <v>102.705231</v>
      </c>
      <c r="W38" s="350">
        <v>103.195679</v>
      </c>
      <c r="X38" s="350">
        <v>103.749084</v>
      </c>
      <c r="Y38" s="350">
        <v>104.29808</v>
      </c>
      <c r="Z38" s="350">
        <v>104.839645</v>
      </c>
      <c r="AA38" s="350">
        <v>105.383545</v>
      </c>
      <c r="AB38" s="350">
        <v>106.002594</v>
      </c>
      <c r="AC38" s="350">
        <v>106.592743</v>
      </c>
      <c r="AD38" s="350">
        <v>107.098083</v>
      </c>
      <c r="AE38" s="350">
        <v>107.779274</v>
      </c>
      <c r="AF38" s="350">
        <v>108.680397</v>
      </c>
      <c r="AG38" s="351">
        <v>3.9290000000000002E-3</v>
      </c>
    </row>
    <row r="39" spans="1:33" ht="15" customHeight="1" x14ac:dyDescent="0.25"/>
    <row r="40" spans="1:33" ht="15" customHeight="1" x14ac:dyDescent="0.25">
      <c r="B40" s="346"/>
      <c r="AF40">
        <f>AF32/AF38</f>
        <v>0.18544124383351307</v>
      </c>
    </row>
    <row r="41" spans="1:33" ht="15" customHeight="1" x14ac:dyDescent="0.25"/>
    <row r="42" spans="1:33" ht="15" customHeight="1" x14ac:dyDescent="0.25"/>
    <row r="43" spans="1:33" x14ac:dyDescent="0.25">
      <c r="B43" s="352"/>
    </row>
    <row r="44" spans="1:33" ht="15" customHeight="1" x14ac:dyDescent="0.25"/>
    <row r="45" spans="1:33" ht="15" customHeight="1" x14ac:dyDescent="0.25"/>
    <row r="46" spans="1:33" ht="15" customHeight="1" x14ac:dyDescent="0.25"/>
    <row r="47" spans="1:33" ht="15" customHeight="1" x14ac:dyDescent="0.25"/>
    <row r="48" spans="1:33" ht="15" customHeight="1" x14ac:dyDescent="0.25"/>
    <row r="49" spans="2:33" ht="15" customHeight="1" x14ac:dyDescent="0.25"/>
    <row r="50" spans="2:33" ht="15" customHeight="1" x14ac:dyDescent="0.25">
      <c r="B50" s="369"/>
      <c r="C50" s="369"/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9"/>
      <c r="AD50" s="369"/>
      <c r="AE50" s="369"/>
      <c r="AF50" s="369"/>
      <c r="AG50" s="369"/>
    </row>
    <row r="51" spans="2:33" ht="15" customHeight="1" x14ac:dyDescent="0.25"/>
    <row r="52" spans="2:33" ht="15" customHeight="1" x14ac:dyDescent="0.25"/>
    <row r="53" spans="2:33" ht="15" customHeight="1" x14ac:dyDescent="0.25"/>
    <row r="54" spans="2:33" ht="15" customHeight="1" x14ac:dyDescent="0.25"/>
    <row r="55" spans="2:33" ht="15" customHeight="1" x14ac:dyDescent="0.25"/>
    <row r="56" spans="2:33" ht="15" customHeight="1" x14ac:dyDescent="0.25"/>
    <row r="57" spans="2:33" ht="15" customHeight="1" x14ac:dyDescent="0.25"/>
    <row r="58" spans="2:33" ht="15" customHeight="1" x14ac:dyDescent="0.25"/>
    <row r="59" spans="2:33" ht="15" customHeight="1" x14ac:dyDescent="0.25"/>
    <row r="60" spans="2:33" ht="15" customHeight="1" x14ac:dyDescent="0.25"/>
    <row r="61" spans="2:33" ht="15" customHeight="1" x14ac:dyDescent="0.25"/>
    <row r="62" spans="2:33" ht="15" customHeight="1" x14ac:dyDescent="0.25"/>
    <row r="63" spans="2:33" ht="15" customHeight="1" x14ac:dyDescent="0.25"/>
    <row r="64" spans="2:33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2" ht="15" customHeight="1" x14ac:dyDescent="0.25"/>
    <row r="163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8" ht="15" customHeight="1" x14ac:dyDescent="0.25"/>
    <row r="239" ht="15" customHeight="1" x14ac:dyDescent="0.25"/>
    <row r="240" ht="15" customHeight="1" x14ac:dyDescent="0.25"/>
    <row r="241" spans="2:33" ht="15" customHeight="1" x14ac:dyDescent="0.25"/>
    <row r="242" spans="2:33" ht="15" customHeight="1" x14ac:dyDescent="0.25"/>
    <row r="243" spans="2:33" ht="15" customHeight="1" x14ac:dyDescent="0.25"/>
    <row r="244" spans="2:33" ht="15" customHeight="1" x14ac:dyDescent="0.25"/>
    <row r="245" spans="2:33" ht="15" customHeight="1" x14ac:dyDescent="0.25"/>
    <row r="246" spans="2:33" ht="15" customHeight="1" x14ac:dyDescent="0.25">
      <c r="B246" s="369"/>
      <c r="C246" s="369"/>
      <c r="D246" s="369"/>
      <c r="E246" s="369"/>
      <c r="F246" s="369"/>
      <c r="G246" s="369"/>
      <c r="H246" s="369"/>
      <c r="I246" s="369"/>
      <c r="J246" s="369"/>
      <c r="K246" s="369"/>
      <c r="L246" s="369"/>
      <c r="M246" s="369"/>
      <c r="N246" s="369"/>
      <c r="O246" s="369"/>
      <c r="P246" s="369"/>
      <c r="Q246" s="369"/>
      <c r="R246" s="369"/>
      <c r="S246" s="369"/>
      <c r="T246" s="369"/>
      <c r="U246" s="369"/>
      <c r="V246" s="369"/>
      <c r="W246" s="369"/>
      <c r="X246" s="369"/>
      <c r="Y246" s="369"/>
      <c r="Z246" s="369"/>
      <c r="AA246" s="369"/>
      <c r="AB246" s="369"/>
      <c r="AC246" s="369"/>
      <c r="AD246" s="369"/>
      <c r="AE246" s="369"/>
      <c r="AF246" s="369"/>
      <c r="AG246" s="369"/>
    </row>
    <row r="247" spans="2:33" ht="15" customHeight="1" x14ac:dyDescent="0.25"/>
    <row r="248" spans="2:33" ht="15" customHeight="1" x14ac:dyDescent="0.25"/>
    <row r="249" spans="2:33" ht="15" customHeight="1" x14ac:dyDescent="0.25"/>
    <row r="250" spans="2:33" ht="15" customHeight="1" x14ac:dyDescent="0.25"/>
    <row r="251" spans="2:33" ht="15" customHeight="1" x14ac:dyDescent="0.25"/>
    <row r="252" spans="2:33" ht="15" customHeight="1" x14ac:dyDescent="0.25"/>
    <row r="253" spans="2:33" ht="15" customHeight="1" x14ac:dyDescent="0.25"/>
    <row r="254" spans="2:33" ht="15" customHeight="1" x14ac:dyDescent="0.25"/>
    <row r="255" spans="2:33" ht="15" customHeight="1" x14ac:dyDescent="0.25"/>
    <row r="256" spans="2:33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8" ht="15" customHeight="1" x14ac:dyDescent="0.25"/>
    <row r="449" spans="2:33" ht="15" customHeight="1" x14ac:dyDescent="0.25">
      <c r="B449" s="369"/>
      <c r="C449" s="369"/>
      <c r="D449" s="369"/>
      <c r="E449" s="369"/>
      <c r="F449" s="369"/>
      <c r="G449" s="369"/>
      <c r="H449" s="369"/>
      <c r="I449" s="369"/>
      <c r="J449" s="369"/>
      <c r="K449" s="369"/>
      <c r="L449" s="369"/>
      <c r="M449" s="369"/>
      <c r="N449" s="369"/>
      <c r="O449" s="369"/>
      <c r="P449" s="369"/>
      <c r="Q449" s="369"/>
      <c r="R449" s="369"/>
      <c r="S449" s="369"/>
      <c r="T449" s="369"/>
      <c r="U449" s="369"/>
      <c r="V449" s="369"/>
      <c r="W449" s="369"/>
      <c r="X449" s="369"/>
      <c r="Y449" s="369"/>
      <c r="Z449" s="369"/>
      <c r="AA449" s="369"/>
      <c r="AB449" s="369"/>
      <c r="AC449" s="369"/>
      <c r="AD449" s="369"/>
      <c r="AE449" s="369"/>
      <c r="AF449" s="369"/>
      <c r="AG449" s="369"/>
    </row>
    <row r="450" spans="2:33" ht="15" customHeight="1" x14ac:dyDescent="0.25"/>
    <row r="451" spans="2:33" ht="15" customHeight="1" x14ac:dyDescent="0.25"/>
    <row r="452" spans="2:33" ht="15" customHeight="1" x14ac:dyDescent="0.25"/>
    <row r="453" spans="2:33" ht="15" customHeight="1" x14ac:dyDescent="0.25"/>
    <row r="454" spans="2:33" ht="15" customHeight="1" x14ac:dyDescent="0.25"/>
    <row r="455" spans="2:33" ht="15" customHeight="1" x14ac:dyDescent="0.25"/>
    <row r="456" spans="2:33" ht="15" customHeight="1" x14ac:dyDescent="0.25"/>
    <row r="457" spans="2:33" ht="15" customHeight="1" x14ac:dyDescent="0.25"/>
    <row r="458" spans="2:33" ht="15" customHeight="1" x14ac:dyDescent="0.25"/>
    <row r="459" spans="2:33" ht="15" customHeight="1" x14ac:dyDescent="0.25"/>
    <row r="460" spans="2:33" ht="15" customHeight="1" x14ac:dyDescent="0.25"/>
    <row r="461" spans="2:33" ht="15" customHeight="1" x14ac:dyDescent="0.25"/>
    <row r="462" spans="2:33" ht="15" customHeight="1" x14ac:dyDescent="0.25"/>
    <row r="463" spans="2:33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5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7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8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8" ht="15" customHeight="1" x14ac:dyDescent="0.25"/>
    <row r="639" ht="15" customHeight="1" x14ac:dyDescent="0.25"/>
    <row r="640" ht="15" customHeight="1" x14ac:dyDescent="0.25"/>
    <row r="641" spans="2:33" ht="15" customHeight="1" x14ac:dyDescent="0.25"/>
    <row r="642" spans="2:33" ht="15" customHeight="1" x14ac:dyDescent="0.25"/>
    <row r="643" spans="2:33" ht="15" customHeight="1" x14ac:dyDescent="0.25"/>
    <row r="644" spans="2:33" ht="15" customHeight="1" x14ac:dyDescent="0.25"/>
    <row r="645" spans="2:33" ht="15" customHeight="1" x14ac:dyDescent="0.25"/>
    <row r="646" spans="2:33" ht="15" customHeight="1" x14ac:dyDescent="0.25"/>
    <row r="647" spans="2:33" ht="15" customHeight="1" x14ac:dyDescent="0.25"/>
    <row r="648" spans="2:33" ht="15" customHeight="1" x14ac:dyDescent="0.25"/>
    <row r="649" spans="2:33" ht="15" customHeight="1" x14ac:dyDescent="0.25"/>
    <row r="650" spans="2:33" ht="15" customHeight="1" x14ac:dyDescent="0.25">
      <c r="B650" s="369"/>
      <c r="C650" s="369"/>
      <c r="D650" s="369"/>
      <c r="E650" s="369"/>
      <c r="F650" s="369"/>
      <c r="G650" s="369"/>
      <c r="H650" s="369"/>
      <c r="I650" s="369"/>
      <c r="J650" s="369"/>
      <c r="K650" s="369"/>
      <c r="L650" s="369"/>
      <c r="M650" s="369"/>
      <c r="N650" s="369"/>
      <c r="O650" s="369"/>
      <c r="P650" s="369"/>
      <c r="Q650" s="369"/>
      <c r="R650" s="369"/>
      <c r="S650" s="369"/>
      <c r="T650" s="369"/>
      <c r="U650" s="369"/>
      <c r="V650" s="369"/>
      <c r="W650" s="369"/>
      <c r="X650" s="369"/>
      <c r="Y650" s="369"/>
      <c r="Z650" s="369"/>
      <c r="AA650" s="369"/>
      <c r="AB650" s="369"/>
      <c r="AC650" s="369"/>
      <c r="AD650" s="369"/>
      <c r="AE650" s="369"/>
      <c r="AF650" s="369"/>
      <c r="AG650" s="369"/>
    </row>
    <row r="651" spans="2:33" ht="15" customHeight="1" x14ac:dyDescent="0.25"/>
    <row r="652" spans="2:33" ht="15" customHeight="1" x14ac:dyDescent="0.25"/>
    <row r="653" spans="2:33" ht="15" customHeight="1" x14ac:dyDescent="0.25"/>
    <row r="654" spans="2:33" ht="15" customHeight="1" x14ac:dyDescent="0.25"/>
    <row r="655" spans="2:33" ht="15" customHeight="1" x14ac:dyDescent="0.25"/>
    <row r="656" spans="2:33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60" ht="15" customHeight="1" x14ac:dyDescent="0.25"/>
    <row r="761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8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spans="2:33" ht="15" customHeight="1" x14ac:dyDescent="0.25"/>
    <row r="818" spans="2:33" ht="15" customHeight="1" x14ac:dyDescent="0.25"/>
    <row r="819" spans="2:33" ht="15" customHeight="1" x14ac:dyDescent="0.25"/>
    <row r="820" spans="2:33" ht="15" customHeight="1" x14ac:dyDescent="0.25"/>
    <row r="821" spans="2:33" ht="15" customHeight="1" x14ac:dyDescent="0.25"/>
    <row r="822" spans="2:33" ht="15" customHeight="1" x14ac:dyDescent="0.25"/>
    <row r="823" spans="2:33" ht="15" customHeight="1" x14ac:dyDescent="0.25"/>
    <row r="824" spans="2:33" ht="15" customHeight="1" x14ac:dyDescent="0.25"/>
    <row r="825" spans="2:33" ht="15" customHeight="1" x14ac:dyDescent="0.25">
      <c r="B825" s="369"/>
      <c r="C825" s="369"/>
      <c r="D825" s="369"/>
      <c r="E825" s="369"/>
      <c r="F825" s="369"/>
      <c r="G825" s="369"/>
      <c r="H825" s="369"/>
      <c r="I825" s="369"/>
      <c r="J825" s="369"/>
      <c r="K825" s="369"/>
      <c r="L825" s="369"/>
      <c r="M825" s="369"/>
      <c r="N825" s="369"/>
      <c r="O825" s="369"/>
      <c r="P825" s="369"/>
      <c r="Q825" s="369"/>
      <c r="R825" s="369"/>
      <c r="S825" s="369"/>
      <c r="T825" s="369"/>
      <c r="U825" s="369"/>
      <c r="V825" s="369"/>
      <c r="W825" s="369"/>
      <c r="X825" s="369"/>
      <c r="Y825" s="369"/>
      <c r="Z825" s="369"/>
      <c r="AA825" s="369"/>
      <c r="AB825" s="369"/>
      <c r="AC825" s="369"/>
      <c r="AD825" s="369"/>
      <c r="AE825" s="369"/>
      <c r="AF825" s="369"/>
      <c r="AG825" s="369"/>
    </row>
    <row r="826" spans="2:33" ht="15" customHeight="1" x14ac:dyDescent="0.25"/>
    <row r="827" spans="2:33" ht="15" customHeight="1" x14ac:dyDescent="0.25"/>
    <row r="828" spans="2:33" ht="15" customHeight="1" x14ac:dyDescent="0.25"/>
    <row r="829" spans="2:33" ht="15" customHeight="1" x14ac:dyDescent="0.25"/>
    <row r="830" spans="2:33" ht="15" customHeight="1" x14ac:dyDescent="0.25"/>
    <row r="831" spans="2:33" ht="15" customHeight="1" x14ac:dyDescent="0.25"/>
    <row r="832" spans="2:33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spans="2:33" ht="15" customHeight="1" x14ac:dyDescent="0.25"/>
    <row r="1026" spans="2:33" ht="15" customHeight="1" x14ac:dyDescent="0.25"/>
    <row r="1027" spans="2:33" ht="15" customHeight="1" x14ac:dyDescent="0.25"/>
    <row r="1028" spans="2:33" ht="15" customHeight="1" x14ac:dyDescent="0.25"/>
    <row r="1029" spans="2:33" ht="15" customHeight="1" x14ac:dyDescent="0.25"/>
    <row r="1030" spans="2:33" ht="15" customHeight="1" x14ac:dyDescent="0.25"/>
    <row r="1031" spans="2:33" ht="15" customHeight="1" x14ac:dyDescent="0.25"/>
    <row r="1032" spans="2:33" ht="15" customHeight="1" x14ac:dyDescent="0.25"/>
    <row r="1034" spans="2:33" ht="15" customHeight="1" x14ac:dyDescent="0.25"/>
    <row r="1035" spans="2:33" ht="15" customHeight="1" x14ac:dyDescent="0.25"/>
    <row r="1036" spans="2:33" ht="15" customHeight="1" x14ac:dyDescent="0.25"/>
    <row r="1037" spans="2:33" ht="15" customHeight="1" x14ac:dyDescent="0.25"/>
    <row r="1038" spans="2:33" ht="15" customHeight="1" x14ac:dyDescent="0.25">
      <c r="B1038" s="369"/>
      <c r="C1038" s="369"/>
      <c r="D1038" s="369"/>
      <c r="E1038" s="369"/>
      <c r="F1038" s="369"/>
      <c r="G1038" s="369"/>
      <c r="H1038" s="369"/>
      <c r="I1038" s="369"/>
      <c r="J1038" s="369"/>
      <c r="K1038" s="369"/>
      <c r="L1038" s="369"/>
      <c r="M1038" s="369"/>
      <c r="N1038" s="369"/>
      <c r="O1038" s="369"/>
      <c r="P1038" s="369"/>
      <c r="Q1038" s="369"/>
      <c r="R1038" s="369"/>
      <c r="S1038" s="369"/>
      <c r="T1038" s="369"/>
      <c r="U1038" s="369"/>
      <c r="V1038" s="369"/>
      <c r="W1038" s="369"/>
      <c r="X1038" s="369"/>
      <c r="Y1038" s="369"/>
      <c r="Z1038" s="369"/>
      <c r="AA1038" s="369"/>
      <c r="AB1038" s="369"/>
      <c r="AC1038" s="369"/>
      <c r="AD1038" s="369"/>
      <c r="AE1038" s="369"/>
      <c r="AF1038" s="369"/>
      <c r="AG1038" s="369"/>
    </row>
    <row r="1039" spans="2:33" ht="15" customHeight="1" x14ac:dyDescent="0.25"/>
    <row r="1040" spans="2:33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spans="2:33" ht="15" customHeight="1" x14ac:dyDescent="0.25"/>
    <row r="1154" spans="2:33" ht="15" customHeight="1" x14ac:dyDescent="0.25"/>
    <row r="1155" spans="2:33" ht="15" customHeight="1" x14ac:dyDescent="0.25"/>
    <row r="1156" spans="2:33" ht="15" customHeight="1" x14ac:dyDescent="0.25"/>
    <row r="1157" spans="2:33" ht="15" customHeight="1" x14ac:dyDescent="0.25"/>
    <row r="1158" spans="2:33" ht="15" customHeight="1" x14ac:dyDescent="0.25"/>
    <row r="1159" spans="2:33" ht="15" customHeight="1" x14ac:dyDescent="0.25"/>
    <row r="1160" spans="2:33" ht="15" customHeight="1" x14ac:dyDescent="0.25"/>
    <row r="1161" spans="2:33" ht="15" customHeight="1" x14ac:dyDescent="0.25"/>
    <row r="1162" spans="2:33" ht="15" customHeight="1" x14ac:dyDescent="0.25"/>
    <row r="1163" spans="2:33" ht="15" customHeight="1" x14ac:dyDescent="0.25"/>
    <row r="1164" spans="2:33" ht="15" customHeight="1" x14ac:dyDescent="0.25"/>
    <row r="1165" spans="2:33" ht="15" customHeight="1" x14ac:dyDescent="0.25">
      <c r="B1165" s="369"/>
      <c r="C1165" s="369"/>
      <c r="D1165" s="369"/>
      <c r="E1165" s="369"/>
      <c r="F1165" s="369"/>
      <c r="G1165" s="369"/>
      <c r="H1165" s="369"/>
      <c r="I1165" s="369"/>
      <c r="J1165" s="369"/>
      <c r="K1165" s="369"/>
      <c r="L1165" s="369"/>
      <c r="M1165" s="369"/>
      <c r="N1165" s="369"/>
      <c r="O1165" s="369"/>
      <c r="P1165" s="369"/>
      <c r="Q1165" s="369"/>
      <c r="R1165" s="369"/>
      <c r="S1165" s="369"/>
      <c r="T1165" s="369"/>
      <c r="U1165" s="369"/>
      <c r="V1165" s="369"/>
      <c r="W1165" s="369"/>
      <c r="X1165" s="369"/>
      <c r="Y1165" s="369"/>
      <c r="Z1165" s="369"/>
      <c r="AA1165" s="369"/>
      <c r="AB1165" s="369"/>
      <c r="AC1165" s="369"/>
      <c r="AD1165" s="369"/>
      <c r="AE1165" s="369"/>
      <c r="AF1165" s="369"/>
      <c r="AG1165" s="369"/>
    </row>
    <row r="1166" spans="2:33" ht="15" customHeight="1" x14ac:dyDescent="0.25"/>
    <row r="1167" spans="2:33" ht="15" customHeight="1" x14ac:dyDescent="0.25"/>
    <row r="1168" spans="2:33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5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8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3" spans="2:33" ht="15" customHeight="1" x14ac:dyDescent="0.25"/>
    <row r="1314" spans="2:33" ht="15" customHeight="1" x14ac:dyDescent="0.25"/>
    <row r="1315" spans="2:33" ht="15" customHeight="1" x14ac:dyDescent="0.25"/>
    <row r="1316" spans="2:33" ht="15" customHeight="1" x14ac:dyDescent="0.25"/>
    <row r="1317" spans="2:33" ht="15" customHeight="1" x14ac:dyDescent="0.25"/>
    <row r="1318" spans="2:33" ht="15" customHeight="1" x14ac:dyDescent="0.25"/>
    <row r="1319" spans="2:33" ht="15" customHeight="1" x14ac:dyDescent="0.25"/>
    <row r="1320" spans="2:33" ht="15" customHeight="1" x14ac:dyDescent="0.25"/>
    <row r="1321" spans="2:33" ht="15" customHeight="1" x14ac:dyDescent="0.25"/>
    <row r="1323" spans="2:33" ht="15" customHeight="1" x14ac:dyDescent="0.25"/>
    <row r="1324" spans="2:33" ht="15" customHeight="1" x14ac:dyDescent="0.25"/>
    <row r="1325" spans="2:33" ht="15" customHeight="1" x14ac:dyDescent="0.25"/>
    <row r="1326" spans="2:33" ht="15" customHeight="1" x14ac:dyDescent="0.25"/>
    <row r="1327" spans="2:33" ht="15" customHeight="1" x14ac:dyDescent="0.25"/>
    <row r="1328" spans="2:33" ht="15" customHeight="1" x14ac:dyDescent="0.25">
      <c r="B1328" s="369"/>
      <c r="C1328" s="369"/>
      <c r="D1328" s="369"/>
      <c r="E1328" s="369"/>
      <c r="F1328" s="369"/>
      <c r="G1328" s="369"/>
      <c r="H1328" s="369"/>
      <c r="I1328" s="369"/>
      <c r="J1328" s="369"/>
      <c r="K1328" s="369"/>
      <c r="L1328" s="369"/>
      <c r="M1328" s="369"/>
      <c r="N1328" s="369"/>
      <c r="O1328" s="369"/>
      <c r="P1328" s="369"/>
      <c r="Q1328" s="369"/>
      <c r="R1328" s="369"/>
      <c r="S1328" s="369"/>
      <c r="T1328" s="369"/>
      <c r="U1328" s="369"/>
      <c r="V1328" s="369"/>
      <c r="W1328" s="369"/>
      <c r="X1328" s="369"/>
      <c r="Y1328" s="369"/>
      <c r="Z1328" s="369"/>
      <c r="AA1328" s="369"/>
      <c r="AB1328" s="369"/>
      <c r="AC1328" s="369"/>
      <c r="AD1328" s="369"/>
      <c r="AE1328" s="369"/>
      <c r="AF1328" s="369"/>
      <c r="AG1328" s="369"/>
    </row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spans="2:33" ht="15" customHeight="1" x14ac:dyDescent="0.25"/>
    <row r="1427" spans="2:33" ht="15" customHeight="1" x14ac:dyDescent="0.25"/>
    <row r="1429" spans="2:33" ht="15" customHeight="1" x14ac:dyDescent="0.25"/>
    <row r="1430" spans="2:33" ht="15" customHeight="1" x14ac:dyDescent="0.25"/>
    <row r="1431" spans="2:33" ht="15" customHeight="1" x14ac:dyDescent="0.25"/>
    <row r="1432" spans="2:33" ht="15" customHeight="1" x14ac:dyDescent="0.25"/>
    <row r="1433" spans="2:33" ht="15" customHeight="1" x14ac:dyDescent="0.25"/>
    <row r="1434" spans="2:33" ht="15" customHeight="1" x14ac:dyDescent="0.25"/>
    <row r="1435" spans="2:33" ht="15" customHeight="1" x14ac:dyDescent="0.25"/>
    <row r="1436" spans="2:33" ht="15" customHeight="1" x14ac:dyDescent="0.25"/>
    <row r="1438" spans="2:33" ht="15" customHeight="1" x14ac:dyDescent="0.25"/>
    <row r="1439" spans="2:33" ht="15" customHeight="1" x14ac:dyDescent="0.25"/>
    <row r="1440" spans="2:33" ht="15" customHeight="1" x14ac:dyDescent="0.25">
      <c r="B1440" s="369"/>
      <c r="C1440" s="369"/>
      <c r="D1440" s="369"/>
      <c r="E1440" s="369"/>
      <c r="F1440" s="369"/>
      <c r="G1440" s="369"/>
      <c r="H1440" s="369"/>
      <c r="I1440" s="369"/>
      <c r="J1440" s="369"/>
      <c r="K1440" s="369"/>
      <c r="L1440" s="369"/>
      <c r="M1440" s="369"/>
      <c r="N1440" s="369"/>
      <c r="O1440" s="369"/>
      <c r="P1440" s="369"/>
      <c r="Q1440" s="369"/>
      <c r="R1440" s="369"/>
      <c r="S1440" s="369"/>
      <c r="T1440" s="369"/>
      <c r="U1440" s="369"/>
      <c r="V1440" s="369"/>
      <c r="W1440" s="369"/>
      <c r="X1440" s="369"/>
      <c r="Y1440" s="369"/>
      <c r="Z1440" s="369"/>
      <c r="AA1440" s="369"/>
      <c r="AB1440" s="369"/>
      <c r="AC1440" s="369"/>
      <c r="AD1440" s="369"/>
      <c r="AE1440" s="369"/>
      <c r="AF1440" s="369"/>
      <c r="AG1440" s="369"/>
    </row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30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7" spans="2:33" ht="15" customHeight="1" x14ac:dyDescent="0.25"/>
    <row r="1538" spans="2:33" ht="15" customHeight="1" x14ac:dyDescent="0.25"/>
    <row r="1539" spans="2:33" ht="15" customHeight="1" x14ac:dyDescent="0.25"/>
    <row r="1540" spans="2:33" ht="15" customHeight="1" x14ac:dyDescent="0.25"/>
    <row r="1541" spans="2:33" ht="15" customHeight="1" x14ac:dyDescent="0.25"/>
    <row r="1542" spans="2:33" ht="15" customHeight="1" x14ac:dyDescent="0.25">
      <c r="B1542" s="369"/>
      <c r="C1542" s="369"/>
      <c r="D1542" s="369"/>
      <c r="E1542" s="369"/>
      <c r="F1542" s="369"/>
      <c r="G1542" s="369"/>
      <c r="H1542" s="369"/>
      <c r="I1542" s="369"/>
      <c r="J1542" s="369"/>
      <c r="K1542" s="369"/>
      <c r="L1542" s="369"/>
      <c r="M1542" s="369"/>
      <c r="N1542" s="369"/>
      <c r="O1542" s="369"/>
      <c r="P1542" s="369"/>
      <c r="Q1542" s="369"/>
      <c r="R1542" s="369"/>
      <c r="S1542" s="369"/>
      <c r="T1542" s="369"/>
      <c r="U1542" s="369"/>
      <c r="V1542" s="369"/>
      <c r="W1542" s="369"/>
      <c r="X1542" s="369"/>
      <c r="Y1542" s="369"/>
      <c r="Z1542" s="369"/>
      <c r="AA1542" s="369"/>
      <c r="AB1542" s="369"/>
      <c r="AC1542" s="369"/>
      <c r="AD1542" s="369"/>
      <c r="AE1542" s="369"/>
      <c r="AF1542" s="369"/>
      <c r="AG1542" s="369"/>
    </row>
    <row r="1543" spans="2:33" ht="15" customHeight="1" x14ac:dyDescent="0.25"/>
    <row r="1544" spans="2:33" ht="15" customHeight="1" x14ac:dyDescent="0.25"/>
    <row r="1545" spans="2:33" ht="15" customHeight="1" x14ac:dyDescent="0.25"/>
    <row r="1546" spans="2:33" ht="15" customHeight="1" x14ac:dyDescent="0.25"/>
    <row r="1547" spans="2:33" ht="15" customHeight="1" x14ac:dyDescent="0.25"/>
    <row r="1548" spans="2:33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3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4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spans="2:33" ht="15" customHeight="1" x14ac:dyDescent="0.25"/>
    <row r="1635" spans="2:33" ht="15" customHeight="1" x14ac:dyDescent="0.25"/>
    <row r="1636" spans="2:33" ht="15" customHeight="1" x14ac:dyDescent="0.25">
      <c r="B1636" s="369"/>
      <c r="C1636" s="369"/>
      <c r="D1636" s="369"/>
      <c r="E1636" s="369"/>
      <c r="F1636" s="369"/>
      <c r="G1636" s="369"/>
      <c r="H1636" s="369"/>
      <c r="I1636" s="369"/>
      <c r="J1636" s="369"/>
      <c r="K1636" s="369"/>
      <c r="L1636" s="369"/>
      <c r="M1636" s="369"/>
      <c r="N1636" s="369"/>
      <c r="O1636" s="369"/>
      <c r="P1636" s="369"/>
      <c r="Q1636" s="369"/>
      <c r="R1636" s="369"/>
      <c r="S1636" s="369"/>
      <c r="T1636" s="369"/>
      <c r="U1636" s="369"/>
      <c r="V1636" s="369"/>
      <c r="W1636" s="369"/>
      <c r="X1636" s="369"/>
      <c r="Y1636" s="369"/>
      <c r="Z1636" s="369"/>
      <c r="AA1636" s="369"/>
      <c r="AB1636" s="369"/>
      <c r="AC1636" s="369"/>
      <c r="AD1636" s="369"/>
      <c r="AE1636" s="369"/>
      <c r="AF1636" s="369"/>
      <c r="AG1636" s="369"/>
    </row>
    <row r="1637" spans="2:33" ht="15" customHeight="1" x14ac:dyDescent="0.25"/>
    <row r="1638" spans="2:33" ht="15" customHeight="1" x14ac:dyDescent="0.25"/>
    <row r="1639" spans="2:33" ht="15" customHeight="1" x14ac:dyDescent="0.25"/>
    <row r="1640" spans="2:33" ht="15" customHeight="1" x14ac:dyDescent="0.25"/>
    <row r="1641" spans="2:33" ht="15" customHeight="1" x14ac:dyDescent="0.25"/>
    <row r="1642" spans="2:33" ht="15" customHeight="1" x14ac:dyDescent="0.25"/>
    <row r="1643" spans="2:33" ht="15" customHeight="1" x14ac:dyDescent="0.25"/>
    <row r="1644" spans="2:33" ht="15" customHeight="1" x14ac:dyDescent="0.25"/>
    <row r="1645" spans="2:33" ht="15" customHeight="1" x14ac:dyDescent="0.25"/>
    <row r="1646" spans="2:33" ht="15" customHeight="1" x14ac:dyDescent="0.25"/>
    <row r="1647" spans="2:33" ht="15" customHeight="1" x14ac:dyDescent="0.25"/>
    <row r="1648" spans="2:33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9" ht="15" customHeight="1" x14ac:dyDescent="0.25"/>
    <row r="1801" ht="15" customHeight="1" x14ac:dyDescent="0.25"/>
    <row r="1802" ht="15" customHeight="1" x14ac:dyDescent="0.25"/>
    <row r="1803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3" ht="15" customHeight="1" x14ac:dyDescent="0.25"/>
    <row r="1854" ht="15" customHeight="1" x14ac:dyDescent="0.25"/>
    <row r="1855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1" ht="15" customHeight="1" x14ac:dyDescent="0.25"/>
    <row r="1872" ht="15" customHeight="1" x14ac:dyDescent="0.25"/>
    <row r="1873" spans="2:33" ht="15" customHeight="1" x14ac:dyDescent="0.25"/>
    <row r="1875" spans="2:33" ht="15" customHeight="1" x14ac:dyDescent="0.25"/>
    <row r="1876" spans="2:33" ht="15" customHeight="1" x14ac:dyDescent="0.25"/>
    <row r="1877" spans="2:33" ht="15" customHeight="1" x14ac:dyDescent="0.25"/>
    <row r="1878" spans="2:33" ht="15" customHeight="1" x14ac:dyDescent="0.25"/>
    <row r="1879" spans="2:33" ht="15" customHeight="1" x14ac:dyDescent="0.25"/>
    <row r="1880" spans="2:33" ht="15" customHeight="1" x14ac:dyDescent="0.25"/>
    <row r="1881" spans="2:33" ht="15" customHeight="1" x14ac:dyDescent="0.25"/>
    <row r="1882" spans="2:33" ht="15" customHeight="1" x14ac:dyDescent="0.25"/>
    <row r="1883" spans="2:33" ht="15" customHeight="1" x14ac:dyDescent="0.25">
      <c r="B1883" s="369"/>
      <c r="C1883" s="369"/>
      <c r="D1883" s="369"/>
      <c r="E1883" s="369"/>
      <c r="F1883" s="369"/>
      <c r="G1883" s="369"/>
      <c r="H1883" s="369"/>
      <c r="I1883" s="369"/>
      <c r="J1883" s="369"/>
      <c r="K1883" s="369"/>
      <c r="L1883" s="369"/>
      <c r="M1883" s="369"/>
      <c r="N1883" s="369"/>
      <c r="O1883" s="369"/>
      <c r="P1883" s="369"/>
      <c r="Q1883" s="369"/>
      <c r="R1883" s="369"/>
      <c r="S1883" s="369"/>
      <c r="T1883" s="369"/>
      <c r="U1883" s="369"/>
      <c r="V1883" s="369"/>
      <c r="W1883" s="369"/>
      <c r="X1883" s="369"/>
      <c r="Y1883" s="369"/>
      <c r="Z1883" s="369"/>
      <c r="AA1883" s="369"/>
      <c r="AB1883" s="369"/>
      <c r="AC1883" s="369"/>
      <c r="AD1883" s="369"/>
      <c r="AE1883" s="369"/>
      <c r="AF1883" s="369"/>
      <c r="AG1883" s="369"/>
    </row>
    <row r="1884" spans="2:33" ht="15" customHeight="1" x14ac:dyDescent="0.25"/>
    <row r="1885" spans="2:33" ht="15" customHeight="1" x14ac:dyDescent="0.25"/>
    <row r="1886" spans="2:33" ht="15" customHeight="1" x14ac:dyDescent="0.25"/>
    <row r="1887" spans="2:33" ht="15" customHeight="1" x14ac:dyDescent="0.25"/>
    <row r="1888" spans="2:33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2" ht="15" customHeight="1" x14ac:dyDescent="0.25"/>
    <row r="1923" ht="15" customHeight="1" x14ac:dyDescent="0.25"/>
    <row r="1924" ht="15" customHeight="1" x14ac:dyDescent="0.25"/>
    <row r="1926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2" ht="15" customHeight="1" x14ac:dyDescent="0.25"/>
    <row r="1944" ht="15" customHeight="1" x14ac:dyDescent="0.25"/>
    <row r="1946" ht="15" customHeight="1" x14ac:dyDescent="0.25"/>
    <row r="1947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spans="2:33" ht="15" customHeight="1" x14ac:dyDescent="0.25">
      <c r="B1969" s="369"/>
      <c r="C1969" s="369"/>
      <c r="D1969" s="369"/>
      <c r="E1969" s="369"/>
      <c r="F1969" s="369"/>
      <c r="G1969" s="369"/>
      <c r="H1969" s="369"/>
      <c r="I1969" s="369"/>
      <c r="J1969" s="369"/>
      <c r="K1969" s="369"/>
      <c r="L1969" s="369"/>
      <c r="M1969" s="369"/>
      <c r="N1969" s="369"/>
      <c r="O1969" s="369"/>
      <c r="P1969" s="369"/>
      <c r="Q1969" s="369"/>
      <c r="R1969" s="369"/>
      <c r="S1969" s="369"/>
      <c r="T1969" s="369"/>
      <c r="U1969" s="369"/>
      <c r="V1969" s="369"/>
      <c r="W1969" s="369"/>
      <c r="X1969" s="369"/>
      <c r="Y1969" s="369"/>
      <c r="Z1969" s="369"/>
      <c r="AA1969" s="369"/>
      <c r="AB1969" s="369"/>
      <c r="AC1969" s="369"/>
      <c r="AD1969" s="369"/>
      <c r="AE1969" s="369"/>
      <c r="AF1969" s="369"/>
      <c r="AG1969" s="369"/>
    </row>
    <row r="1970" spans="2:33" ht="15" customHeight="1" x14ac:dyDescent="0.25"/>
    <row r="1971" spans="2:33" ht="15" customHeight="1" x14ac:dyDescent="0.25"/>
    <row r="1972" spans="2:33" ht="15" customHeight="1" x14ac:dyDescent="0.25"/>
    <row r="1973" spans="2:33" ht="15" customHeight="1" x14ac:dyDescent="0.25"/>
    <row r="1974" spans="2:33" ht="15" customHeight="1" x14ac:dyDescent="0.25"/>
    <row r="1975" spans="2:33" ht="15" customHeight="1" x14ac:dyDescent="0.25"/>
    <row r="1976" spans="2:33" ht="15" customHeight="1" x14ac:dyDescent="0.25"/>
    <row r="1977" spans="2:33" ht="15" customHeight="1" x14ac:dyDescent="0.25"/>
    <row r="1978" spans="2:33" ht="15" customHeight="1" x14ac:dyDescent="0.25"/>
    <row r="1979" spans="2:33" ht="15" customHeight="1" x14ac:dyDescent="0.25"/>
    <row r="1980" spans="2:33" ht="15" customHeight="1" x14ac:dyDescent="0.25"/>
    <row r="1981" spans="2:33" ht="15" customHeight="1" x14ac:dyDescent="0.25"/>
    <row r="1982" spans="2:33" ht="15" customHeight="1" x14ac:dyDescent="0.25"/>
    <row r="1983" spans="2:33" ht="15" customHeight="1" x14ac:dyDescent="0.25"/>
    <row r="1984" spans="2:33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5" ht="15" customHeight="1" x14ac:dyDescent="0.25"/>
    <row r="2046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9" ht="15" customHeight="1" x14ac:dyDescent="0.25"/>
    <row r="2071" ht="15" customHeight="1" x14ac:dyDescent="0.25"/>
    <row r="2072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spans="2:33" ht="15" customHeight="1" x14ac:dyDescent="0.25"/>
    <row r="2082" spans="2:33" ht="15" customHeight="1" x14ac:dyDescent="0.25"/>
    <row r="2083" spans="2:33" ht="15" customHeight="1" x14ac:dyDescent="0.25"/>
    <row r="2084" spans="2:33" ht="15" customHeight="1" x14ac:dyDescent="0.25"/>
    <row r="2086" spans="2:33" ht="15" customHeight="1" x14ac:dyDescent="0.25"/>
    <row r="2089" spans="2:33" ht="15" customHeight="1" x14ac:dyDescent="0.25"/>
    <row r="2090" spans="2:33" ht="15" customHeight="1" x14ac:dyDescent="0.25"/>
    <row r="2091" spans="2:33" ht="15" customHeight="1" x14ac:dyDescent="0.25">
      <c r="B2091" s="369"/>
      <c r="C2091" s="369"/>
      <c r="D2091" s="369"/>
      <c r="E2091" s="369"/>
      <c r="F2091" s="369"/>
      <c r="G2091" s="369"/>
      <c r="H2091" s="369"/>
      <c r="I2091" s="369"/>
      <c r="J2091" s="369"/>
      <c r="K2091" s="369"/>
      <c r="L2091" s="369"/>
      <c r="M2091" s="369"/>
      <c r="N2091" s="369"/>
      <c r="O2091" s="369"/>
      <c r="P2091" s="369"/>
      <c r="Q2091" s="369"/>
      <c r="R2091" s="369"/>
      <c r="S2091" s="369"/>
      <c r="T2091" s="369"/>
      <c r="U2091" s="369"/>
      <c r="V2091" s="369"/>
      <c r="W2091" s="369"/>
      <c r="X2091" s="369"/>
      <c r="Y2091" s="369"/>
      <c r="Z2091" s="369"/>
      <c r="AA2091" s="369"/>
      <c r="AB2091" s="369"/>
      <c r="AC2091" s="369"/>
      <c r="AD2091" s="369"/>
      <c r="AE2091" s="369"/>
      <c r="AF2091" s="369"/>
      <c r="AG2091" s="369"/>
    </row>
    <row r="2092" spans="2:33" ht="15" customHeight="1" x14ac:dyDescent="0.25"/>
    <row r="2093" spans="2:33" ht="15" customHeight="1" x14ac:dyDescent="0.25"/>
    <row r="2094" spans="2:33" ht="15" customHeight="1" x14ac:dyDescent="0.25"/>
    <row r="2095" spans="2:33" ht="15" customHeight="1" x14ac:dyDescent="0.25"/>
    <row r="2096" spans="2:33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8" ht="15" customHeight="1" x14ac:dyDescent="0.25"/>
    <row r="2199" ht="15" customHeight="1" x14ac:dyDescent="0.25"/>
    <row r="2200" ht="15" customHeight="1" x14ac:dyDescent="0.25"/>
    <row r="2202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9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20" ht="15" customHeight="1" x14ac:dyDescent="0.25"/>
    <row r="2222" ht="15" customHeight="1" x14ac:dyDescent="0.25"/>
    <row r="2223" ht="15" customHeight="1" x14ac:dyDescent="0.25"/>
    <row r="2224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9" ht="15" customHeight="1" x14ac:dyDescent="0.25"/>
    <row r="2240" ht="15" customHeight="1" x14ac:dyDescent="0.25"/>
    <row r="2241" spans="2:33" ht="15" customHeight="1" x14ac:dyDescent="0.25"/>
    <row r="2243" spans="2:33" ht="15" customHeight="1" x14ac:dyDescent="0.25"/>
    <row r="2244" spans="2:33" ht="15" customHeight="1" x14ac:dyDescent="0.25"/>
    <row r="2245" spans="2:33" ht="15" customHeight="1" x14ac:dyDescent="0.25"/>
    <row r="2246" spans="2:33" ht="15" customHeight="1" x14ac:dyDescent="0.25"/>
    <row r="2247" spans="2:33" ht="15" customHeight="1" x14ac:dyDescent="0.25"/>
    <row r="2248" spans="2:33" ht="15" customHeight="1" x14ac:dyDescent="0.25"/>
    <row r="2249" spans="2:33" ht="15" customHeight="1" x14ac:dyDescent="0.25"/>
    <row r="2250" spans="2:33" ht="15" customHeight="1" x14ac:dyDescent="0.25"/>
    <row r="2251" spans="2:33" ht="15" customHeight="1" x14ac:dyDescent="0.25"/>
    <row r="2252" spans="2:33" ht="15" customHeight="1" x14ac:dyDescent="0.25"/>
    <row r="2253" spans="2:33" ht="15" customHeight="1" x14ac:dyDescent="0.25"/>
    <row r="2254" spans="2:33" ht="15" customHeight="1" x14ac:dyDescent="0.25"/>
    <row r="2255" spans="2:33" ht="15" customHeight="1" x14ac:dyDescent="0.25">
      <c r="B2255" s="369"/>
      <c r="C2255" s="369"/>
      <c r="D2255" s="369"/>
      <c r="E2255" s="369"/>
      <c r="F2255" s="369"/>
      <c r="G2255" s="369"/>
      <c r="H2255" s="369"/>
      <c r="I2255" s="369"/>
      <c r="J2255" s="369"/>
      <c r="K2255" s="369"/>
      <c r="L2255" s="369"/>
      <c r="M2255" s="369"/>
      <c r="N2255" s="369"/>
      <c r="O2255" s="369"/>
      <c r="P2255" s="369"/>
      <c r="Q2255" s="369"/>
      <c r="R2255" s="369"/>
      <c r="S2255" s="369"/>
      <c r="T2255" s="369"/>
      <c r="U2255" s="369"/>
      <c r="V2255" s="369"/>
      <c r="W2255" s="369"/>
      <c r="X2255" s="369"/>
      <c r="Y2255" s="369"/>
      <c r="Z2255" s="369"/>
      <c r="AA2255" s="369"/>
      <c r="AB2255" s="369"/>
      <c r="AC2255" s="369"/>
      <c r="AD2255" s="369"/>
      <c r="AE2255" s="369"/>
      <c r="AF2255" s="369"/>
      <c r="AG2255" s="369"/>
    </row>
    <row r="2256" spans="2:33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spans="2:33" ht="15" customHeight="1" x14ac:dyDescent="0.25"/>
    <row r="2354" spans="2:33" ht="15" customHeight="1" x14ac:dyDescent="0.25"/>
    <row r="2355" spans="2:33" ht="15" customHeight="1" x14ac:dyDescent="0.25"/>
    <row r="2356" spans="2:33" ht="15" customHeight="1" x14ac:dyDescent="0.25"/>
    <row r="2357" spans="2:33" ht="15" customHeight="1" x14ac:dyDescent="0.25">
      <c r="B2357" s="369"/>
      <c r="C2357" s="369"/>
      <c r="D2357" s="369"/>
      <c r="E2357" s="369"/>
      <c r="F2357" s="369"/>
      <c r="G2357" s="369"/>
      <c r="H2357" s="369"/>
      <c r="I2357" s="369"/>
      <c r="J2357" s="369"/>
      <c r="K2357" s="369"/>
      <c r="L2357" s="369"/>
      <c r="M2357" s="369"/>
      <c r="N2357" s="369"/>
      <c r="O2357" s="369"/>
      <c r="P2357" s="369"/>
      <c r="Q2357" s="369"/>
      <c r="R2357" s="369"/>
      <c r="S2357" s="369"/>
      <c r="T2357" s="369"/>
      <c r="U2357" s="369"/>
      <c r="V2357" s="369"/>
      <c r="W2357" s="369"/>
      <c r="X2357" s="369"/>
      <c r="Y2357" s="369"/>
      <c r="Z2357" s="369"/>
      <c r="AA2357" s="369"/>
      <c r="AB2357" s="369"/>
      <c r="AC2357" s="369"/>
      <c r="AD2357" s="369"/>
      <c r="AE2357" s="369"/>
      <c r="AF2357" s="369"/>
      <c r="AG2357" s="369"/>
    </row>
    <row r="2358" spans="2:33" ht="15" customHeight="1" x14ac:dyDescent="0.25"/>
    <row r="2359" spans="2:33" ht="15" customHeight="1" x14ac:dyDescent="0.25"/>
    <row r="2360" spans="2:33" ht="15" customHeight="1" x14ac:dyDescent="0.25"/>
    <row r="2361" spans="2:33" ht="15" customHeight="1" x14ac:dyDescent="0.25"/>
    <row r="2362" spans="2:33" ht="15" customHeight="1" x14ac:dyDescent="0.25"/>
    <row r="2363" spans="2:33" ht="15" customHeight="1" x14ac:dyDescent="0.25"/>
    <row r="2364" spans="2:33" ht="15" customHeight="1" x14ac:dyDescent="0.25"/>
    <row r="2365" spans="2:33" ht="15" customHeight="1" x14ac:dyDescent="0.25"/>
    <row r="2366" spans="2:33" ht="15" customHeight="1" x14ac:dyDescent="0.25"/>
    <row r="2367" spans="2:33" ht="15" customHeight="1" x14ac:dyDescent="0.25"/>
    <row r="2368" spans="2:33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5" ht="15" customHeight="1" x14ac:dyDescent="0.25"/>
    <row r="2397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4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3" spans="2:33" ht="15" customHeight="1" x14ac:dyDescent="0.25"/>
    <row r="2434" spans="2:33" ht="15" customHeight="1" x14ac:dyDescent="0.25"/>
    <row r="2436" spans="2:33" ht="15" customHeight="1" x14ac:dyDescent="0.25"/>
    <row r="2437" spans="2:33" ht="15" customHeight="1" x14ac:dyDescent="0.25"/>
    <row r="2438" spans="2:33" ht="15" customHeight="1" x14ac:dyDescent="0.25"/>
    <row r="2439" spans="2:33" ht="15" customHeight="1" x14ac:dyDescent="0.25"/>
    <row r="2440" spans="2:33" ht="15" customHeight="1" x14ac:dyDescent="0.25"/>
    <row r="2442" spans="2:33" ht="15" customHeight="1" x14ac:dyDescent="0.25"/>
    <row r="2443" spans="2:33" ht="15" customHeight="1" x14ac:dyDescent="0.25"/>
    <row r="2444" spans="2:33" ht="15" customHeight="1" x14ac:dyDescent="0.25"/>
    <row r="2445" spans="2:33" ht="15" customHeight="1" x14ac:dyDescent="0.25"/>
    <row r="2446" spans="2:33" ht="15" customHeight="1" x14ac:dyDescent="0.25"/>
    <row r="2447" spans="2:33" ht="15" customHeight="1" x14ac:dyDescent="0.25">
      <c r="B2447" s="369"/>
      <c r="C2447" s="369"/>
      <c r="D2447" s="369"/>
      <c r="E2447" s="369"/>
      <c r="F2447" s="369"/>
      <c r="G2447" s="369"/>
      <c r="H2447" s="369"/>
      <c r="I2447" s="369"/>
      <c r="J2447" s="369"/>
      <c r="K2447" s="369"/>
      <c r="L2447" s="369"/>
      <c r="M2447" s="369"/>
      <c r="N2447" s="369"/>
      <c r="O2447" s="369"/>
      <c r="P2447" s="369"/>
      <c r="Q2447" s="369"/>
      <c r="R2447" s="369"/>
      <c r="S2447" s="369"/>
      <c r="T2447" s="369"/>
      <c r="U2447" s="369"/>
      <c r="V2447" s="369"/>
      <c r="W2447" s="369"/>
      <c r="X2447" s="369"/>
      <c r="Y2447" s="369"/>
      <c r="Z2447" s="369"/>
      <c r="AA2447" s="369"/>
      <c r="AB2447" s="369"/>
      <c r="AC2447" s="369"/>
      <c r="AD2447" s="369"/>
      <c r="AE2447" s="369"/>
      <c r="AF2447" s="369"/>
      <c r="AG2447" s="369"/>
    </row>
    <row r="2448" spans="2:33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6" ht="15" customHeight="1" x14ac:dyDescent="0.25"/>
    <row r="2527" ht="15" customHeight="1" x14ac:dyDescent="0.25"/>
    <row r="2528" ht="15" customHeight="1" x14ac:dyDescent="0.25"/>
    <row r="2529" spans="2:33" ht="15" customHeight="1" x14ac:dyDescent="0.25"/>
    <row r="2530" spans="2:33" ht="15" customHeight="1" x14ac:dyDescent="0.25"/>
    <row r="2531" spans="2:33" ht="15" customHeight="1" x14ac:dyDescent="0.25"/>
    <row r="2533" spans="2:33" ht="15" customHeight="1" x14ac:dyDescent="0.25"/>
    <row r="2534" spans="2:33" ht="15" customHeight="1" x14ac:dyDescent="0.25"/>
    <row r="2535" spans="2:33" ht="15" customHeight="1" x14ac:dyDescent="0.25"/>
    <row r="2536" spans="2:33" ht="15" customHeight="1" x14ac:dyDescent="0.25">
      <c r="B2536" s="369"/>
      <c r="C2536" s="369"/>
      <c r="D2536" s="369"/>
      <c r="E2536" s="369"/>
      <c r="F2536" s="369"/>
      <c r="G2536" s="369"/>
      <c r="H2536" s="369"/>
      <c r="I2536" s="369"/>
      <c r="J2536" s="369"/>
      <c r="K2536" s="369"/>
      <c r="L2536" s="369"/>
      <c r="M2536" s="369"/>
      <c r="N2536" s="369"/>
      <c r="O2536" s="369"/>
      <c r="P2536" s="369"/>
      <c r="Q2536" s="369"/>
      <c r="R2536" s="369"/>
      <c r="S2536" s="369"/>
      <c r="T2536" s="369"/>
      <c r="U2536" s="369"/>
      <c r="V2536" s="369"/>
      <c r="W2536" s="369"/>
      <c r="X2536" s="369"/>
      <c r="Y2536" s="369"/>
      <c r="Z2536" s="369"/>
      <c r="AA2536" s="369"/>
      <c r="AB2536" s="369"/>
      <c r="AC2536" s="369"/>
      <c r="AD2536" s="369"/>
      <c r="AE2536" s="369"/>
      <c r="AF2536" s="369"/>
      <c r="AG2536" s="369"/>
    </row>
    <row r="2537" spans="2:33" ht="15" customHeight="1" x14ac:dyDescent="0.25"/>
    <row r="2538" spans="2:33" ht="15" customHeight="1" x14ac:dyDescent="0.25"/>
    <row r="2539" spans="2:33" ht="15" customHeight="1" x14ac:dyDescent="0.25"/>
    <row r="2540" spans="2:33" ht="15" customHeight="1" x14ac:dyDescent="0.25"/>
    <row r="2541" spans="2:33" ht="15" customHeight="1" x14ac:dyDescent="0.25"/>
    <row r="2542" spans="2:33" ht="15" customHeight="1" x14ac:dyDescent="0.25"/>
    <row r="2543" spans="2:33" ht="15" customHeight="1" x14ac:dyDescent="0.25"/>
    <row r="2544" spans="2:33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spans="2:33" ht="15" customHeight="1" x14ac:dyDescent="0.25">
      <c r="B2657" s="369"/>
      <c r="C2657" s="369"/>
      <c r="D2657" s="369"/>
      <c r="E2657" s="369"/>
      <c r="F2657" s="369"/>
      <c r="G2657" s="369"/>
      <c r="H2657" s="369"/>
      <c r="I2657" s="369"/>
      <c r="J2657" s="369"/>
      <c r="K2657" s="369"/>
      <c r="L2657" s="369"/>
      <c r="M2657" s="369"/>
      <c r="N2657" s="369"/>
      <c r="O2657" s="369"/>
      <c r="P2657" s="369"/>
      <c r="Q2657" s="369"/>
      <c r="R2657" s="369"/>
      <c r="S2657" s="369"/>
      <c r="T2657" s="369"/>
      <c r="U2657" s="369"/>
      <c r="V2657" s="369"/>
      <c r="W2657" s="369"/>
      <c r="X2657" s="369"/>
      <c r="Y2657" s="369"/>
      <c r="Z2657" s="369"/>
      <c r="AA2657" s="369"/>
      <c r="AB2657" s="369"/>
      <c r="AC2657" s="369"/>
      <c r="AD2657" s="369"/>
      <c r="AE2657" s="369"/>
      <c r="AF2657" s="369"/>
      <c r="AG2657" s="369"/>
    </row>
    <row r="2658" spans="2:33" ht="15" customHeight="1" x14ac:dyDescent="0.25"/>
    <row r="2659" spans="2:33" ht="15" customHeight="1" x14ac:dyDescent="0.25"/>
    <row r="2660" spans="2:33" ht="15" customHeight="1" x14ac:dyDescent="0.25"/>
    <row r="2661" spans="2:33" ht="15" customHeight="1" x14ac:dyDescent="0.25"/>
    <row r="2662" spans="2:33" ht="15" customHeight="1" x14ac:dyDescent="0.25"/>
    <row r="2663" spans="2:33" ht="15" customHeight="1" x14ac:dyDescent="0.25"/>
    <row r="2664" spans="2:33" ht="15" customHeight="1" x14ac:dyDescent="0.25"/>
    <row r="2665" spans="2:33" ht="15" customHeight="1" x14ac:dyDescent="0.25"/>
    <row r="2666" spans="2:33" ht="15" customHeight="1" x14ac:dyDescent="0.25"/>
    <row r="2667" spans="2:33" ht="15" customHeight="1" x14ac:dyDescent="0.25"/>
    <row r="2668" spans="2:33" ht="15" customHeight="1" x14ac:dyDescent="0.25"/>
    <row r="2669" spans="2:33" ht="15" customHeight="1" x14ac:dyDescent="0.25"/>
    <row r="2670" spans="2:33" ht="15" customHeight="1" x14ac:dyDescent="0.25"/>
    <row r="2671" spans="2:33" ht="15" customHeight="1" x14ac:dyDescent="0.25"/>
    <row r="2672" spans="2:33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9" spans="2:33" ht="15" customHeight="1" x14ac:dyDescent="0.25"/>
    <row r="2770" spans="2:33" ht="15" customHeight="1" x14ac:dyDescent="0.25"/>
    <row r="2771" spans="2:33" ht="15" customHeight="1" x14ac:dyDescent="0.25"/>
    <row r="2772" spans="2:33" ht="15" customHeight="1" x14ac:dyDescent="0.25"/>
    <row r="2773" spans="2:33" ht="15" customHeight="1" x14ac:dyDescent="0.25"/>
    <row r="2774" spans="2:33" ht="15" customHeight="1" x14ac:dyDescent="0.25"/>
    <row r="2775" spans="2:33" ht="15" customHeight="1" x14ac:dyDescent="0.25">
      <c r="B2775" s="369"/>
      <c r="C2775" s="369"/>
      <c r="D2775" s="369"/>
      <c r="E2775" s="369"/>
      <c r="F2775" s="369"/>
      <c r="G2775" s="369"/>
      <c r="H2775" s="369"/>
      <c r="I2775" s="369"/>
      <c r="J2775" s="369"/>
      <c r="K2775" s="369"/>
      <c r="L2775" s="369"/>
      <c r="M2775" s="369"/>
      <c r="N2775" s="369"/>
      <c r="O2775" s="369"/>
      <c r="P2775" s="369"/>
      <c r="Q2775" s="369"/>
      <c r="R2775" s="369"/>
      <c r="S2775" s="369"/>
      <c r="T2775" s="369"/>
      <c r="U2775" s="369"/>
      <c r="V2775" s="369"/>
      <c r="W2775" s="369"/>
      <c r="X2775" s="369"/>
      <c r="Y2775" s="369"/>
      <c r="Z2775" s="369"/>
      <c r="AA2775" s="369"/>
      <c r="AB2775" s="369"/>
      <c r="AC2775" s="369"/>
      <c r="AD2775" s="369"/>
      <c r="AE2775" s="369"/>
      <c r="AF2775" s="369"/>
      <c r="AG2775" s="369"/>
    </row>
    <row r="2776" spans="2:33" ht="15" customHeight="1" x14ac:dyDescent="0.25"/>
    <row r="2777" spans="2:33" ht="15" customHeight="1" x14ac:dyDescent="0.25"/>
    <row r="2778" spans="2:33" ht="15" customHeight="1" x14ac:dyDescent="0.25"/>
    <row r="2779" spans="2:33" ht="15" customHeight="1" x14ac:dyDescent="0.25"/>
  </sheetData>
  <mergeCells count="20">
    <mergeCell ref="B2657:AG2657"/>
    <mergeCell ref="B2775:AG2775"/>
    <mergeCell ref="B1969:AG1969"/>
    <mergeCell ref="B2091:AG2091"/>
    <mergeCell ref="B2255:AG2255"/>
    <mergeCell ref="B2357:AG2357"/>
    <mergeCell ref="B2447:AG2447"/>
    <mergeCell ref="B2536:AG2536"/>
    <mergeCell ref="B1883:AG1883"/>
    <mergeCell ref="B50:AG50"/>
    <mergeCell ref="B246:AG246"/>
    <mergeCell ref="B449:AG449"/>
    <mergeCell ref="B650:AG650"/>
    <mergeCell ref="B825:AG825"/>
    <mergeCell ref="B1038:AG1038"/>
    <mergeCell ref="B1165:AG1165"/>
    <mergeCell ref="B1328:AG1328"/>
    <mergeCell ref="B1440:AG1440"/>
    <mergeCell ref="B1542:AG1542"/>
    <mergeCell ref="B1636:AG1636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B4E1C-C091-4C56-B0E6-A2DDF1E47074}">
  <sheetPr>
    <tabColor theme="9"/>
  </sheetPr>
  <dimension ref="A1:AH64"/>
  <sheetViews>
    <sheetView workbookViewId="0">
      <selection activeCell="A2" sqref="A2"/>
    </sheetView>
  </sheetViews>
  <sheetFormatPr defaultColWidth="9.140625" outlineLevelRow="1" defaultRowHeight="15" x14ac:dyDescent="0.25"/>
  <cols>
    <col min="1" max="1" width="9.140625" style="2"/>
    <col customWidth="1" min="2" max="2" width="36.85546875" style="2" bestFit="1"/>
    <col min="3" max="16384" width="9.140625" style="2"/>
  </cols>
  <sheetData>
    <row spans="1:23" r="1" x14ac:dyDescent="0.25">
      <c r="A1" s="2" t="s">
        <v>661</v>
      </c>
    </row>
    <row spans="1:23" r="2" x14ac:dyDescent="0.25">
      <c r="B2" s="2" t="s">
        <v>662</v>
      </c>
    </row>
    <row spans="1:23" r="3" x14ac:dyDescent="0.25">
      <c r="B3" s="24" t="s">
        <v>8</v>
      </c>
      <c r="C3" s="24">
        <v>2019</v>
      </c>
      <c r="D3" s="24">
        <v>2020</v>
      </c>
      <c r="E3" s="24">
        <v>2021</v>
      </c>
      <c r="F3" s="72">
        <v>2022</v>
      </c>
      <c r="G3" s="24">
        <f>F3+1</f>
        <v>2023</v>
      </c>
      <c r="H3" s="24">
        <f ref="H3:L3" t="shared" si="0">G3+1</f>
        <v>2024</v>
      </c>
      <c r="I3" s="24">
        <f t="shared" si="0"/>
        <v>2025</v>
      </c>
      <c r="J3" s="24">
        <f t="shared" si="0"/>
        <v>2026</v>
      </c>
      <c r="K3" s="24">
        <f t="shared" si="0"/>
        <v>2027</v>
      </c>
      <c r="L3" s="24">
        <f t="shared" si="0"/>
        <v>2028</v>
      </c>
      <c r="M3" s="24">
        <f ref="M3" t="shared" si="1">L3+1</f>
        <v>2029</v>
      </c>
      <c r="N3" s="24">
        <f ref="N3" t="shared" si="2">M3+1</f>
        <v>2030</v>
      </c>
      <c r="O3" s="24">
        <f ref="O3" t="shared" si="3">N3+1</f>
        <v>2031</v>
      </c>
      <c r="P3" s="24">
        <f ref="P3" t="shared" si="4">O3+1</f>
        <v>2032</v>
      </c>
      <c r="Q3" s="24">
        <f ref="Q3" t="shared" si="5">P3+1</f>
        <v>2033</v>
      </c>
      <c r="R3" s="24">
        <f ref="R3" t="shared" si="6">Q3+1</f>
        <v>2034</v>
      </c>
      <c r="S3" s="24">
        <f ref="S3" t="shared" si="7">R3+1</f>
        <v>2035</v>
      </c>
      <c r="T3" s="24">
        <f ref="T3" t="shared" si="8">S3+1</f>
        <v>2036</v>
      </c>
      <c r="U3" s="24">
        <f ref="U3" t="shared" si="9">T3+1</f>
        <v>2037</v>
      </c>
    </row>
    <row spans="1:23" r="4" x14ac:dyDescent="0.25">
      <c r="B4" s="2" t="s">
        <v>9</v>
      </c>
      <c r="C4" s="2">
        <v>2.4</v>
      </c>
      <c r="D4" s="2">
        <v>2.4</v>
      </c>
      <c r="E4" s="2">
        <v>2.4</v>
      </c>
      <c r="F4" s="29">
        <v>2.4</v>
      </c>
      <c r="G4" s="2">
        <v>2.4</v>
      </c>
      <c r="H4" s="2">
        <v>2.4</v>
      </c>
      <c r="I4" s="2">
        <v>2.4</v>
      </c>
      <c r="J4" s="2">
        <v>2.4</v>
      </c>
      <c r="K4" s="2">
        <v>2.4</v>
      </c>
      <c r="L4" s="2">
        <v>2.4</v>
      </c>
      <c r="M4" s="2">
        <v>2.4</v>
      </c>
      <c r="N4" s="2">
        <v>2.4</v>
      </c>
      <c r="O4" s="2">
        <v>2.4</v>
      </c>
      <c r="P4" s="2">
        <v>2.4</v>
      </c>
      <c r="Q4" s="2">
        <v>2.4</v>
      </c>
      <c r="R4" s="2">
        <v>2.4</v>
      </c>
      <c r="S4" s="2">
        <v>2.4</v>
      </c>
      <c r="T4" s="2">
        <v>2.4</v>
      </c>
      <c r="U4" s="2">
        <v>2.4</v>
      </c>
    </row>
    <row spans="1:23" r="5" x14ac:dyDescent="0.25">
      <c r="B5" s="2" t="s">
        <v>10</v>
      </c>
      <c r="C5" s="2">
        <v>1.2</v>
      </c>
      <c r="D5" s="2">
        <v>1.2</v>
      </c>
      <c r="E5" s="2">
        <v>1.2</v>
      </c>
      <c r="F5" s="29">
        <v>1.2</v>
      </c>
      <c r="G5" s="2">
        <v>1.6</v>
      </c>
      <c r="H5" s="2">
        <v>1.6</v>
      </c>
      <c r="I5" s="2">
        <v>1.6</v>
      </c>
      <c r="J5" s="2">
        <v>1.6</v>
      </c>
      <c r="K5" s="2">
        <v>0</v>
      </c>
      <c r="L5" s="2">
        <v>2.4</v>
      </c>
      <c r="M5" s="2">
        <v>2.4</v>
      </c>
      <c r="N5" s="2">
        <v>2.4</v>
      </c>
      <c r="O5" s="2">
        <v>2.4</v>
      </c>
      <c r="P5" s="2">
        <v>2.4</v>
      </c>
      <c r="Q5" s="2">
        <v>2.4</v>
      </c>
      <c r="R5" s="2">
        <v>2.4</v>
      </c>
      <c r="S5" s="2">
        <v>2.4</v>
      </c>
      <c r="T5" s="2">
        <v>2.4</v>
      </c>
      <c r="U5" s="2">
        <v>2.4</v>
      </c>
    </row>
    <row spans="1:23" r="6" x14ac:dyDescent="0.25">
      <c r="B6" s="2" t="s">
        <v>11</v>
      </c>
      <c r="C6" s="20">
        <v>218096</v>
      </c>
      <c r="D6" s="20">
        <v>226061</v>
      </c>
      <c r="E6" s="20">
        <v>221020</v>
      </c>
      <c r="F6" s="20">
        <f>F7*F5</f>
        <v>221725.66666666669</v>
      </c>
      <c r="G6" s="20">
        <f ref="G6:J6" t="shared" si="10">G7*G5</f>
        <v>295634.22222222225</v>
      </c>
      <c r="H6" s="20">
        <f t="shared" si="10"/>
        <v>295634.22222222225</v>
      </c>
      <c r="I6" s="20">
        <f t="shared" si="10"/>
        <v>295634.22222222225</v>
      </c>
      <c r="J6" s="20">
        <f t="shared" si="10"/>
        <v>295634.22222222225</v>
      </c>
      <c r="K6" s="20">
        <f ref="K6" t="shared" si="11">K7*K5</f>
        <v>0</v>
      </c>
      <c r="L6" s="20">
        <f ref="L6" t="shared" si="12">L7*L5</f>
        <v>443451.33333333337</v>
      </c>
      <c r="M6" s="20">
        <f ref="M6" t="shared" si="13">M7*M5</f>
        <v>443451.33333333337</v>
      </c>
      <c r="N6" s="20">
        <f ref="N6" t="shared" si="14">N7*N5</f>
        <v>443451.33333333337</v>
      </c>
      <c r="O6" s="20">
        <f ref="O6" t="shared" si="15">O7*O5</f>
        <v>443451.33333333337</v>
      </c>
      <c r="P6" s="20">
        <f ref="P6" t="shared" si="16">P7*P5</f>
        <v>443451.33333333337</v>
      </c>
      <c r="Q6" s="20">
        <f ref="Q6" t="shared" si="17">Q7*Q5</f>
        <v>443451.33333333337</v>
      </c>
      <c r="R6" s="20">
        <f ref="R6" t="shared" si="18">R7*R5</f>
        <v>443451.33333333337</v>
      </c>
      <c r="S6" s="20">
        <f ref="S6" t="shared" si="19">S7*S5</f>
        <v>443451.33333333337</v>
      </c>
      <c r="T6" s="20">
        <f ref="T6" t="shared" si="20">T7*T5</f>
        <v>443451.33333333337</v>
      </c>
      <c r="U6" s="20">
        <f ref="U6" t="shared" si="21">U7*U5</f>
        <v>443451.33333333337</v>
      </c>
    </row>
    <row spans="1:23" r="7" x14ac:dyDescent="0.25">
      <c r="B7" s="18" t="s">
        <v>12</v>
      </c>
      <c r="C7" s="20">
        <f>C6/C5</f>
        <v>181746.66666666669</v>
      </c>
      <c r="D7" s="20">
        <f ref="D7:E7" t="shared" si="22">D6/D5</f>
        <v>188384.16666666669</v>
      </c>
      <c r="E7" s="20">
        <f t="shared" si="22"/>
        <v>184183.33333333334</v>
      </c>
      <c r="F7" s="20">
        <f>AVERAGE($C$7:$E$7)</f>
        <v>184771.38888888891</v>
      </c>
      <c r="G7" s="20">
        <f ref="G7:U7" t="shared" si="23">AVERAGE($C$7:$E$7)</f>
        <v>184771.38888888891</v>
      </c>
      <c r="H7" s="20">
        <f t="shared" si="23"/>
        <v>184771.38888888891</v>
      </c>
      <c r="I7" s="20">
        <f t="shared" si="23"/>
        <v>184771.38888888891</v>
      </c>
      <c r="J7" s="20">
        <f t="shared" si="23"/>
        <v>184771.38888888891</v>
      </c>
      <c r="K7" s="20"/>
      <c r="L7" s="20">
        <f t="shared" si="23"/>
        <v>184771.38888888891</v>
      </c>
      <c r="M7" s="20">
        <f t="shared" si="23"/>
        <v>184771.38888888891</v>
      </c>
      <c r="N7" s="20">
        <f t="shared" si="23"/>
        <v>184771.38888888891</v>
      </c>
      <c r="O7" s="20">
        <f t="shared" si="23"/>
        <v>184771.38888888891</v>
      </c>
      <c r="P7" s="20">
        <f t="shared" si="23"/>
        <v>184771.38888888891</v>
      </c>
      <c r="Q7" s="20">
        <f t="shared" si="23"/>
        <v>184771.38888888891</v>
      </c>
      <c r="R7" s="20">
        <f t="shared" si="23"/>
        <v>184771.38888888891</v>
      </c>
      <c r="S7" s="20">
        <f t="shared" si="23"/>
        <v>184771.38888888891</v>
      </c>
      <c r="T7" s="20">
        <f t="shared" si="23"/>
        <v>184771.38888888891</v>
      </c>
      <c r="U7" s="20">
        <f t="shared" si="23"/>
        <v>184771.38888888891</v>
      </c>
      <c r="W7" s="2" t="s">
        <v>663</v>
      </c>
    </row>
    <row spans="1:23" r="8" x14ac:dyDescent="0.25">
      <c r="F8" s="29"/>
      <c r="W8" s="2" t="s">
        <v>664</v>
      </c>
    </row>
    <row spans="1:23" r="9" x14ac:dyDescent="0.25">
      <c r="B9" s="2" t="s">
        <v>13</v>
      </c>
      <c r="C9" s="20">
        <v>55284</v>
      </c>
      <c r="D9" s="20">
        <v>52104</v>
      </c>
      <c r="E9" s="20">
        <f>E6*E10</f>
        <v>53483.653510713877</v>
      </c>
      <c r="F9" s="20">
        <f>F6*F10</f>
        <v>53654.414670310573</v>
      </c>
      <c r="G9" s="20">
        <f ref="G9:L9" t="shared" si="24">G6*G10</f>
        <v>71539.219560414087</v>
      </c>
      <c r="H9" s="20">
        <f t="shared" si="24"/>
        <v>71539.219560414087</v>
      </c>
      <c r="I9" s="20">
        <f t="shared" si="24"/>
        <v>71539.219560414087</v>
      </c>
      <c r="J9" s="20">
        <f t="shared" si="24"/>
        <v>71539.219560414087</v>
      </c>
      <c r="K9" s="20">
        <f t="shared" si="24"/>
        <v>0</v>
      </c>
      <c r="L9" s="20">
        <f t="shared" si="24"/>
        <v>107308.82934062115</v>
      </c>
      <c r="M9" s="20">
        <f ref="M9" t="shared" si="25">M6*M10</f>
        <v>107308.82934062115</v>
      </c>
      <c r="N9" s="20">
        <f ref="N9" t="shared" si="26">N6*N10</f>
        <v>107308.82934062115</v>
      </c>
      <c r="O9" s="20">
        <f ref="O9" t="shared" si="27">O6*O10</f>
        <v>107308.82934062115</v>
      </c>
      <c r="P9" s="20">
        <f ref="P9" t="shared" si="28">P6*P10</f>
        <v>107308.82934062115</v>
      </c>
      <c r="Q9" s="20">
        <f ref="Q9" t="shared" si="29">Q6*Q10</f>
        <v>107308.82934062115</v>
      </c>
      <c r="R9" s="20">
        <f ref="R9" t="shared" si="30">R6*R10</f>
        <v>107308.82934062115</v>
      </c>
      <c r="S9" s="20">
        <f ref="S9" t="shared" si="31">S6*S10</f>
        <v>107308.82934062115</v>
      </c>
      <c r="T9" s="20">
        <f ref="T9" t="shared" si="32">T6*T10</f>
        <v>107308.82934062115</v>
      </c>
      <c r="U9" s="20">
        <f ref="U9" t="shared" si="33">U6*U10</f>
        <v>107308.82934062115</v>
      </c>
    </row>
    <row spans="1:23" r="10" x14ac:dyDescent="0.25">
      <c r="B10" s="18" t="s">
        <v>14</v>
      </c>
      <c r="C10" s="74">
        <f>C9/C6</f>
        <v>0.25348470398356687</v>
      </c>
      <c r="D10" s="74">
        <f ref="D10" t="shared" si="34">D9/D6</f>
        <v>0.23048646161876662</v>
      </c>
      <c r="E10" s="74">
        <f>AVERAGE($C$10:$D$10)</f>
        <v>0.24198558280116675</v>
      </c>
      <c r="F10" s="75">
        <f>AVERAGE($C$10:$E$10)</f>
        <v>0.24198558280116675</v>
      </c>
      <c r="G10" s="76">
        <f ref="G10:U10" t="shared" si="35">AVERAGE($C$10:$E$10)</f>
        <v>0.24198558280116675</v>
      </c>
      <c r="H10" s="76">
        <f t="shared" si="35"/>
        <v>0.24198558280116675</v>
      </c>
      <c r="I10" s="76">
        <f t="shared" si="35"/>
        <v>0.24198558280116675</v>
      </c>
      <c r="J10" s="76">
        <f t="shared" si="35"/>
        <v>0.24198558280116675</v>
      </c>
      <c r="K10" s="76"/>
      <c r="L10" s="76">
        <f t="shared" si="35"/>
        <v>0.24198558280116675</v>
      </c>
      <c r="M10" s="76">
        <f t="shared" si="35"/>
        <v>0.24198558280116675</v>
      </c>
      <c r="N10" s="76">
        <f t="shared" si="35"/>
        <v>0.24198558280116675</v>
      </c>
      <c r="O10" s="76">
        <f t="shared" si="35"/>
        <v>0.24198558280116675</v>
      </c>
      <c r="P10" s="76">
        <f t="shared" si="35"/>
        <v>0.24198558280116675</v>
      </c>
      <c r="Q10" s="76">
        <f t="shared" si="35"/>
        <v>0.24198558280116675</v>
      </c>
      <c r="R10" s="76">
        <f t="shared" si="35"/>
        <v>0.24198558280116675</v>
      </c>
      <c r="S10" s="76">
        <f t="shared" si="35"/>
        <v>0.24198558280116675</v>
      </c>
      <c r="T10" s="76">
        <f t="shared" si="35"/>
        <v>0.24198558280116675</v>
      </c>
      <c r="U10" s="76">
        <f t="shared" si="35"/>
        <v>0.24198558280116675</v>
      </c>
    </row>
    <row spans="1:23" r="11" x14ac:dyDescent="0.25">
      <c r="B11" s="18"/>
      <c r="C11" s="74"/>
      <c r="D11" s="74"/>
      <c r="E11" s="74"/>
      <c r="F11" s="75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</row>
    <row spans="1:23" r="12" x14ac:dyDescent="0.25">
      <c r="B12" s="2" t="s">
        <v>15</v>
      </c>
      <c r="C12" s="20"/>
      <c r="D12" s="20"/>
      <c r="E12" s="20"/>
      <c r="F12" s="20">
        <f>F19+F25</f>
        <v>173425.1875</v>
      </c>
      <c r="G12" s="20">
        <f ref="G12:J12" t="shared" si="36">G19+G25</f>
        <v>130335.00000000003</v>
      </c>
      <c r="H12" s="20">
        <f t="shared" si="36"/>
        <v>99500</v>
      </c>
      <c r="I12" s="20">
        <f t="shared" si="36"/>
        <v>7884.583333333343</v>
      </c>
      <c r="J12" s="20">
        <f t="shared" si="36"/>
        <v>-36406.500000000007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</row>
    <row spans="1:23" r="13" x14ac:dyDescent="0.25">
      <c r="E13" s="65"/>
      <c r="F13" s="29"/>
    </row>
    <row spans="1:23" outlineLevel="1" r="14" x14ac:dyDescent="0.25">
      <c r="B14" s="2" t="s">
        <v>16</v>
      </c>
      <c r="E14" s="65"/>
      <c r="F14" s="29"/>
    </row>
    <row spans="1:23" outlineLevel="1" r="15" x14ac:dyDescent="0.25">
      <c r="B15" s="69" t="s">
        <v>17</v>
      </c>
      <c r="C15" s="69"/>
      <c r="D15" s="69"/>
      <c r="E15" s="77"/>
      <c r="F15" s="78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</row>
    <row spans="1:23" outlineLevel="1" r="16" x14ac:dyDescent="0.25">
      <c r="B16" s="2" t="s">
        <v>18</v>
      </c>
      <c r="E16" s="65"/>
      <c r="F16" s="20">
        <v>100</v>
      </c>
      <c r="G16" s="20">
        <v>90</v>
      </c>
      <c r="H16" s="20">
        <v>80</v>
      </c>
      <c r="I16" s="20">
        <v>70</v>
      </c>
      <c r="J16" s="20">
        <v>60</v>
      </c>
    </row>
    <row spans="2:21" outlineLevel="1" r="17" x14ac:dyDescent="0.25">
      <c r="B17" s="2" t="s">
        <v>19</v>
      </c>
      <c r="E17" s="65"/>
      <c r="F17" s="20">
        <f>F16-60</f>
        <v>40</v>
      </c>
      <c r="G17" s="20">
        <f ref="G17:J17" t="shared" si="37">G16-60</f>
        <v>30</v>
      </c>
      <c r="H17" s="20">
        <f t="shared" si="37"/>
        <v>20</v>
      </c>
      <c r="I17" s="20">
        <f t="shared" si="37"/>
        <v>10</v>
      </c>
      <c r="J17" s="20">
        <f t="shared" si="37"/>
        <v>0</v>
      </c>
    </row>
    <row spans="2:21" outlineLevel="1" r="18" x14ac:dyDescent="0.25">
      <c r="B18" s="2" t="s">
        <v>20</v>
      </c>
      <c r="F18" s="20">
        <f ref="F18:J18" t="shared" si="38">2.7*1000</f>
        <v>2700</v>
      </c>
      <c r="G18" s="20">
        <f t="shared" si="38"/>
        <v>2700</v>
      </c>
      <c r="H18" s="20">
        <f t="shared" si="38"/>
        <v>2700</v>
      </c>
      <c r="I18" s="20">
        <f t="shared" si="38"/>
        <v>2700</v>
      </c>
      <c r="J18" s="20">
        <f t="shared" si="38"/>
        <v>2700</v>
      </c>
    </row>
    <row spans="2:21" outlineLevel="1" r="19" x14ac:dyDescent="0.25">
      <c r="B19" s="2" t="s">
        <v>21</v>
      </c>
      <c r="F19" s="20">
        <f>F18*F17</f>
        <v>108000</v>
      </c>
      <c r="G19" s="20">
        <f ref="G19:J19" t="shared" si="39">G18*G17</f>
        <v>81000</v>
      </c>
      <c r="H19" s="20">
        <f t="shared" si="39"/>
        <v>54000</v>
      </c>
      <c r="I19" s="20">
        <f t="shared" si="39"/>
        <v>27000</v>
      </c>
      <c r="J19" s="20">
        <f t="shared" si="39"/>
        <v>0</v>
      </c>
    </row>
    <row spans="2:21" outlineLevel="1" r="20" x14ac:dyDescent="0.25">
      <c r="B20" s="69" t="s">
        <v>22</v>
      </c>
      <c r="C20" s="69"/>
      <c r="D20" s="69"/>
      <c r="E20" s="77"/>
      <c r="F20" s="78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</row>
    <row spans="2:21" outlineLevel="1" r="21" x14ac:dyDescent="0.25">
      <c r="B21" s="2" t="s">
        <v>23</v>
      </c>
      <c r="F21" s="20">
        <v>61000</v>
      </c>
      <c r="G21" s="20"/>
      <c r="H21" s="20"/>
      <c r="I21" s="20"/>
      <c r="J21" s="20"/>
    </row>
    <row spans="2:21" outlineLevel="1" r="22" x14ac:dyDescent="0.25">
      <c r="B22" s="2" t="s">
        <v>24</v>
      </c>
      <c r="F22" s="20">
        <f>'TTF and brentForward Curve'!H4</f>
        <v>34.667499999999997</v>
      </c>
      <c r="G22" s="20">
        <f>'TTF and brentForward Curve'!I4</f>
        <v>22.590000000000003</v>
      </c>
      <c r="H22" s="20">
        <v>22</v>
      </c>
      <c r="I22" s="20">
        <f>'TTF and brentForward Curve'!K4</f>
        <v>12.059166666666668</v>
      </c>
      <c r="J22" s="20">
        <f>'TTF and brentForward Curve'!L4</f>
        <v>9.3989999999999991</v>
      </c>
    </row>
    <row spans="2:21" outlineLevel="1" r="23" x14ac:dyDescent="0.25">
      <c r="B23" s="2" t="s">
        <v>25</v>
      </c>
      <c r="F23" s="20">
        <f>F22-15</f>
        <v>19.667499999999997</v>
      </c>
      <c r="G23" s="20">
        <f ref="G23:J23" t="shared" si="40">G22-15</f>
        <v>7.5900000000000034</v>
      </c>
      <c r="H23" s="20">
        <f t="shared" si="40"/>
        <v>7</v>
      </c>
      <c r="I23" s="20">
        <f t="shared" si="40"/>
        <v>-2.9408333333333321</v>
      </c>
      <c r="J23" s="20">
        <f t="shared" si="40"/>
        <v>-5.6010000000000009</v>
      </c>
    </row>
    <row spans="2:21" outlineLevel="1" r="24" x14ac:dyDescent="0.25">
      <c r="B24" s="2" t="s">
        <v>26</v>
      </c>
      <c r="F24" s="20">
        <v>900</v>
      </c>
      <c r="G24" s="20">
        <v>6500</v>
      </c>
      <c r="H24" s="20">
        <v>6500</v>
      </c>
      <c r="I24" s="20">
        <v>6500</v>
      </c>
      <c r="J24" s="20">
        <v>6500</v>
      </c>
    </row>
    <row spans="2:21" outlineLevel="1" r="25" x14ac:dyDescent="0.25">
      <c r="B25" s="2" t="s">
        <v>27</v>
      </c>
      <c r="F25" s="20">
        <f>F23*F24*0.25+F21</f>
        <v>65425.1875</v>
      </c>
      <c r="G25" s="20">
        <f>G23*G24</f>
        <v>49335.000000000022</v>
      </c>
      <c r="H25" s="20">
        <f ref="H25:J25" t="shared" si="41">H23*H24</f>
        <v>45500</v>
      </c>
      <c r="I25" s="20">
        <f t="shared" si="41"/>
        <v>-19115.416666666657</v>
      </c>
      <c r="J25" s="20">
        <f t="shared" si="41"/>
        <v>-36406.500000000007</v>
      </c>
      <c r="K25" s="20"/>
    </row>
    <row spans="2:21" outlineLevel="1" r="26" x14ac:dyDescent="0.25">
      <c r="F26" s="29"/>
    </row>
    <row spans="2:21" r="27" x14ac:dyDescent="0.25">
      <c r="F27" s="29"/>
    </row>
    <row spans="2:21" r="28" x14ac:dyDescent="0.25">
      <c r="B28" s="2" t="s">
        <v>29</v>
      </c>
      <c r="C28" s="20">
        <v>1526</v>
      </c>
      <c r="D28" s="20">
        <v>1672</v>
      </c>
      <c r="E28" s="20">
        <f ref="E28:L28" t="shared" si="42">E29*E6</f>
        <v>1590.5872880762745</v>
      </c>
      <c r="F28" s="20">
        <f t="shared" si="42"/>
        <v>1595.6656720669505</v>
      </c>
      <c r="G28" s="20">
        <f t="shared" si="42"/>
        <v>2127.5542294226007</v>
      </c>
      <c r="H28" s="20">
        <f t="shared" si="42"/>
        <v>2127.5542294226007</v>
      </c>
      <c r="I28" s="20">
        <f t="shared" si="42"/>
        <v>2127.5542294226007</v>
      </c>
      <c r="J28" s="20">
        <f t="shared" si="42"/>
        <v>2127.5542294226007</v>
      </c>
      <c r="K28" s="20">
        <f t="shared" si="42"/>
        <v>0</v>
      </c>
      <c r="L28" s="20">
        <f t="shared" si="42"/>
        <v>3191.331344133901</v>
      </c>
      <c r="M28" s="20">
        <f ref="M28:U28" t="shared" si="43">M29*M6</f>
        <v>3191.331344133901</v>
      </c>
      <c r="N28" s="20">
        <f t="shared" si="43"/>
        <v>3191.331344133901</v>
      </c>
      <c r="O28" s="20">
        <f t="shared" si="43"/>
        <v>3191.331344133901</v>
      </c>
      <c r="P28" s="20">
        <f t="shared" si="43"/>
        <v>3191.331344133901</v>
      </c>
      <c r="Q28" s="20">
        <f t="shared" si="43"/>
        <v>3191.331344133901</v>
      </c>
      <c r="R28" s="20">
        <f t="shared" si="43"/>
        <v>3191.331344133901</v>
      </c>
      <c r="S28" s="20">
        <f t="shared" si="43"/>
        <v>3191.331344133901</v>
      </c>
      <c r="T28" s="20">
        <f t="shared" si="43"/>
        <v>3191.331344133901</v>
      </c>
      <c r="U28" s="20">
        <f t="shared" si="43"/>
        <v>3191.331344133901</v>
      </c>
    </row>
    <row spans="2:21" r="29" x14ac:dyDescent="0.25">
      <c r="B29" s="18" t="s">
        <v>14</v>
      </c>
      <c r="C29" s="74">
        <f>C28/C6</f>
        <v>6.996918788056636E-3</v>
      </c>
      <c r="D29" s="74">
        <f>D28/D6</f>
        <v>7.3962337599143592E-3</v>
      </c>
      <c r="E29" s="74">
        <f>AVERAGE($C$29:$D$29)</f>
        <v>7.1965762739854972E-3</v>
      </c>
      <c r="F29" s="75">
        <f>AVERAGE($C$29:$E$29)</f>
        <v>7.1965762739854972E-3</v>
      </c>
      <c r="G29" s="76">
        <f>AVERAGE($C$29:$E$29)</f>
        <v>7.1965762739854972E-3</v>
      </c>
      <c r="H29" s="76">
        <f>AVERAGE($C$29:$E$29)</f>
        <v>7.1965762739854972E-3</v>
      </c>
      <c r="I29" s="76">
        <f>AVERAGE($C$29:$E$29)</f>
        <v>7.1965762739854972E-3</v>
      </c>
      <c r="J29" s="76">
        <f>AVERAGE($C$29:$E$29)</f>
        <v>7.1965762739854972E-3</v>
      </c>
      <c r="K29" s="76"/>
      <c r="L29" s="76">
        <f>AVERAGE($C$29:$E$29)</f>
        <v>7.1965762739854972E-3</v>
      </c>
      <c r="M29" s="76">
        <f ref="M29:U29" t="shared" si="44">AVERAGE($C$29:$E$29)</f>
        <v>7.1965762739854972E-3</v>
      </c>
      <c r="N29" s="76">
        <f t="shared" si="44"/>
        <v>7.1965762739854972E-3</v>
      </c>
      <c r="O29" s="76">
        <f t="shared" si="44"/>
        <v>7.1965762739854972E-3</v>
      </c>
      <c r="P29" s="76">
        <f t="shared" si="44"/>
        <v>7.1965762739854972E-3</v>
      </c>
      <c r="Q29" s="76">
        <f t="shared" si="44"/>
        <v>7.1965762739854972E-3</v>
      </c>
      <c r="R29" s="76">
        <f t="shared" si="44"/>
        <v>7.1965762739854972E-3</v>
      </c>
      <c r="S29" s="76">
        <f t="shared" si="44"/>
        <v>7.1965762739854972E-3</v>
      </c>
      <c r="T29" s="76">
        <f t="shared" si="44"/>
        <v>7.1965762739854972E-3</v>
      </c>
      <c r="U29" s="76">
        <f t="shared" si="44"/>
        <v>7.1965762739854972E-3</v>
      </c>
    </row>
    <row spans="2:21" r="30" x14ac:dyDescent="0.25">
      <c r="B30" s="2" t="s">
        <v>30</v>
      </c>
      <c r="C30" s="20">
        <v>3173</v>
      </c>
      <c r="D30" s="20">
        <v>2793</v>
      </c>
      <c r="E30" s="20">
        <f ref="E30:L30" t="shared" si="45">E31*E6</f>
        <v>2973.12915066914</v>
      </c>
      <c r="F30" s="20">
        <f t="shared" si="45"/>
        <v>2982.6216768537488</v>
      </c>
      <c r="G30" s="20">
        <f t="shared" si="45"/>
        <v>3976.8289024716651</v>
      </c>
      <c r="H30" s="20">
        <f t="shared" si="45"/>
        <v>3976.8289024716651</v>
      </c>
      <c r="I30" s="20">
        <f t="shared" si="45"/>
        <v>3976.8289024716651</v>
      </c>
      <c r="J30" s="20">
        <f t="shared" si="45"/>
        <v>3976.8289024716651</v>
      </c>
      <c r="K30" s="20">
        <f t="shared" si="45"/>
        <v>0</v>
      </c>
      <c r="L30" s="20">
        <f t="shared" si="45"/>
        <v>5965.2433537074976</v>
      </c>
      <c r="M30" s="20">
        <f ref="M30:U30" t="shared" si="46">M31*M6</f>
        <v>5965.2433537074976</v>
      </c>
      <c r="N30" s="20">
        <f t="shared" si="46"/>
        <v>5965.2433537074976</v>
      </c>
      <c r="O30" s="20">
        <f t="shared" si="46"/>
        <v>5965.2433537074976</v>
      </c>
      <c r="P30" s="20">
        <f t="shared" si="46"/>
        <v>5965.2433537074976</v>
      </c>
      <c r="Q30" s="20">
        <f t="shared" si="46"/>
        <v>5965.2433537074976</v>
      </c>
      <c r="R30" s="20">
        <f t="shared" si="46"/>
        <v>5965.2433537074976</v>
      </c>
      <c r="S30" s="20">
        <f t="shared" si="46"/>
        <v>5965.2433537074976</v>
      </c>
      <c r="T30" s="20">
        <f t="shared" si="46"/>
        <v>5965.2433537074976</v>
      </c>
      <c r="U30" s="20">
        <f t="shared" si="46"/>
        <v>5965.2433537074976</v>
      </c>
    </row>
    <row spans="2:21" r="31" x14ac:dyDescent="0.25">
      <c r="B31" s="18" t="s">
        <v>14</v>
      </c>
      <c r="C31" s="74">
        <f>C30/C6</f>
        <v>1.4548639131391681E-2</v>
      </c>
      <c r="D31" s="74">
        <f>D30/D6</f>
        <v>1.2355072303493305E-2</v>
      </c>
      <c r="E31" s="74">
        <f>AVERAGE(C31:D31)</f>
        <v>1.3451855717442493E-2</v>
      </c>
      <c r="F31" s="75">
        <f>AVERAGE($C$31:$E$31)</f>
        <v>1.3451855717442493E-2</v>
      </c>
      <c r="G31" s="76">
        <f>AVERAGE($C$31:$E$31)</f>
        <v>1.3451855717442493E-2</v>
      </c>
      <c r="H31" s="76">
        <f>AVERAGE($C$31:$E$31)</f>
        <v>1.3451855717442493E-2</v>
      </c>
      <c r="I31" s="76">
        <f>AVERAGE($C$31:$E$31)</f>
        <v>1.3451855717442493E-2</v>
      </c>
      <c r="J31" s="76">
        <f>AVERAGE($C$31:$E$31)</f>
        <v>1.3451855717442493E-2</v>
      </c>
      <c r="K31" s="76"/>
      <c r="L31" s="76">
        <f>AVERAGE($C$31:$E$31)</f>
        <v>1.3451855717442493E-2</v>
      </c>
      <c r="M31" s="76">
        <f ref="M31:U31" t="shared" si="47">AVERAGE($C$31:$E$31)</f>
        <v>1.3451855717442493E-2</v>
      </c>
      <c r="N31" s="76">
        <f t="shared" si="47"/>
        <v>1.3451855717442493E-2</v>
      </c>
      <c r="O31" s="76">
        <f t="shared" si="47"/>
        <v>1.3451855717442493E-2</v>
      </c>
      <c r="P31" s="76">
        <f t="shared" si="47"/>
        <v>1.3451855717442493E-2</v>
      </c>
      <c r="Q31" s="76">
        <f t="shared" si="47"/>
        <v>1.3451855717442493E-2</v>
      </c>
      <c r="R31" s="76">
        <f t="shared" si="47"/>
        <v>1.3451855717442493E-2</v>
      </c>
      <c r="S31" s="76">
        <f t="shared" si="47"/>
        <v>1.3451855717442493E-2</v>
      </c>
      <c r="T31" s="76">
        <f t="shared" si="47"/>
        <v>1.3451855717442493E-2</v>
      </c>
      <c r="U31" s="76">
        <f t="shared" si="47"/>
        <v>1.3451855717442493E-2</v>
      </c>
    </row>
    <row spans="2:21" r="32" x14ac:dyDescent="0.25">
      <c r="B32" s="2" t="s">
        <v>31</v>
      </c>
      <c r="C32" s="2">
        <v>-2962</v>
      </c>
      <c r="D32" s="2">
        <v>0</v>
      </c>
      <c r="E32" s="2">
        <v>0</v>
      </c>
      <c r="F32" s="29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</row>
    <row spans="2:34" r="33" x14ac:dyDescent="0.25">
      <c r="B33" s="18"/>
      <c r="C33" s="74"/>
      <c r="D33" s="74"/>
      <c r="E33" s="74"/>
      <c r="F33" s="29"/>
    </row>
    <row spans="2:34" r="34" x14ac:dyDescent="0.25">
      <c r="F34" s="29"/>
    </row>
    <row spans="2:34" r="35" x14ac:dyDescent="0.25">
      <c r="B35" s="2" t="s">
        <v>665</v>
      </c>
      <c r="C35" s="20"/>
      <c r="D35" s="20"/>
      <c r="E35" s="20"/>
      <c r="F35" s="20">
        <f ref="F35:L35" t="shared" si="48">F6-F9+F12-F28-F30</f>
        <v>336918.15214743541</v>
      </c>
      <c r="G35" s="20">
        <f t="shared" si="48"/>
        <v>348325.61952991388</v>
      </c>
      <c r="H35" s="20">
        <f t="shared" si="48"/>
        <v>317490.61952991388</v>
      </c>
      <c r="I35" s="20">
        <f t="shared" si="48"/>
        <v>225875.20286324725</v>
      </c>
      <c r="J35" s="20">
        <f t="shared" si="48"/>
        <v>181584.11952991391</v>
      </c>
      <c r="K35" s="20">
        <f t="shared" si="48"/>
        <v>0</v>
      </c>
      <c r="L35" s="20">
        <f t="shared" si="48"/>
        <v>326985.92929487088</v>
      </c>
      <c r="M35" s="20">
        <f ref="M35:U35" t="shared" si="49">M6-M9+M12-M28-M30</f>
        <v>326985.92929487088</v>
      </c>
      <c r="N35" s="20">
        <f t="shared" si="49"/>
        <v>326985.92929487088</v>
      </c>
      <c r="O35" s="20">
        <f t="shared" si="49"/>
        <v>326985.92929487088</v>
      </c>
      <c r="P35" s="20">
        <f t="shared" si="49"/>
        <v>326985.92929487088</v>
      </c>
      <c r="Q35" s="20">
        <f t="shared" si="49"/>
        <v>326985.92929487088</v>
      </c>
      <c r="R35" s="20">
        <f t="shared" si="49"/>
        <v>326985.92929487088</v>
      </c>
      <c r="S35" s="20">
        <f t="shared" si="49"/>
        <v>326985.92929487088</v>
      </c>
      <c r="T35" s="20">
        <f t="shared" si="49"/>
        <v>326985.92929487088</v>
      </c>
      <c r="U35" s="20">
        <f t="shared" si="49"/>
        <v>326985.92929487088</v>
      </c>
    </row>
    <row spans="2:34" r="36" x14ac:dyDescent="0.25">
      <c r="B36" s="2" t="s">
        <v>47</v>
      </c>
      <c r="C36" s="68"/>
      <c r="D36" s="68"/>
      <c r="E36" s="68"/>
      <c r="F36" s="68"/>
    </row>
    <row spans="2:34" r="37" x14ac:dyDescent="0.25">
      <c r="B37" s="2" t="s">
        <v>48</v>
      </c>
    </row>
    <row spans="2:34" r="43" x14ac:dyDescent="0.25">
      <c r="B43" s="12"/>
    </row>
    <row spans="2:34" r="44" x14ac:dyDescent="0.25">
      <c r="B44" s="24" t="s">
        <v>33</v>
      </c>
      <c r="C44" s="24">
        <v>2019</v>
      </c>
      <c r="D44" s="24">
        <v>2020</v>
      </c>
      <c r="E44" s="24">
        <v>2021</v>
      </c>
      <c r="F44" s="72">
        <v>2022</v>
      </c>
      <c r="G44" s="24">
        <f>F44+1</f>
        <v>2023</v>
      </c>
      <c r="H44" s="24">
        <f ref="H44" t="shared" si="50">G44+1</f>
        <v>2024</v>
      </c>
      <c r="I44" s="24">
        <f ref="I44" t="shared" si="51">H44+1</f>
        <v>2025</v>
      </c>
      <c r="J44" s="24">
        <f ref="J44" t="shared" si="52">I44+1</f>
        <v>2026</v>
      </c>
      <c r="K44" s="24">
        <f ref="K44" t="shared" si="53">J44+1</f>
        <v>2027</v>
      </c>
      <c r="L44" s="24">
        <f ref="L44" t="shared" si="54">K44+1</f>
        <v>2028</v>
      </c>
      <c r="M44" s="24">
        <f ref="M44" t="shared" si="55">L44+1</f>
        <v>2029</v>
      </c>
      <c r="N44" s="24">
        <f ref="N44" t="shared" si="56">M44+1</f>
        <v>2030</v>
      </c>
      <c r="O44" s="24">
        <f ref="O44" t="shared" si="57">N44+1</f>
        <v>2031</v>
      </c>
      <c r="P44" s="24">
        <f ref="P44" t="shared" si="58">O44+1</f>
        <v>2032</v>
      </c>
      <c r="Q44" s="24">
        <f ref="Q44" t="shared" si="59">P44+1</f>
        <v>2033</v>
      </c>
      <c r="R44" s="24">
        <f ref="R44" t="shared" si="60">Q44+1</f>
        <v>2034</v>
      </c>
      <c r="S44" s="24">
        <f ref="S44" t="shared" si="61">R44+1</f>
        <v>2035</v>
      </c>
      <c r="T44" s="24">
        <f ref="T44" t="shared" si="62">S44+1</f>
        <v>2036</v>
      </c>
      <c r="U44" s="24">
        <f ref="U44" t="shared" si="63">T44+1</f>
        <v>2037</v>
      </c>
      <c r="V44" s="24">
        <f ref="V44" t="shared" si="64">U44+1</f>
        <v>2038</v>
      </c>
      <c r="W44" s="24">
        <f ref="W44" t="shared" si="65">V44+1</f>
        <v>2039</v>
      </c>
      <c r="X44" s="24">
        <f ref="X44" t="shared" si="66">W44+1</f>
        <v>2040</v>
      </c>
      <c r="Y44" s="24">
        <f ref="Y44" t="shared" si="67">X44+1</f>
        <v>2041</v>
      </c>
      <c r="Z44" s="24">
        <f ref="Z44" t="shared" si="68">Y44+1</f>
        <v>2042</v>
      </c>
      <c r="AA44" s="24"/>
      <c r="AB44" s="24"/>
      <c r="AC44" s="24"/>
      <c r="AD44" s="24"/>
      <c r="AE44" s="24"/>
      <c r="AF44" s="24"/>
      <c r="AG44" s="24"/>
      <c r="AH44" s="24"/>
    </row>
    <row spans="2:34" r="45" x14ac:dyDescent="0.25">
      <c r="B45" s="2" t="s">
        <v>9</v>
      </c>
      <c r="G45" s="2">
        <v>2.4500000000000002</v>
      </c>
      <c r="H45" s="2">
        <v>2.4500000000000002</v>
      </c>
      <c r="I45" s="2">
        <v>2.4500000000000002</v>
      </c>
      <c r="J45" s="2">
        <v>2.4500000000000002</v>
      </c>
      <c r="K45" s="2">
        <v>2.4500000000000002</v>
      </c>
      <c r="L45" s="2">
        <v>2.4500000000000002</v>
      </c>
      <c r="M45" s="2">
        <v>2.4500000000000002</v>
      </c>
      <c r="N45" s="2">
        <v>2.4500000000000002</v>
      </c>
      <c r="O45" s="2">
        <v>2.4500000000000002</v>
      </c>
      <c r="P45" s="2">
        <v>2.4500000000000002</v>
      </c>
      <c r="Q45" s="2">
        <v>2.4500000000000002</v>
      </c>
      <c r="R45" s="2">
        <v>2.4500000000000002</v>
      </c>
      <c r="S45" s="2">
        <v>2.4500000000000002</v>
      </c>
      <c r="T45" s="2">
        <v>2.4500000000000002</v>
      </c>
      <c r="U45" s="2">
        <v>2.4500000000000002</v>
      </c>
      <c r="V45" s="2">
        <v>2.4500000000000002</v>
      </c>
      <c r="W45" s="2">
        <v>2.4500000000000002</v>
      </c>
      <c r="X45" s="2">
        <v>2.4500000000000002</v>
      </c>
      <c r="Y45" s="2">
        <v>2.4500000000000002</v>
      </c>
      <c r="Z45" s="2">
        <v>2.4500000000000002</v>
      </c>
    </row>
    <row spans="2:34" r="46" x14ac:dyDescent="0.25">
      <c r="B46" s="2" t="s">
        <v>10</v>
      </c>
      <c r="F46" s="29"/>
      <c r="G46" s="2">
        <v>2.4500000000000002</v>
      </c>
      <c r="H46" s="2">
        <v>2.4500000000000002</v>
      </c>
      <c r="I46" s="2">
        <v>2.4500000000000002</v>
      </c>
      <c r="J46" s="2">
        <v>2.4500000000000002</v>
      </c>
      <c r="K46" s="2">
        <v>2.4500000000000002</v>
      </c>
      <c r="L46" s="2">
        <v>2.4500000000000002</v>
      </c>
      <c r="M46" s="2">
        <v>2.4500000000000002</v>
      </c>
      <c r="N46" s="2">
        <v>2.4500000000000002</v>
      </c>
      <c r="O46" s="2">
        <v>2.4500000000000002</v>
      </c>
      <c r="P46" s="2">
        <v>2.4500000000000002</v>
      </c>
      <c r="Q46" s="2">
        <v>2.4500000000000002</v>
      </c>
      <c r="R46" s="2">
        <v>2.4500000000000002</v>
      </c>
      <c r="S46" s="2">
        <v>2.4500000000000002</v>
      </c>
      <c r="T46" s="2">
        <v>2.4500000000000002</v>
      </c>
      <c r="U46" s="2">
        <v>2.4500000000000002</v>
      </c>
      <c r="V46" s="2">
        <v>2.4500000000000002</v>
      </c>
      <c r="W46" s="2">
        <v>2.4500000000000002</v>
      </c>
      <c r="X46" s="2">
        <v>2.4500000000000002</v>
      </c>
      <c r="Y46" s="2">
        <v>2.4500000000000002</v>
      </c>
      <c r="Z46" s="2">
        <v>2.4500000000000002</v>
      </c>
    </row>
    <row spans="2:34" r="47" x14ac:dyDescent="0.25">
      <c r="B47" s="2" t="s">
        <v>11</v>
      </c>
      <c r="C47" s="20"/>
      <c r="D47" s="20"/>
      <c r="E47" s="20"/>
      <c r="F47" s="20"/>
      <c r="G47" s="20">
        <f ref="G47" t="shared" si="69">G48*G46</f>
        <v>452689.90277777787</v>
      </c>
      <c r="H47" s="20">
        <f ref="H47" t="shared" si="70">H48*H46</f>
        <v>452689.90277777787</v>
      </c>
      <c r="I47" s="20">
        <f ref="I47" t="shared" si="71">I48*I46</f>
        <v>452689.90277777787</v>
      </c>
      <c r="J47" s="20">
        <f ref="J47:K47" t="shared" si="72">J48*J46</f>
        <v>452689.90277777787</v>
      </c>
      <c r="K47" s="20">
        <f t="shared" si="72"/>
        <v>452689.90277777787</v>
      </c>
      <c r="L47" s="20">
        <f ref="L47" t="shared" si="73">L48*L46</f>
        <v>452689.90277777787</v>
      </c>
      <c r="M47" s="20">
        <f ref="M47" t="shared" si="74">M48*M46</f>
        <v>452689.90277777787</v>
      </c>
      <c r="N47" s="20">
        <f ref="N47" t="shared" si="75">N48*N46</f>
        <v>452689.90277777787</v>
      </c>
      <c r="O47" s="20">
        <f ref="O47" t="shared" si="76">O48*O46</f>
        <v>452689.90277777787</v>
      </c>
      <c r="P47" s="20">
        <f ref="P47" t="shared" si="77">P48*P46</f>
        <v>452689.90277777787</v>
      </c>
      <c r="Q47" s="20">
        <f ref="Q47" t="shared" si="78">Q48*Q46</f>
        <v>452689.90277777787</v>
      </c>
      <c r="R47" s="20">
        <f ref="R47" t="shared" si="79">R48*R46</f>
        <v>452689.90277777787</v>
      </c>
      <c r="S47" s="20">
        <f ref="S47" t="shared" si="80">S48*S46</f>
        <v>452689.90277777787</v>
      </c>
      <c r="T47" s="20">
        <f ref="T47" t="shared" si="81">T48*T46</f>
        <v>452689.90277777787</v>
      </c>
      <c r="U47" s="20">
        <f ref="U47" t="shared" si="82">U48*U46</f>
        <v>452689.90277777787</v>
      </c>
      <c r="V47" s="20">
        <f ref="V47" t="shared" si="83">V48*V46</f>
        <v>452689.90277777787</v>
      </c>
      <c r="W47" s="20">
        <f ref="W47" t="shared" si="84">W48*W46</f>
        <v>452689.90277777787</v>
      </c>
      <c r="X47" s="20">
        <f ref="X47" t="shared" si="85">X48*X46</f>
        <v>452689.90277777787</v>
      </c>
      <c r="Y47" s="20">
        <f ref="Y47" t="shared" si="86">Y48*Y46</f>
        <v>452689.90277777787</v>
      </c>
      <c r="Z47" s="20">
        <f ref="Z47" t="shared" si="87">Z48*Z46</f>
        <v>452689.90277777787</v>
      </c>
    </row>
    <row spans="2:34" r="48" x14ac:dyDescent="0.25">
      <c r="B48" s="18" t="s">
        <v>12</v>
      </c>
      <c r="C48" s="20"/>
      <c r="D48" s="20"/>
      <c r="E48" s="20"/>
      <c r="F48" s="20"/>
      <c r="G48" s="20">
        <f>AVERAGE($C$7:$E$7)</f>
        <v>184771.38888888891</v>
      </c>
      <c r="H48" s="20">
        <f ref="H48:Z48" t="shared" si="88">AVERAGE($C$7:$E$7)</f>
        <v>184771.38888888891</v>
      </c>
      <c r="I48" s="20">
        <f t="shared" si="88"/>
        <v>184771.38888888891</v>
      </c>
      <c r="J48" s="20">
        <f t="shared" si="88"/>
        <v>184771.38888888891</v>
      </c>
      <c r="K48" s="20">
        <f t="shared" si="88"/>
        <v>184771.38888888891</v>
      </c>
      <c r="L48" s="20">
        <f t="shared" si="88"/>
        <v>184771.38888888891</v>
      </c>
      <c r="M48" s="20">
        <f t="shared" si="88"/>
        <v>184771.38888888891</v>
      </c>
      <c r="N48" s="20">
        <f t="shared" si="88"/>
        <v>184771.38888888891</v>
      </c>
      <c r="O48" s="20">
        <f t="shared" si="88"/>
        <v>184771.38888888891</v>
      </c>
      <c r="P48" s="20">
        <f t="shared" si="88"/>
        <v>184771.38888888891</v>
      </c>
      <c r="Q48" s="20">
        <f t="shared" si="88"/>
        <v>184771.38888888891</v>
      </c>
      <c r="R48" s="20">
        <f t="shared" si="88"/>
        <v>184771.38888888891</v>
      </c>
      <c r="S48" s="20">
        <f t="shared" si="88"/>
        <v>184771.38888888891</v>
      </c>
      <c r="T48" s="20">
        <f t="shared" si="88"/>
        <v>184771.38888888891</v>
      </c>
      <c r="U48" s="20">
        <f t="shared" si="88"/>
        <v>184771.38888888891</v>
      </c>
      <c r="V48" s="20">
        <f t="shared" si="88"/>
        <v>184771.38888888891</v>
      </c>
      <c r="W48" s="20">
        <f t="shared" si="88"/>
        <v>184771.38888888891</v>
      </c>
      <c r="X48" s="20">
        <f t="shared" si="88"/>
        <v>184771.38888888891</v>
      </c>
      <c r="Y48" s="20">
        <f t="shared" si="88"/>
        <v>184771.38888888891</v>
      </c>
      <c r="Z48" s="20">
        <f t="shared" si="88"/>
        <v>184771.38888888891</v>
      </c>
    </row>
    <row spans="2:26" r="49" x14ac:dyDescent="0.25">
      <c r="F49" s="29"/>
    </row>
    <row spans="2:26" r="50" x14ac:dyDescent="0.25">
      <c r="B50" s="2" t="s">
        <v>13</v>
      </c>
      <c r="C50" s="20"/>
      <c r="D50" s="20"/>
      <c r="E50" s="20"/>
      <c r="F50" s="20"/>
      <c r="G50" s="20">
        <f ref="G50" t="shared" si="89">G47*G51</f>
        <v>109544.42995188409</v>
      </c>
      <c r="H50" s="20">
        <f ref="H50" t="shared" si="90">H47*H51</f>
        <v>109544.42995188409</v>
      </c>
      <c r="I50" s="20">
        <f ref="I50" t="shared" si="91">I47*I51</f>
        <v>109544.42995188409</v>
      </c>
      <c r="J50" s="20">
        <f ref="J50" t="shared" si="92">J47*J51</f>
        <v>109544.42995188409</v>
      </c>
      <c r="K50" s="20">
        <f ref="K50" t="shared" si="93">K47*K51</f>
        <v>109544.42995188409</v>
      </c>
      <c r="L50" s="20">
        <f ref="L50" t="shared" si="94">L47*L51</f>
        <v>109544.42995188409</v>
      </c>
      <c r="M50" s="20">
        <f ref="M50" t="shared" si="95">M47*M51</f>
        <v>109544.42995188409</v>
      </c>
      <c r="N50" s="20">
        <f ref="N50" t="shared" si="96">N47*N51</f>
        <v>109544.42995188409</v>
      </c>
      <c r="O50" s="20">
        <f ref="O50" t="shared" si="97">O47*O51</f>
        <v>109544.42995188409</v>
      </c>
      <c r="P50" s="20">
        <f ref="P50" t="shared" si="98">P47*P51</f>
        <v>109544.42995188409</v>
      </c>
      <c r="Q50" s="20">
        <f ref="Q50" t="shared" si="99">Q47*Q51</f>
        <v>109544.42995188409</v>
      </c>
      <c r="R50" s="20">
        <f ref="R50" t="shared" si="100">R47*R51</f>
        <v>109544.42995188409</v>
      </c>
      <c r="S50" s="20">
        <f ref="S50" t="shared" si="101">S47*S51</f>
        <v>109544.42995188409</v>
      </c>
      <c r="T50" s="20">
        <f ref="T50" t="shared" si="102">T47*T51</f>
        <v>109544.42995188409</v>
      </c>
      <c r="U50" s="20">
        <f ref="U50" t="shared" si="103">U47*U51</f>
        <v>109544.42995188409</v>
      </c>
      <c r="V50" s="20">
        <f ref="V50" t="shared" si="104">V47*V51</f>
        <v>109544.42995188409</v>
      </c>
      <c r="W50" s="20">
        <f ref="W50" t="shared" si="105">W47*W51</f>
        <v>109544.42995188409</v>
      </c>
      <c r="X50" s="20">
        <f ref="X50" t="shared" si="106">X47*X51</f>
        <v>109544.42995188409</v>
      </c>
      <c r="Y50" s="20">
        <f ref="Y50" t="shared" si="107">Y47*Y51</f>
        <v>109544.42995188409</v>
      </c>
      <c r="Z50" s="20">
        <f ref="Z50" t="shared" si="108">Z47*Z51</f>
        <v>109544.42995188409</v>
      </c>
    </row>
    <row spans="2:26" r="51" x14ac:dyDescent="0.25">
      <c r="B51" s="18" t="s">
        <v>14</v>
      </c>
      <c r="C51" s="74"/>
      <c r="D51" s="74"/>
      <c r="E51" s="74"/>
      <c r="F51" s="75"/>
      <c r="G51" s="76">
        <f ref="G51:Z51" t="shared" si="109">AVERAGE($C$10:$E$10)</f>
        <v>0.24198558280116675</v>
      </c>
      <c r="H51" s="76">
        <f t="shared" si="109"/>
        <v>0.24198558280116675</v>
      </c>
      <c r="I51" s="76">
        <f t="shared" si="109"/>
        <v>0.24198558280116675</v>
      </c>
      <c r="J51" s="76">
        <f t="shared" si="109"/>
        <v>0.24198558280116675</v>
      </c>
      <c r="K51" s="76">
        <f t="shared" si="109"/>
        <v>0.24198558280116675</v>
      </c>
      <c r="L51" s="76">
        <f t="shared" si="109"/>
        <v>0.24198558280116675</v>
      </c>
      <c r="M51" s="76">
        <f t="shared" si="109"/>
        <v>0.24198558280116675</v>
      </c>
      <c r="N51" s="76">
        <f t="shared" si="109"/>
        <v>0.24198558280116675</v>
      </c>
      <c r="O51" s="76">
        <f t="shared" si="109"/>
        <v>0.24198558280116675</v>
      </c>
      <c r="P51" s="76">
        <f t="shared" si="109"/>
        <v>0.24198558280116675</v>
      </c>
      <c r="Q51" s="76">
        <f t="shared" si="109"/>
        <v>0.24198558280116675</v>
      </c>
      <c r="R51" s="76">
        <f t="shared" si="109"/>
        <v>0.24198558280116675</v>
      </c>
      <c r="S51" s="76">
        <f t="shared" si="109"/>
        <v>0.24198558280116675</v>
      </c>
      <c r="T51" s="76">
        <f t="shared" si="109"/>
        <v>0.24198558280116675</v>
      </c>
      <c r="U51" s="76">
        <f t="shared" si="109"/>
        <v>0.24198558280116675</v>
      </c>
      <c r="V51" s="76">
        <f t="shared" si="109"/>
        <v>0.24198558280116675</v>
      </c>
      <c r="W51" s="76">
        <f t="shared" si="109"/>
        <v>0.24198558280116675</v>
      </c>
      <c r="X51" s="76">
        <f t="shared" si="109"/>
        <v>0.24198558280116675</v>
      </c>
      <c r="Y51" s="76">
        <f t="shared" si="109"/>
        <v>0.24198558280116675</v>
      </c>
      <c r="Z51" s="76">
        <f t="shared" si="109"/>
        <v>0.24198558280116675</v>
      </c>
    </row>
    <row spans="2:26" r="53" x14ac:dyDescent="0.25">
      <c r="B53" s="2" t="s">
        <v>29</v>
      </c>
      <c r="C53" s="20"/>
      <c r="D53" s="20"/>
      <c r="E53" s="20"/>
      <c r="F53" s="20"/>
      <c r="G53" s="20">
        <f>G54*G47</f>
        <v>3257.8174138033578</v>
      </c>
      <c r="H53" s="20">
        <f ref="H53:O53" t="shared" si="110">H54*H47</f>
        <v>3257.8174138033578</v>
      </c>
      <c r="I53" s="20">
        <f t="shared" si="110"/>
        <v>3257.8174138033578</v>
      </c>
      <c r="J53" s="20">
        <f t="shared" si="110"/>
        <v>3257.8174138033578</v>
      </c>
      <c r="K53" s="20">
        <f t="shared" si="110"/>
        <v>3257.8174138033578</v>
      </c>
      <c r="L53" s="20">
        <f t="shared" si="110"/>
        <v>3257.8174138033578</v>
      </c>
      <c r="M53" s="20">
        <f t="shared" si="110"/>
        <v>3257.8174138033578</v>
      </c>
      <c r="N53" s="20">
        <f t="shared" si="110"/>
        <v>3257.8174138033578</v>
      </c>
      <c r="O53" s="20">
        <f t="shared" si="110"/>
        <v>3257.8174138033578</v>
      </c>
      <c r="P53" s="20">
        <f ref="P53" t="shared" si="111">P54*P47</f>
        <v>3257.8174138033578</v>
      </c>
      <c r="Q53" s="20">
        <f ref="Q53" t="shared" si="112">Q54*Q47</f>
        <v>3257.8174138033578</v>
      </c>
      <c r="R53" s="20">
        <f ref="R53" t="shared" si="113">R54*R47</f>
        <v>3257.8174138033578</v>
      </c>
      <c r="S53" s="20">
        <f ref="S53" t="shared" si="114">S54*S47</f>
        <v>3257.8174138033578</v>
      </c>
      <c r="T53" s="20">
        <f ref="T53" t="shared" si="115">T54*T47</f>
        <v>3257.8174138033578</v>
      </c>
      <c r="U53" s="20">
        <f ref="U53" t="shared" si="116">U54*U47</f>
        <v>3257.8174138033578</v>
      </c>
      <c r="V53" s="20">
        <f ref="V53" t="shared" si="117">V54*V47</f>
        <v>3257.8174138033578</v>
      </c>
      <c r="W53" s="20">
        <f ref="W53" t="shared" si="118">W54*W47</f>
        <v>3257.8174138033578</v>
      </c>
      <c r="X53" s="20">
        <f ref="X53" t="shared" si="119">X54*X47</f>
        <v>3257.8174138033578</v>
      </c>
      <c r="Y53" s="20">
        <f ref="Y53" t="shared" si="120">Y54*Y47</f>
        <v>3257.8174138033578</v>
      </c>
      <c r="Z53" s="20">
        <f ref="Z53" t="shared" si="121">Z54*Z47</f>
        <v>3257.8174138033578</v>
      </c>
    </row>
    <row spans="2:26" r="54" x14ac:dyDescent="0.25">
      <c r="B54" s="18" t="s">
        <v>14</v>
      </c>
      <c r="C54" s="74"/>
      <c r="D54" s="74"/>
      <c r="E54" s="74"/>
      <c r="F54" s="75"/>
      <c r="G54" s="76">
        <f ref="G54:O54" t="shared" si="122">AVERAGE($C$29:$E$29)</f>
        <v>7.1965762739854972E-3</v>
      </c>
      <c r="H54" s="76">
        <f t="shared" si="122"/>
        <v>7.1965762739854972E-3</v>
      </c>
      <c r="I54" s="76">
        <f t="shared" si="122"/>
        <v>7.1965762739854972E-3</v>
      </c>
      <c r="J54" s="76">
        <f t="shared" si="122"/>
        <v>7.1965762739854972E-3</v>
      </c>
      <c r="K54" s="76">
        <f t="shared" si="122"/>
        <v>7.1965762739854972E-3</v>
      </c>
      <c r="L54" s="76">
        <f t="shared" si="122"/>
        <v>7.1965762739854972E-3</v>
      </c>
      <c r="M54" s="76">
        <f t="shared" si="122"/>
        <v>7.1965762739854972E-3</v>
      </c>
      <c r="N54" s="76">
        <f t="shared" si="122"/>
        <v>7.1965762739854972E-3</v>
      </c>
      <c r="O54" s="76">
        <f t="shared" si="122"/>
        <v>7.1965762739854972E-3</v>
      </c>
      <c r="P54" s="76">
        <f ref="P54:Z54" t="shared" si="123">AVERAGE($C$29:$E$29)</f>
        <v>7.1965762739854972E-3</v>
      </c>
      <c r="Q54" s="76">
        <f t="shared" si="123"/>
        <v>7.1965762739854972E-3</v>
      </c>
      <c r="R54" s="76">
        <f t="shared" si="123"/>
        <v>7.1965762739854972E-3</v>
      </c>
      <c r="S54" s="76">
        <f t="shared" si="123"/>
        <v>7.1965762739854972E-3</v>
      </c>
      <c r="T54" s="76">
        <f t="shared" si="123"/>
        <v>7.1965762739854972E-3</v>
      </c>
      <c r="U54" s="76">
        <f t="shared" si="123"/>
        <v>7.1965762739854972E-3</v>
      </c>
      <c r="V54" s="76">
        <f t="shared" si="123"/>
        <v>7.1965762739854972E-3</v>
      </c>
      <c r="W54" s="76">
        <f t="shared" si="123"/>
        <v>7.1965762739854972E-3</v>
      </c>
      <c r="X54" s="76">
        <f t="shared" si="123"/>
        <v>7.1965762739854972E-3</v>
      </c>
      <c r="Y54" s="76">
        <f t="shared" si="123"/>
        <v>7.1965762739854972E-3</v>
      </c>
      <c r="Z54" s="76">
        <f t="shared" si="123"/>
        <v>7.1965762739854972E-3</v>
      </c>
    </row>
    <row spans="2:26" r="55" x14ac:dyDescent="0.25">
      <c r="B55" s="2" t="s">
        <v>30</v>
      </c>
      <c r="C55" s="20"/>
      <c r="D55" s="20"/>
      <c r="E55" s="20"/>
      <c r="F55" s="20"/>
      <c r="G55" s="20">
        <f>G56*G47</f>
        <v>6089.5192569097371</v>
      </c>
      <c r="H55" s="20">
        <f ref="H55:O55" t="shared" si="124">H56*H47</f>
        <v>6089.5192569097371</v>
      </c>
      <c r="I55" s="20">
        <f t="shared" si="124"/>
        <v>6089.5192569097371</v>
      </c>
      <c r="J55" s="20">
        <f t="shared" si="124"/>
        <v>6089.5192569097371</v>
      </c>
      <c r="K55" s="20">
        <f t="shared" si="124"/>
        <v>6089.5192569097371</v>
      </c>
      <c r="L55" s="20">
        <f t="shared" si="124"/>
        <v>6089.5192569097371</v>
      </c>
      <c r="M55" s="20">
        <f t="shared" si="124"/>
        <v>6089.5192569097371</v>
      </c>
      <c r="N55" s="20">
        <f t="shared" si="124"/>
        <v>6089.5192569097371</v>
      </c>
      <c r="O55" s="20">
        <f t="shared" si="124"/>
        <v>6089.5192569097371</v>
      </c>
      <c r="P55" s="20">
        <f ref="P55" t="shared" si="125">P56*P47</f>
        <v>6089.5192569097371</v>
      </c>
      <c r="Q55" s="20">
        <f ref="Q55" t="shared" si="126">Q56*Q47</f>
        <v>6089.5192569097371</v>
      </c>
      <c r="R55" s="20">
        <f ref="R55" t="shared" si="127">R56*R47</f>
        <v>6089.5192569097371</v>
      </c>
      <c r="S55" s="20">
        <f ref="S55" t="shared" si="128">S56*S47</f>
        <v>6089.5192569097371</v>
      </c>
      <c r="T55" s="20">
        <f ref="T55" t="shared" si="129">T56*T47</f>
        <v>6089.5192569097371</v>
      </c>
      <c r="U55" s="20">
        <f ref="U55" t="shared" si="130">U56*U47</f>
        <v>6089.5192569097371</v>
      </c>
      <c r="V55" s="20">
        <f ref="V55" t="shared" si="131">V56*V47</f>
        <v>6089.5192569097371</v>
      </c>
      <c r="W55" s="20">
        <f ref="W55" t="shared" si="132">W56*W47</f>
        <v>6089.5192569097371</v>
      </c>
      <c r="X55" s="20">
        <f ref="X55" t="shared" si="133">X56*X47</f>
        <v>6089.5192569097371</v>
      </c>
      <c r="Y55" s="20">
        <f ref="Y55" t="shared" si="134">Y56*Y47</f>
        <v>6089.5192569097371</v>
      </c>
      <c r="Z55" s="20">
        <f ref="Z55" t="shared" si="135">Z56*Z47</f>
        <v>6089.5192569097371</v>
      </c>
    </row>
    <row spans="2:26" r="56" x14ac:dyDescent="0.25">
      <c r="B56" s="18" t="s">
        <v>14</v>
      </c>
      <c r="C56" s="74"/>
      <c r="D56" s="74"/>
      <c r="E56" s="74"/>
      <c r="F56" s="75"/>
      <c r="G56" s="76">
        <f ref="G56:O56" t="shared" si="136">AVERAGE($C$31:$E$31)</f>
        <v>1.3451855717442493E-2</v>
      </c>
      <c r="H56" s="76">
        <f t="shared" si="136"/>
        <v>1.3451855717442493E-2</v>
      </c>
      <c r="I56" s="76">
        <f t="shared" si="136"/>
        <v>1.3451855717442493E-2</v>
      </c>
      <c r="J56" s="76">
        <f t="shared" si="136"/>
        <v>1.3451855717442493E-2</v>
      </c>
      <c r="K56" s="76">
        <f t="shared" si="136"/>
        <v>1.3451855717442493E-2</v>
      </c>
      <c r="L56" s="76">
        <f t="shared" si="136"/>
        <v>1.3451855717442493E-2</v>
      </c>
      <c r="M56" s="76">
        <f t="shared" si="136"/>
        <v>1.3451855717442493E-2</v>
      </c>
      <c r="N56" s="76">
        <f t="shared" si="136"/>
        <v>1.3451855717442493E-2</v>
      </c>
      <c r="O56" s="76">
        <f t="shared" si="136"/>
        <v>1.3451855717442493E-2</v>
      </c>
      <c r="P56" s="76">
        <f ref="P56:Z56" t="shared" si="137">AVERAGE($C$31:$E$31)</f>
        <v>1.3451855717442493E-2</v>
      </c>
      <c r="Q56" s="76">
        <f t="shared" si="137"/>
        <v>1.3451855717442493E-2</v>
      </c>
      <c r="R56" s="76">
        <f t="shared" si="137"/>
        <v>1.3451855717442493E-2</v>
      </c>
      <c r="S56" s="76">
        <f t="shared" si="137"/>
        <v>1.3451855717442493E-2</v>
      </c>
      <c r="T56" s="76">
        <f t="shared" si="137"/>
        <v>1.3451855717442493E-2</v>
      </c>
      <c r="U56" s="76">
        <f t="shared" si="137"/>
        <v>1.3451855717442493E-2</v>
      </c>
      <c r="V56" s="76">
        <f t="shared" si="137"/>
        <v>1.3451855717442493E-2</v>
      </c>
      <c r="W56" s="76">
        <f t="shared" si="137"/>
        <v>1.3451855717442493E-2</v>
      </c>
      <c r="X56" s="76">
        <f t="shared" si="137"/>
        <v>1.3451855717442493E-2</v>
      </c>
      <c r="Y56" s="76">
        <f t="shared" si="137"/>
        <v>1.3451855717442493E-2</v>
      </c>
      <c r="Z56" s="76">
        <f t="shared" si="137"/>
        <v>1.3451855717442493E-2</v>
      </c>
    </row>
    <row spans="2:26" r="57" x14ac:dyDescent="0.25">
      <c r="B57" s="2" t="s">
        <v>31</v>
      </c>
      <c r="F57" s="29"/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</row>
    <row spans="2:26" r="59" x14ac:dyDescent="0.25">
      <c r="B59" s="2" t="s">
        <v>34</v>
      </c>
      <c r="G59" s="20">
        <f>(G47-G50-G53-G55)*0.25</f>
        <v>83449.534038795173</v>
      </c>
      <c r="H59" s="20">
        <f ref="H59:Z59" t="shared" si="138">H47-H50-H53-H55</f>
        <v>333798.13615518069</v>
      </c>
      <c r="I59" s="20">
        <f t="shared" si="138"/>
        <v>333798.13615518069</v>
      </c>
      <c r="J59" s="20">
        <f t="shared" si="138"/>
        <v>333798.13615518069</v>
      </c>
      <c r="K59" s="20">
        <f t="shared" si="138"/>
        <v>333798.13615518069</v>
      </c>
      <c r="L59" s="20">
        <f t="shared" si="138"/>
        <v>333798.13615518069</v>
      </c>
      <c r="M59" s="20">
        <f t="shared" si="138"/>
        <v>333798.13615518069</v>
      </c>
      <c r="N59" s="20">
        <f t="shared" si="138"/>
        <v>333798.13615518069</v>
      </c>
      <c r="O59" s="20">
        <f t="shared" si="138"/>
        <v>333798.13615518069</v>
      </c>
      <c r="P59" s="20">
        <f t="shared" si="138"/>
        <v>333798.13615518069</v>
      </c>
      <c r="Q59" s="20">
        <f t="shared" si="138"/>
        <v>333798.13615518069</v>
      </c>
      <c r="R59" s="20">
        <f t="shared" si="138"/>
        <v>333798.13615518069</v>
      </c>
      <c r="S59" s="20">
        <f t="shared" si="138"/>
        <v>333798.13615518069</v>
      </c>
      <c r="T59" s="20">
        <f t="shared" si="138"/>
        <v>333798.13615518069</v>
      </c>
      <c r="U59" s="20">
        <f t="shared" si="138"/>
        <v>333798.13615518069</v>
      </c>
      <c r="V59" s="20">
        <f t="shared" si="138"/>
        <v>333798.13615518069</v>
      </c>
      <c r="W59" s="20">
        <f t="shared" si="138"/>
        <v>333798.13615518069</v>
      </c>
      <c r="X59" s="20">
        <f t="shared" si="138"/>
        <v>333798.13615518069</v>
      </c>
      <c r="Y59" s="20">
        <f t="shared" si="138"/>
        <v>333798.13615518069</v>
      </c>
      <c r="Z59" s="20">
        <f t="shared" si="138"/>
        <v>333798.13615518069</v>
      </c>
    </row>
    <row spans="2:26" r="60" x14ac:dyDescent="0.25">
      <c r="B60" s="2" t="s">
        <v>35</v>
      </c>
      <c r="G60" s="73">
        <v>0.7</v>
      </c>
      <c r="H60" s="73">
        <v>0.7</v>
      </c>
      <c r="I60" s="73">
        <v>0.7</v>
      </c>
      <c r="J60" s="73">
        <v>0.7</v>
      </c>
      <c r="K60" s="73">
        <v>0.7</v>
      </c>
      <c r="L60" s="73">
        <v>0.7</v>
      </c>
      <c r="M60" s="73">
        <v>0.7</v>
      </c>
      <c r="N60" s="73">
        <v>0.7</v>
      </c>
      <c r="O60" s="73">
        <v>0.7</v>
      </c>
      <c r="P60" s="73">
        <v>0.7</v>
      </c>
      <c r="Q60" s="73">
        <v>0.7</v>
      </c>
      <c r="R60" s="73">
        <v>0.7</v>
      </c>
      <c r="S60" s="73">
        <v>0.7</v>
      </c>
      <c r="T60" s="73">
        <v>0.7</v>
      </c>
      <c r="U60" s="73">
        <v>0.7</v>
      </c>
      <c r="V60" s="73">
        <v>0.7</v>
      </c>
      <c r="W60" s="73">
        <v>0.7</v>
      </c>
      <c r="X60" s="73">
        <v>0.7</v>
      </c>
      <c r="Y60" s="73">
        <v>0.7</v>
      </c>
      <c r="Z60" s="73">
        <v>0.7</v>
      </c>
    </row>
    <row spans="2:26" r="61" x14ac:dyDescent="0.25">
      <c r="B61" s="2" t="s">
        <v>666</v>
      </c>
      <c r="G61" s="20">
        <f>G59*G60</f>
        <v>58414.673827156614</v>
      </c>
      <c r="H61" s="20">
        <f ref="H61:Z61" t="shared" si="139">H59*H60</f>
        <v>233658.69530862645</v>
      </c>
      <c r="I61" s="20">
        <f t="shared" si="139"/>
        <v>233658.69530862645</v>
      </c>
      <c r="J61" s="20">
        <f t="shared" si="139"/>
        <v>233658.69530862645</v>
      </c>
      <c r="K61" s="20">
        <f t="shared" si="139"/>
        <v>233658.69530862645</v>
      </c>
      <c r="L61" s="20">
        <f t="shared" si="139"/>
        <v>233658.69530862645</v>
      </c>
      <c r="M61" s="20">
        <f t="shared" si="139"/>
        <v>233658.69530862645</v>
      </c>
      <c r="N61" s="20">
        <f t="shared" si="139"/>
        <v>233658.69530862645</v>
      </c>
      <c r="O61" s="20">
        <f t="shared" si="139"/>
        <v>233658.69530862645</v>
      </c>
      <c r="P61" s="20">
        <f t="shared" si="139"/>
        <v>233658.69530862645</v>
      </c>
      <c r="Q61" s="20">
        <f t="shared" si="139"/>
        <v>233658.69530862645</v>
      </c>
      <c r="R61" s="20">
        <f t="shared" si="139"/>
        <v>233658.69530862645</v>
      </c>
      <c r="S61" s="20">
        <f t="shared" si="139"/>
        <v>233658.69530862645</v>
      </c>
      <c r="T61" s="20">
        <f t="shared" si="139"/>
        <v>233658.69530862645</v>
      </c>
      <c r="U61" s="20">
        <f t="shared" si="139"/>
        <v>233658.69530862645</v>
      </c>
      <c r="V61" s="20">
        <f t="shared" si="139"/>
        <v>233658.69530862645</v>
      </c>
      <c r="W61" s="20">
        <f t="shared" si="139"/>
        <v>233658.69530862645</v>
      </c>
      <c r="X61" s="20">
        <f t="shared" si="139"/>
        <v>233658.69530862645</v>
      </c>
      <c r="Y61" s="20">
        <f t="shared" si="139"/>
        <v>233658.69530862645</v>
      </c>
      <c r="Z61" s="20">
        <f t="shared" si="139"/>
        <v>233658.69530862645</v>
      </c>
    </row>
    <row spans="2:26" r="62" x14ac:dyDescent="0.25">
      <c r="G62" s="20"/>
    </row>
    <row spans="2:26" r="64" x14ac:dyDescent="0.25">
      <c r="B64" s="2" t="s">
        <v>667</v>
      </c>
    </row>
  </sheetData>
  <pageMargins top="0.75" left="0.7" footer="0.3" bottom="0.75" header="0.3" right="0.7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06AEB-5D75-4E8C-8CE8-8392AC8C06B2}">
  <sheetPr>
    <tabColor rgb="FFFF0000"/>
  </sheetPr>
  <dimension ref="B2:S75"/>
  <sheetViews>
    <sheetView topLeftCell="A7" workbookViewId="0">
      <selection activeCell="B27" sqref="B27"/>
    </sheetView>
  </sheetViews>
  <sheetFormatPr defaultColWidth="9.140625" defaultRowHeight="15" x14ac:dyDescent="0.25"/>
  <cols>
    <col min="1" max="1" width="9.140625" style="2"/>
    <col min="2" max="2" width="44.140625" style="2" bestFit="1" customWidth="1"/>
    <col min="3" max="4" width="9.140625" style="2"/>
    <col min="5" max="5" width="12" style="2" bestFit="1" customWidth="1"/>
    <col min="6" max="14" width="9.140625" style="2"/>
    <col min="15" max="15" width="25.85546875" style="2" bestFit="1" customWidth="1"/>
    <col min="16" max="17" width="9.140625" style="2"/>
    <col min="18" max="18" width="17.5703125" style="2" bestFit="1" customWidth="1"/>
    <col min="19" max="16384" width="9.140625" style="2"/>
  </cols>
  <sheetData>
    <row r="2" spans="2:19" x14ac:dyDescent="0.25">
      <c r="B2" s="2" t="s">
        <v>668</v>
      </c>
    </row>
    <row r="3" spans="2:19" x14ac:dyDescent="0.25">
      <c r="B3" s="2" t="s">
        <v>669</v>
      </c>
    </row>
    <row r="7" spans="2:19" x14ac:dyDescent="0.25">
      <c r="B7" s="2" t="s">
        <v>93</v>
      </c>
      <c r="C7" s="2">
        <v>2020</v>
      </c>
      <c r="D7" s="2">
        <f t="shared" ref="D7" si="0">C7+1</f>
        <v>2021</v>
      </c>
      <c r="R7" s="148" t="s">
        <v>670</v>
      </c>
      <c r="S7" s="149"/>
    </row>
    <row r="8" spans="2:19" x14ac:dyDescent="0.25">
      <c r="B8" s="2" t="s">
        <v>90</v>
      </c>
      <c r="C8" s="20">
        <f>'Income Statment'!C8</f>
        <v>438637</v>
      </c>
      <c r="D8" s="20">
        <f>'Income Statment'!F8</f>
        <v>451765</v>
      </c>
      <c r="R8" s="29" t="s">
        <v>671</v>
      </c>
      <c r="S8" s="34" t="s">
        <v>672</v>
      </c>
    </row>
    <row r="9" spans="2:19" x14ac:dyDescent="0.25">
      <c r="B9" s="2" t="s">
        <v>93</v>
      </c>
      <c r="C9" s="20">
        <f>'Cash Flows'!C7</f>
        <v>107923</v>
      </c>
      <c r="D9" s="20">
        <f>'Cash Flows'!F7</f>
        <v>105952</v>
      </c>
      <c r="R9" s="29" t="s">
        <v>170</v>
      </c>
      <c r="S9" s="34" t="s">
        <v>673</v>
      </c>
    </row>
    <row r="10" spans="2:19" x14ac:dyDescent="0.25">
      <c r="B10" s="2" t="s">
        <v>674</v>
      </c>
      <c r="C10" s="74">
        <f>C9/C8</f>
        <v>0.24604171558714838</v>
      </c>
      <c r="D10" s="74">
        <f t="shared" ref="D10" si="1">D9/D8</f>
        <v>0.23452901397850653</v>
      </c>
      <c r="R10" s="35" t="s">
        <v>163</v>
      </c>
      <c r="S10" s="37" t="s">
        <v>675</v>
      </c>
    </row>
    <row r="12" spans="2:19" x14ac:dyDescent="0.25">
      <c r="C12" s="76"/>
    </row>
    <row r="19" spans="2:17" x14ac:dyDescent="0.25">
      <c r="B19" s="2" t="s">
        <v>676</v>
      </c>
      <c r="C19" s="2">
        <v>2020</v>
      </c>
      <c r="D19" s="2">
        <f>C19+1</f>
        <v>2021</v>
      </c>
      <c r="E19" s="2">
        <f t="shared" ref="E19:N19" si="2">D19+1</f>
        <v>2022</v>
      </c>
      <c r="F19" s="2">
        <f t="shared" si="2"/>
        <v>2023</v>
      </c>
      <c r="G19" s="2">
        <f t="shared" si="2"/>
        <v>2024</v>
      </c>
      <c r="H19" s="2">
        <f t="shared" si="2"/>
        <v>2025</v>
      </c>
      <c r="I19" s="2">
        <f t="shared" si="2"/>
        <v>2026</v>
      </c>
      <c r="J19" s="2">
        <f t="shared" si="2"/>
        <v>2027</v>
      </c>
      <c r="K19" s="2">
        <f t="shared" si="2"/>
        <v>2028</v>
      </c>
      <c r="L19" s="2">
        <f t="shared" si="2"/>
        <v>2029</v>
      </c>
      <c r="M19" s="2">
        <f t="shared" si="2"/>
        <v>2030</v>
      </c>
      <c r="N19" s="2">
        <f t="shared" si="2"/>
        <v>2031</v>
      </c>
    </row>
    <row r="20" spans="2:17" x14ac:dyDescent="0.25">
      <c r="B20" s="2" t="s">
        <v>677</v>
      </c>
      <c r="C20" s="20">
        <f>'Cash Flows'!C29</f>
        <v>-3880</v>
      </c>
      <c r="D20" s="2">
        <f>'Cash Flows'!F29</f>
        <v>-925</v>
      </c>
    </row>
    <row r="21" spans="2:17" x14ac:dyDescent="0.25">
      <c r="B21" s="2" t="s">
        <v>678</v>
      </c>
      <c r="C21" s="74">
        <f>C20/C8</f>
        <v>-8.8455830219520918E-3</v>
      </c>
      <c r="D21" s="74">
        <f>D20/D8</f>
        <v>-2.0475247086427679E-3</v>
      </c>
      <c r="E21" s="76">
        <f>AVERAGE($C$21:$D$21)</f>
        <v>-5.4465538652974299E-3</v>
      </c>
      <c r="F21" s="76">
        <f t="shared" ref="F21:N21" si="3">AVERAGE($C$21:$D$21)</f>
        <v>-5.4465538652974299E-3</v>
      </c>
      <c r="G21" s="76">
        <f t="shared" si="3"/>
        <v>-5.4465538652974299E-3</v>
      </c>
      <c r="H21" s="76">
        <f t="shared" si="3"/>
        <v>-5.4465538652974299E-3</v>
      </c>
      <c r="I21" s="76">
        <f t="shared" si="3"/>
        <v>-5.4465538652974299E-3</v>
      </c>
      <c r="J21" s="76">
        <f t="shared" si="3"/>
        <v>-5.4465538652974299E-3</v>
      </c>
      <c r="K21" s="76">
        <f t="shared" si="3"/>
        <v>-5.4465538652974299E-3</v>
      </c>
      <c r="L21" s="76">
        <f t="shared" si="3"/>
        <v>-5.4465538652974299E-3</v>
      </c>
      <c r="M21" s="76">
        <f t="shared" si="3"/>
        <v>-5.4465538652974299E-3</v>
      </c>
      <c r="N21" s="76">
        <f t="shared" si="3"/>
        <v>-5.4465538652974299E-3</v>
      </c>
      <c r="O21" s="2" t="s">
        <v>679</v>
      </c>
    </row>
    <row r="22" spans="2:17" x14ac:dyDescent="0.25">
      <c r="B22" s="2" t="s">
        <v>680</v>
      </c>
      <c r="C22" s="20"/>
      <c r="D22" s="20"/>
      <c r="E22" s="20">
        <f>C31*4</f>
        <v>330400</v>
      </c>
      <c r="F22" s="20">
        <f>C31</f>
        <v>82600</v>
      </c>
      <c r="G22" s="20"/>
      <c r="H22" s="20"/>
      <c r="I22" s="20"/>
      <c r="J22" s="20"/>
      <c r="K22" s="20"/>
      <c r="L22" s="20"/>
      <c r="M22" s="20"/>
      <c r="N22" s="20"/>
    </row>
    <row r="23" spans="2:17" x14ac:dyDescent="0.25">
      <c r="B23" s="2" t="s">
        <v>681</v>
      </c>
      <c r="C23" s="20"/>
      <c r="D23" s="20"/>
      <c r="E23" s="20"/>
      <c r="F23" s="20">
        <f>$P$26*2</f>
        <v>600000</v>
      </c>
      <c r="G23" s="20">
        <f t="shared" ref="G23:I23" si="4">$P$26*2</f>
        <v>600000</v>
      </c>
      <c r="H23" s="20">
        <f t="shared" si="4"/>
        <v>600000</v>
      </c>
      <c r="I23" s="20">
        <f t="shared" si="4"/>
        <v>600000</v>
      </c>
      <c r="J23" s="20" t="s">
        <v>682</v>
      </c>
      <c r="K23" s="20"/>
      <c r="L23" s="20"/>
      <c r="M23" s="20"/>
      <c r="N23" s="20"/>
    </row>
    <row r="24" spans="2:17" x14ac:dyDescent="0.25">
      <c r="B24" s="2" t="s">
        <v>683</v>
      </c>
      <c r="C24" s="20"/>
      <c r="D24" s="20"/>
      <c r="E24" s="20"/>
      <c r="F24" s="20">
        <f>$P$26</f>
        <v>300000</v>
      </c>
      <c r="G24" s="20">
        <f t="shared" ref="G24:I24" si="5">$P$26</f>
        <v>300000</v>
      </c>
      <c r="H24" s="20">
        <f t="shared" si="5"/>
        <v>300000</v>
      </c>
      <c r="I24" s="20">
        <f t="shared" si="5"/>
        <v>300000</v>
      </c>
      <c r="J24" s="20" t="s">
        <v>684</v>
      </c>
      <c r="K24" s="20"/>
      <c r="L24" s="20"/>
      <c r="M24" s="20"/>
      <c r="N24" s="20"/>
      <c r="O24" s="2" t="s">
        <v>685</v>
      </c>
      <c r="P24" s="2">
        <v>4</v>
      </c>
      <c r="Q24" s="2" t="s">
        <v>686</v>
      </c>
    </row>
    <row r="25" spans="2:17" x14ac:dyDescent="0.25">
      <c r="B25" s="2" t="s">
        <v>687</v>
      </c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" t="s">
        <v>688</v>
      </c>
      <c r="P25" s="20">
        <v>1200000</v>
      </c>
    </row>
    <row r="26" spans="2:17" x14ac:dyDescent="0.25"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" t="s">
        <v>689</v>
      </c>
      <c r="P26" s="20">
        <f>P25/4</f>
        <v>300000</v>
      </c>
    </row>
    <row r="27" spans="2:17" x14ac:dyDescent="0.25"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</row>
    <row r="28" spans="2:17" x14ac:dyDescent="0.25"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</row>
    <row r="30" spans="2:17" x14ac:dyDescent="0.25">
      <c r="B30" s="2" t="s">
        <v>690</v>
      </c>
      <c r="C30" s="20">
        <v>413000</v>
      </c>
    </row>
    <row r="31" spans="2:17" x14ac:dyDescent="0.25">
      <c r="B31" s="150" t="s">
        <v>691</v>
      </c>
      <c r="C31" s="20">
        <f>C30/5</f>
        <v>82600</v>
      </c>
    </row>
    <row r="34" spans="2:18" x14ac:dyDescent="0.25">
      <c r="B34" s="2" t="s">
        <v>692</v>
      </c>
    </row>
    <row r="35" spans="2:18" x14ac:dyDescent="0.25">
      <c r="B35" s="2" t="s">
        <v>693</v>
      </c>
    </row>
    <row r="36" spans="2:18" x14ac:dyDescent="0.25">
      <c r="B36" s="2" t="s">
        <v>694</v>
      </c>
    </row>
    <row r="39" spans="2:18" x14ac:dyDescent="0.25">
      <c r="B39" s="147" t="s">
        <v>695</v>
      </c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</row>
    <row r="57" spans="2:18" x14ac:dyDescent="0.25">
      <c r="B57" s="147" t="s">
        <v>696</v>
      </c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</row>
    <row r="75" spans="2:18" x14ac:dyDescent="0.25">
      <c r="B75" s="147" t="s">
        <v>126</v>
      </c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29968-47C1-49BD-BB72-9FA8B366DA2D}">
  <dimension ref="A2:AH185"/>
  <sheetViews>
    <sheetView workbookViewId="0" showGridLines="0">
      <selection activeCell="I184" sqref="I184"/>
    </sheetView>
  </sheetViews>
  <sheetFormatPr defaultColWidth="8.7109375" outlineLevelRow="1" defaultRowHeight="15" outlineLevelCol="2" x14ac:dyDescent="0.25"/>
  <cols>
    <col customWidth="1" min="1" max="1" width="2.140625" style="8" bestFit="1"/>
    <col customWidth="1" min="2" max="2" width="58.140625" style="8" bestFit="1"/>
    <col outlineLevel="2" customWidth="1" min="3" max="3" width="9.140625" style="8"/>
    <col outlineLevel="2" customWidth="1" min="4" max="4" width="8.7109375" style="8"/>
    <col outlineLevel="2" customWidth="1" min="5" max="5" width="10.140625" style="8"/>
    <col outlineLevel="1" customWidth="1" min="6" max="10" width="9.140625" style="8"/>
    <col customWidth="1" min="11" max="12" width="9.140625" style="8" bestFit="1"/>
    <col outlineLevel="1" customWidth="1" min="13" max="27" width="9.140625" style="8" bestFit="1"/>
    <col customWidth="1" min="28" max="31" width="9.140625" style="8" bestFit="1"/>
    <col min="32" max="32" width="8.7109375" style="8"/>
    <col customWidth="1" min="33" max="33" width="22.28515625" style="8" bestFit="1"/>
    <col customWidth="1" min="34" max="34" width="9" style="8" bestFit="1"/>
    <col min="35" max="16384" width="8.7109375" style="8"/>
  </cols>
  <sheetData>
    <row spans="1:31" r="2" x14ac:dyDescent="0.25">
      <c r="A2" s="151" t="s">
        <v>6</v>
      </c>
    </row>
    <row spans="1:31" r="4" x14ac:dyDescent="0.25">
      <c r="A4" s="8" t="s">
        <v>7</v>
      </c>
      <c r="B4" s="24" t="s">
        <v>8</v>
      </c>
      <c r="C4" s="24">
        <v>2019</v>
      </c>
      <c r="D4" s="24">
        <v>2020</v>
      </c>
      <c r="E4" s="24">
        <v>2021</v>
      </c>
      <c r="F4" s="24">
        <v>2022</v>
      </c>
      <c r="G4" s="24">
        <f>F4+1</f>
        <v>2023</v>
      </c>
      <c r="H4" s="24">
        <f ref="H4:U4" t="shared" si="0">G4+1</f>
        <v>2024</v>
      </c>
      <c r="I4" s="24">
        <f t="shared" si="0"/>
        <v>2025</v>
      </c>
      <c r="J4" s="24">
        <f t="shared" si="0"/>
        <v>2026</v>
      </c>
      <c r="K4" s="24">
        <f t="shared" si="0"/>
        <v>2027</v>
      </c>
      <c r="L4" s="24">
        <f>K4+1</f>
        <v>2028</v>
      </c>
      <c r="M4" s="24">
        <f t="shared" si="0"/>
        <v>2029</v>
      </c>
      <c r="N4" s="24">
        <f t="shared" si="0"/>
        <v>2030</v>
      </c>
      <c r="O4" s="24">
        <f t="shared" si="0"/>
        <v>2031</v>
      </c>
      <c r="P4" s="24">
        <f t="shared" si="0"/>
        <v>2032</v>
      </c>
      <c r="Q4" s="24">
        <f t="shared" si="0"/>
        <v>2033</v>
      </c>
      <c r="R4" s="24">
        <f t="shared" si="0"/>
        <v>2034</v>
      </c>
      <c r="S4" s="24">
        <f t="shared" si="0"/>
        <v>2035</v>
      </c>
      <c r="T4" s="24">
        <f t="shared" si="0"/>
        <v>2036</v>
      </c>
      <c r="U4" s="24">
        <f t="shared" si="0"/>
        <v>2037</v>
      </c>
      <c r="V4" s="24">
        <f ref="V4" t="shared" si="1">U4+1</f>
        <v>2038</v>
      </c>
      <c r="W4" s="24">
        <f ref="W4" t="shared" si="2">V4+1</f>
        <v>2039</v>
      </c>
      <c r="X4" s="24">
        <f ref="X4" t="shared" si="3">W4+1</f>
        <v>2040</v>
      </c>
      <c r="Y4" s="24">
        <f ref="Y4" t="shared" si="4">X4+1</f>
        <v>2041</v>
      </c>
      <c r="Z4" s="24">
        <f ref="Z4" t="shared" si="5">Y4+1</f>
        <v>2042</v>
      </c>
      <c r="AA4" s="24"/>
      <c r="AB4" s="24"/>
      <c r="AC4" s="24"/>
      <c r="AD4" s="24"/>
      <c r="AE4" s="24"/>
    </row>
    <row spans="1:31" r="5" x14ac:dyDescent="0.25">
      <c r="B5" s="2" t="s">
        <v>9</v>
      </c>
      <c r="C5" s="2">
        <v>2.4</v>
      </c>
      <c r="D5" s="2">
        <v>2.4</v>
      </c>
      <c r="E5" s="2">
        <v>2.4</v>
      </c>
      <c r="F5" s="29">
        <v>2.4</v>
      </c>
      <c r="G5" s="2">
        <v>2.4</v>
      </c>
      <c r="H5" s="2">
        <v>2.4</v>
      </c>
      <c r="I5" s="2">
        <v>2.4</v>
      </c>
      <c r="J5" s="2">
        <v>2.4</v>
      </c>
      <c r="K5" s="2">
        <v>2.4</v>
      </c>
      <c r="L5" s="2">
        <v>2.4</v>
      </c>
      <c r="M5" s="2">
        <v>2.4</v>
      </c>
      <c r="N5" s="2">
        <v>2.4</v>
      </c>
      <c r="O5" s="2">
        <v>2.4</v>
      </c>
      <c r="P5" s="2">
        <v>2.4</v>
      </c>
      <c r="Q5" s="2">
        <v>2.4</v>
      </c>
      <c r="R5" s="2">
        <v>2.4</v>
      </c>
      <c r="S5" s="2">
        <v>2.4</v>
      </c>
      <c r="T5" s="2">
        <v>2.4</v>
      </c>
      <c r="U5" s="2">
        <v>2.4</v>
      </c>
      <c r="V5" s="2">
        <v>2.4</v>
      </c>
      <c r="W5" s="2">
        <v>2.4</v>
      </c>
      <c r="X5" s="2">
        <v>2.4</v>
      </c>
      <c r="Y5" s="2">
        <v>2.4</v>
      </c>
      <c r="Z5" s="2">
        <v>2.4</v>
      </c>
      <c r="AA5" s="2"/>
      <c r="AB5" s="2"/>
      <c r="AC5" s="2"/>
      <c r="AD5" s="2"/>
      <c r="AE5" s="2"/>
    </row>
    <row spans="1:31" r="6" x14ac:dyDescent="0.25">
      <c r="B6" s="2" t="s">
        <v>10</v>
      </c>
      <c r="C6" s="2">
        <v>1.2</v>
      </c>
      <c r="D6" s="2">
        <v>1.2</v>
      </c>
      <c r="E6" s="2">
        <v>1.2</v>
      </c>
      <c r="F6" s="29">
        <v>1.2</v>
      </c>
      <c r="G6" s="2">
        <v>1.6</v>
      </c>
      <c r="H6" s="203">
        <v>2</v>
      </c>
      <c r="I6" s="2">
        <v>2.4</v>
      </c>
      <c r="J6" s="2">
        <v>2.4</v>
      </c>
      <c r="K6" s="208">
        <v>0</v>
      </c>
      <c r="L6" s="2">
        <v>2.4</v>
      </c>
      <c r="M6" s="2">
        <v>2.4</v>
      </c>
      <c r="N6" s="2">
        <v>2.4</v>
      </c>
      <c r="O6" s="2">
        <v>2.4</v>
      </c>
      <c r="P6" s="2">
        <v>2.4</v>
      </c>
      <c r="Q6" s="2">
        <v>2.4</v>
      </c>
      <c r="R6" s="2">
        <v>2.4</v>
      </c>
      <c r="S6" s="2">
        <v>2.4</v>
      </c>
      <c r="T6" s="2">
        <v>2.4</v>
      </c>
      <c r="U6" s="2">
        <v>2.4</v>
      </c>
      <c r="V6" s="2">
        <v>2.4</v>
      </c>
      <c r="W6" s="2">
        <v>2.4</v>
      </c>
      <c r="X6" s="2">
        <v>2.4</v>
      </c>
      <c r="Y6" s="2">
        <v>2.4</v>
      </c>
      <c r="Z6" s="2">
        <v>2.4</v>
      </c>
      <c r="AA6" s="2"/>
      <c r="AB6" s="2"/>
      <c r="AC6" s="2"/>
      <c r="AD6" s="2"/>
      <c r="AE6" s="2"/>
    </row>
    <row spans="1:31" r="7" x14ac:dyDescent="0.25">
      <c r="B7" s="2" t="s">
        <v>11</v>
      </c>
      <c r="C7" s="20">
        <v>218096</v>
      </c>
      <c r="D7" s="20">
        <v>226061</v>
      </c>
      <c r="E7" s="20">
        <v>221020</v>
      </c>
      <c r="F7" s="220">
        <f>F8*F6</f>
        <v>221725.66666666669</v>
      </c>
      <c r="G7" s="20">
        <f ref="G7:U7" t="shared" si="6">G8*G6</f>
        <v>295634.22222222225</v>
      </c>
      <c r="H7" s="20">
        <f t="shared" si="6"/>
        <v>369542.77777777781</v>
      </c>
      <c r="I7" s="20">
        <f t="shared" si="6"/>
        <v>443451.33333333337</v>
      </c>
      <c r="J7" s="20">
        <f t="shared" si="6"/>
        <v>443451.33333333337</v>
      </c>
      <c r="K7" s="208">
        <f t="shared" si="6"/>
        <v>0</v>
      </c>
      <c r="L7" s="20">
        <f t="shared" si="6"/>
        <v>443451.33333333337</v>
      </c>
      <c r="M7" s="20">
        <f t="shared" si="6"/>
        <v>443451.33333333337</v>
      </c>
      <c r="N7" s="20">
        <f t="shared" si="6"/>
        <v>443451.33333333337</v>
      </c>
      <c r="O7" s="20">
        <f t="shared" si="6"/>
        <v>443451.33333333337</v>
      </c>
      <c r="P7" s="20">
        <f t="shared" si="6"/>
        <v>443451.33333333337</v>
      </c>
      <c r="Q7" s="20">
        <f t="shared" si="6"/>
        <v>443451.33333333337</v>
      </c>
      <c r="R7" s="20">
        <f t="shared" si="6"/>
        <v>443451.33333333337</v>
      </c>
      <c r="S7" s="20">
        <f t="shared" si="6"/>
        <v>443451.33333333337</v>
      </c>
      <c r="T7" s="20">
        <f t="shared" si="6"/>
        <v>443451.33333333337</v>
      </c>
      <c r="U7" s="20">
        <f t="shared" si="6"/>
        <v>443451.33333333337</v>
      </c>
      <c r="V7" s="20">
        <f ref="V7:Z7" t="shared" si="7">V8*V6</f>
        <v>443451.33333333337</v>
      </c>
      <c r="W7" s="20">
        <f t="shared" si="7"/>
        <v>443451.33333333337</v>
      </c>
      <c r="X7" s="20">
        <f t="shared" si="7"/>
        <v>443451.33333333337</v>
      </c>
      <c r="Y7" s="20">
        <f t="shared" si="7"/>
        <v>443451.33333333337</v>
      </c>
      <c r="Z7" s="20">
        <f t="shared" si="7"/>
        <v>443451.33333333337</v>
      </c>
      <c r="AA7" s="20"/>
      <c r="AB7" s="20"/>
      <c r="AC7" s="20"/>
      <c r="AD7" s="20"/>
      <c r="AE7" s="20"/>
    </row>
    <row spans="1:31" r="8" x14ac:dyDescent="0.25">
      <c r="B8" s="18" t="s">
        <v>12</v>
      </c>
      <c r="C8" s="20">
        <f>C7/C6</f>
        <v>181746.66666666669</v>
      </c>
      <c r="D8" s="20">
        <f ref="D8:E8" t="shared" si="8">D7/D6</f>
        <v>188384.16666666669</v>
      </c>
      <c r="E8" s="20">
        <f t="shared" si="8"/>
        <v>184183.33333333334</v>
      </c>
      <c r="F8" s="220">
        <f>AVERAGE($C$8:$E$8)</f>
        <v>184771.38888888891</v>
      </c>
      <c r="G8" s="20">
        <f ref="G8:Z8" t="shared" si="9">AVERAGE($C$8:$E$8)</f>
        <v>184771.38888888891</v>
      </c>
      <c r="H8" s="20">
        <f t="shared" si="9"/>
        <v>184771.38888888891</v>
      </c>
      <c r="I8" s="20">
        <f t="shared" si="9"/>
        <v>184771.38888888891</v>
      </c>
      <c r="J8" s="20">
        <f t="shared" si="9"/>
        <v>184771.38888888891</v>
      </c>
      <c r="K8" s="208"/>
      <c r="L8" s="20">
        <f t="shared" si="9"/>
        <v>184771.38888888891</v>
      </c>
      <c r="M8" s="20">
        <f t="shared" si="9"/>
        <v>184771.38888888891</v>
      </c>
      <c r="N8" s="20">
        <f t="shared" si="9"/>
        <v>184771.38888888891</v>
      </c>
      <c r="O8" s="20">
        <f t="shared" si="9"/>
        <v>184771.38888888891</v>
      </c>
      <c r="P8" s="20">
        <f t="shared" si="9"/>
        <v>184771.38888888891</v>
      </c>
      <c r="Q8" s="20">
        <f t="shared" si="9"/>
        <v>184771.38888888891</v>
      </c>
      <c r="R8" s="20">
        <f t="shared" si="9"/>
        <v>184771.38888888891</v>
      </c>
      <c r="S8" s="20">
        <f t="shared" si="9"/>
        <v>184771.38888888891</v>
      </c>
      <c r="T8" s="20">
        <f t="shared" si="9"/>
        <v>184771.38888888891</v>
      </c>
      <c r="U8" s="20">
        <f t="shared" si="9"/>
        <v>184771.38888888891</v>
      </c>
      <c r="V8" s="20">
        <f t="shared" si="9"/>
        <v>184771.38888888891</v>
      </c>
      <c r="W8" s="20">
        <f t="shared" si="9"/>
        <v>184771.38888888891</v>
      </c>
      <c r="X8" s="20">
        <f t="shared" si="9"/>
        <v>184771.38888888891</v>
      </c>
      <c r="Y8" s="20">
        <f t="shared" si="9"/>
        <v>184771.38888888891</v>
      </c>
      <c r="Z8" s="20">
        <f t="shared" si="9"/>
        <v>184771.38888888891</v>
      </c>
      <c r="AA8" s="20"/>
      <c r="AB8" s="20"/>
      <c r="AC8" s="20"/>
      <c r="AD8" s="20"/>
      <c r="AE8" s="20"/>
    </row>
    <row spans="1:31" r="9" x14ac:dyDescent="0.25">
      <c r="B9" s="2"/>
      <c r="C9" s="2"/>
      <c r="D9" s="2"/>
      <c r="E9" s="2"/>
      <c r="F9" s="29"/>
      <c r="G9" s="2"/>
      <c r="H9" s="2"/>
      <c r="I9" s="2"/>
      <c r="J9" s="2"/>
      <c r="K9" s="208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spans="1:31" r="10" x14ac:dyDescent="0.25">
      <c r="B10" s="2" t="s">
        <v>13</v>
      </c>
      <c r="C10" s="20">
        <v>55284</v>
      </c>
      <c r="D10" s="20">
        <v>52104</v>
      </c>
      <c r="E10" s="20">
        <f>E7*E11</f>
        <v>53483.653510713877</v>
      </c>
      <c r="F10" s="220">
        <f>F7*F11</f>
        <v>53654.414670310573</v>
      </c>
      <c r="G10" s="20">
        <f ref="G10:U10" t="shared" si="10">G7*G11</f>
        <v>71539.219560414087</v>
      </c>
      <c r="H10" s="20">
        <f t="shared" si="10"/>
        <v>89424.024450517609</v>
      </c>
      <c r="I10" s="20">
        <f t="shared" si="10"/>
        <v>107308.82934062115</v>
      </c>
      <c r="J10" s="20">
        <f t="shared" si="10"/>
        <v>107308.82934062115</v>
      </c>
      <c r="K10" s="208">
        <f t="shared" si="10"/>
        <v>0</v>
      </c>
      <c r="L10" s="20">
        <f t="shared" si="10"/>
        <v>107308.82934062115</v>
      </c>
      <c r="M10" s="20">
        <f t="shared" si="10"/>
        <v>107308.82934062115</v>
      </c>
      <c r="N10" s="20">
        <f t="shared" si="10"/>
        <v>107308.82934062115</v>
      </c>
      <c r="O10" s="20">
        <f t="shared" si="10"/>
        <v>107308.82934062115</v>
      </c>
      <c r="P10" s="20">
        <f t="shared" si="10"/>
        <v>107308.82934062115</v>
      </c>
      <c r="Q10" s="20">
        <f t="shared" si="10"/>
        <v>107308.82934062115</v>
      </c>
      <c r="R10" s="20">
        <f t="shared" si="10"/>
        <v>107308.82934062115</v>
      </c>
      <c r="S10" s="20">
        <f t="shared" si="10"/>
        <v>107308.82934062115</v>
      </c>
      <c r="T10" s="20">
        <f t="shared" si="10"/>
        <v>107308.82934062115</v>
      </c>
      <c r="U10" s="20">
        <f t="shared" si="10"/>
        <v>107308.82934062115</v>
      </c>
      <c r="V10" s="20">
        <f ref="V10:Z10" t="shared" si="11">V7*V11</f>
        <v>107308.82934062115</v>
      </c>
      <c r="W10" s="20">
        <f t="shared" si="11"/>
        <v>107308.82934062115</v>
      </c>
      <c r="X10" s="20">
        <f t="shared" si="11"/>
        <v>107308.82934062115</v>
      </c>
      <c r="Y10" s="20">
        <f t="shared" si="11"/>
        <v>107308.82934062115</v>
      </c>
      <c r="Z10" s="20">
        <f t="shared" si="11"/>
        <v>107308.82934062115</v>
      </c>
      <c r="AA10" s="20"/>
      <c r="AB10" s="20"/>
      <c r="AC10" s="20"/>
      <c r="AD10" s="20"/>
      <c r="AE10" s="20"/>
    </row>
    <row spans="1:31" r="11" x14ac:dyDescent="0.25">
      <c r="B11" s="18" t="s">
        <v>14</v>
      </c>
      <c r="C11" s="74">
        <f>C10/C7</f>
        <v>0.25348470398356687</v>
      </c>
      <c r="D11" s="74">
        <f ref="D11" t="shared" si="12">D10/D7</f>
        <v>0.23048646161876662</v>
      </c>
      <c r="E11" s="74">
        <f>AVERAGE($C$11:$D$11)</f>
        <v>0.24198558280116675</v>
      </c>
      <c r="F11" s="277">
        <f>AVERAGE($C$11:$E$11)</f>
        <v>0.24198558280116675</v>
      </c>
      <c r="G11" s="76">
        <f ref="G11:Z11" t="shared" si="13">AVERAGE($C$11:$E$11)</f>
        <v>0.24198558280116675</v>
      </c>
      <c r="H11" s="76">
        <f t="shared" si="13"/>
        <v>0.24198558280116675</v>
      </c>
      <c r="I11" s="76">
        <f t="shared" si="13"/>
        <v>0.24198558280116675</v>
      </c>
      <c r="J11" s="76">
        <f t="shared" si="13"/>
        <v>0.24198558280116675</v>
      </c>
      <c r="K11" s="208"/>
      <c r="L11" s="76">
        <f t="shared" si="13"/>
        <v>0.24198558280116675</v>
      </c>
      <c r="M11" s="76">
        <f t="shared" si="13"/>
        <v>0.24198558280116675</v>
      </c>
      <c r="N11" s="76">
        <f t="shared" si="13"/>
        <v>0.24198558280116675</v>
      </c>
      <c r="O11" s="76">
        <f t="shared" si="13"/>
        <v>0.24198558280116675</v>
      </c>
      <c r="P11" s="76">
        <f t="shared" si="13"/>
        <v>0.24198558280116675</v>
      </c>
      <c r="Q11" s="76">
        <f t="shared" si="13"/>
        <v>0.24198558280116675</v>
      </c>
      <c r="R11" s="76">
        <f t="shared" si="13"/>
        <v>0.24198558280116675</v>
      </c>
      <c r="S11" s="76">
        <f t="shared" si="13"/>
        <v>0.24198558280116675</v>
      </c>
      <c r="T11" s="76">
        <f t="shared" si="13"/>
        <v>0.24198558280116675</v>
      </c>
      <c r="U11" s="76">
        <f t="shared" si="13"/>
        <v>0.24198558280116675</v>
      </c>
      <c r="V11" s="76">
        <f t="shared" si="13"/>
        <v>0.24198558280116675</v>
      </c>
      <c r="W11" s="76">
        <f t="shared" si="13"/>
        <v>0.24198558280116675</v>
      </c>
      <c r="X11" s="76">
        <f t="shared" si="13"/>
        <v>0.24198558280116675</v>
      </c>
      <c r="Y11" s="76">
        <f t="shared" si="13"/>
        <v>0.24198558280116675</v>
      </c>
      <c r="Z11" s="76">
        <f t="shared" si="13"/>
        <v>0.24198558280116675</v>
      </c>
      <c r="AA11" s="76"/>
      <c r="AB11" s="76"/>
      <c r="AC11" s="76"/>
      <c r="AD11" s="76"/>
      <c r="AE11" s="76"/>
    </row>
    <row spans="1:31" r="12" x14ac:dyDescent="0.25">
      <c r="B12" s="18"/>
      <c r="C12" s="74"/>
      <c r="D12" s="74"/>
      <c r="E12" s="74"/>
      <c r="F12" s="277"/>
      <c r="G12" s="76"/>
      <c r="H12" s="76"/>
      <c r="I12" s="76"/>
      <c r="J12" s="76"/>
      <c r="K12" s="208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</row>
    <row spans="1:31" r="13" x14ac:dyDescent="0.25">
      <c r="B13" s="2" t="s">
        <v>15</v>
      </c>
      <c r="C13" s="20"/>
      <c r="D13" s="20"/>
      <c r="E13" s="20"/>
      <c r="F13" s="227">
        <f>F20+F26</f>
        <v>213925.1875</v>
      </c>
      <c r="G13" s="221">
        <f ref="G13:J13" t="shared" si="14">G20+G26</f>
        <v>170835.00000000003</v>
      </c>
      <c r="H13" s="221">
        <f t="shared" si="14"/>
        <v>140000</v>
      </c>
      <c r="I13" s="221">
        <f t="shared" si="14"/>
        <v>67500</v>
      </c>
      <c r="J13" s="221">
        <f t="shared" si="14"/>
        <v>40500</v>
      </c>
      <c r="K13" s="223">
        <v>0</v>
      </c>
      <c r="L13" s="223">
        <v>0</v>
      </c>
      <c r="M13" s="223">
        <v>0</v>
      </c>
      <c r="N13" s="223">
        <v>0</v>
      </c>
      <c r="O13" s="223">
        <v>0</v>
      </c>
      <c r="P13" s="223">
        <v>0</v>
      </c>
      <c r="Q13" s="223">
        <v>0</v>
      </c>
      <c r="R13" s="223">
        <v>0</v>
      </c>
      <c r="S13" s="223">
        <v>0</v>
      </c>
      <c r="T13" s="223">
        <v>0</v>
      </c>
      <c r="U13" s="223">
        <v>0</v>
      </c>
      <c r="V13" s="223">
        <v>0</v>
      </c>
      <c r="W13" s="223">
        <v>0</v>
      </c>
      <c r="X13" s="223">
        <v>0</v>
      </c>
      <c r="Y13" s="223">
        <v>0</v>
      </c>
      <c r="Z13" s="223">
        <v>0</v>
      </c>
      <c r="AA13" s="20"/>
      <c r="AB13" s="20"/>
      <c r="AC13" s="20"/>
      <c r="AD13" s="20"/>
      <c r="AE13" s="20"/>
    </row>
    <row spans="1:31" r="14" x14ac:dyDescent="0.25">
      <c r="B14" s="2"/>
      <c r="C14" s="2"/>
      <c r="D14" s="2"/>
      <c r="E14" s="65"/>
      <c r="F14" s="65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spans="1:31" r="15" x14ac:dyDescent="0.25">
      <c r="A15" s="8" t="s">
        <v>7</v>
      </c>
      <c r="B15" s="2" t="s">
        <v>16</v>
      </c>
      <c r="C15" s="2"/>
      <c r="D15" s="2"/>
      <c r="E15" s="6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spans="1:31" outlineLevel="1" r="16" x14ac:dyDescent="0.25">
      <c r="B16" s="69" t="s">
        <v>17</v>
      </c>
      <c r="C16" s="69"/>
      <c r="D16" s="69"/>
      <c r="E16" s="77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</row>
    <row spans="1:31" outlineLevel="1" r="17" x14ac:dyDescent="0.25">
      <c r="B17" s="2" t="s">
        <v>18</v>
      </c>
      <c r="C17" s="2"/>
      <c r="D17" s="2"/>
      <c r="E17" s="65"/>
      <c r="F17" s="226">
        <v>115</v>
      </c>
      <c r="G17" s="226">
        <v>105</v>
      </c>
      <c r="H17" s="226">
        <v>95</v>
      </c>
      <c r="I17" s="226">
        <v>85</v>
      </c>
      <c r="J17" s="226">
        <v>75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spans="1:31" outlineLevel="1" r="18" x14ac:dyDescent="0.25">
      <c r="B18" s="2" t="s">
        <v>19</v>
      </c>
      <c r="C18" s="2"/>
      <c r="D18" s="2"/>
      <c r="E18" s="65"/>
      <c r="F18" s="226">
        <f>F17-60</f>
        <v>55</v>
      </c>
      <c r="G18" s="226">
        <f ref="G18:J18" t="shared" si="15">G17-60</f>
        <v>45</v>
      </c>
      <c r="H18" s="226">
        <f t="shared" si="15"/>
        <v>35</v>
      </c>
      <c r="I18" s="226">
        <f t="shared" si="15"/>
        <v>25</v>
      </c>
      <c r="J18" s="226">
        <f t="shared" si="15"/>
        <v>15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spans="1:31" outlineLevel="1" r="19" x14ac:dyDescent="0.25">
      <c r="B19" s="2" t="s">
        <v>20</v>
      </c>
      <c r="C19" s="2"/>
      <c r="D19" s="2"/>
      <c r="E19" s="2"/>
      <c r="F19" s="20">
        <f ref="F19:J19" t="shared" si="16">2.7*1000</f>
        <v>2700</v>
      </c>
      <c r="G19" s="20">
        <f t="shared" si="16"/>
        <v>2700</v>
      </c>
      <c r="H19" s="20">
        <f t="shared" si="16"/>
        <v>2700</v>
      </c>
      <c r="I19" s="20">
        <f t="shared" si="16"/>
        <v>2700</v>
      </c>
      <c r="J19" s="20">
        <f t="shared" si="16"/>
        <v>2700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spans="1:31" outlineLevel="1" r="20" x14ac:dyDescent="0.25">
      <c r="B20" s="2" t="s">
        <v>21</v>
      </c>
      <c r="C20" s="2"/>
      <c r="D20" s="2"/>
      <c r="E20" s="2"/>
      <c r="F20" s="21">
        <f>F19*F18</f>
        <v>148500</v>
      </c>
      <c r="G20" s="21">
        <f ref="G20:J20" t="shared" si="17">G19*G18</f>
        <v>121500</v>
      </c>
      <c r="H20" s="21">
        <f t="shared" si="17"/>
        <v>94500</v>
      </c>
      <c r="I20" s="21">
        <f t="shared" si="17"/>
        <v>67500</v>
      </c>
      <c r="J20" s="21">
        <f t="shared" si="17"/>
        <v>40500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spans="1:31" outlineLevel="1" r="21" x14ac:dyDescent="0.25">
      <c r="B21" s="69" t="s">
        <v>22</v>
      </c>
      <c r="C21" s="69"/>
      <c r="D21" s="69"/>
      <c r="E21" s="77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spans="1:31" outlineLevel="1" r="22" x14ac:dyDescent="0.25">
      <c r="B22" s="2" t="s">
        <v>23</v>
      </c>
      <c r="C22" s="2"/>
      <c r="D22" s="2"/>
      <c r="E22" s="2"/>
      <c r="F22" s="224">
        <v>61000</v>
      </c>
      <c r="G22" s="20"/>
      <c r="H22" s="20"/>
      <c r="I22" s="20"/>
      <c r="J22" s="2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spans="1:31" outlineLevel="1" r="23" x14ac:dyDescent="0.25">
      <c r="B23" s="2" t="s">
        <v>24</v>
      </c>
      <c r="C23" s="2"/>
      <c r="D23" s="2"/>
      <c r="E23" s="2"/>
      <c r="F23" s="226">
        <f>'TTF and brentForward Curve'!H4</f>
        <v>34.667499999999997</v>
      </c>
      <c r="G23" s="226">
        <f>'TTF and brentForward Curve'!I4</f>
        <v>22.590000000000003</v>
      </c>
      <c r="H23" s="226">
        <v>22</v>
      </c>
      <c r="I23" s="226">
        <v>15</v>
      </c>
      <c r="J23" s="226">
        <v>15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spans="1:31" outlineLevel="1" r="24" x14ac:dyDescent="0.25">
      <c r="B24" s="2" t="s">
        <v>25</v>
      </c>
      <c r="C24" s="2"/>
      <c r="D24" s="2"/>
      <c r="E24" s="2"/>
      <c r="F24" s="226">
        <f>F23-15</f>
        <v>19.667499999999997</v>
      </c>
      <c r="G24" s="226">
        <f ref="G24:J24" t="shared" si="18">G23-15</f>
        <v>7.5900000000000034</v>
      </c>
      <c r="H24" s="208">
        <f t="shared" si="18"/>
        <v>7</v>
      </c>
      <c r="I24" s="208">
        <f t="shared" si="18"/>
        <v>0</v>
      </c>
      <c r="J24" s="208">
        <f t="shared" si="18"/>
        <v>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spans="1:31" outlineLevel="1" r="25" x14ac:dyDescent="0.25">
      <c r="B25" s="2" t="s">
        <v>26</v>
      </c>
      <c r="C25" s="2"/>
      <c r="D25" s="2"/>
      <c r="E25" s="2"/>
      <c r="F25" s="20">
        <v>900</v>
      </c>
      <c r="G25" s="20">
        <v>6500</v>
      </c>
      <c r="H25" s="20">
        <v>6500</v>
      </c>
      <c r="I25" s="20">
        <v>6500</v>
      </c>
      <c r="J25" s="20">
        <v>6500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spans="1:31" outlineLevel="1" r="26" x14ac:dyDescent="0.25">
      <c r="B26" s="2" t="s">
        <v>27</v>
      </c>
      <c r="C26" s="2"/>
      <c r="D26" s="2"/>
      <c r="E26" s="2"/>
      <c r="F26" s="21">
        <f>F24*F25*0.25+F22</f>
        <v>65425.1875</v>
      </c>
      <c r="G26" s="21">
        <f>G24*G25</f>
        <v>49335.000000000022</v>
      </c>
      <c r="H26" s="225">
        <f ref="H26:J26" t="shared" si="19">H24*H25</f>
        <v>45500</v>
      </c>
      <c r="I26" s="225">
        <f t="shared" si="19"/>
        <v>0</v>
      </c>
      <c r="J26" s="225">
        <f t="shared" si="19"/>
        <v>0</v>
      </c>
      <c r="K26" s="20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spans="1:31" r="27" x14ac:dyDescent="0.2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spans="1:31" r="28" x14ac:dyDescent="0.25">
      <c r="A28" s="8" t="s">
        <v>7</v>
      </c>
      <c r="B28" s="24" t="s">
        <v>28</v>
      </c>
      <c r="C28" s="24">
        <v>2019</v>
      </c>
      <c r="D28" s="24">
        <v>2020</v>
      </c>
      <c r="E28" s="24">
        <v>2021</v>
      </c>
      <c r="F28" s="24">
        <v>2022</v>
      </c>
      <c r="G28" s="24">
        <f>F28+1</f>
        <v>2023</v>
      </c>
      <c r="H28" s="24">
        <f ref="H28:U28" t="shared" si="20">G28+1</f>
        <v>2024</v>
      </c>
      <c r="I28" s="24">
        <f t="shared" si="20"/>
        <v>2025</v>
      </c>
      <c r="J28" s="24">
        <f t="shared" si="20"/>
        <v>2026</v>
      </c>
      <c r="K28" s="24">
        <f t="shared" si="20"/>
        <v>2027</v>
      </c>
      <c r="L28" s="24">
        <f t="shared" si="20"/>
        <v>2028</v>
      </c>
      <c r="M28" s="24">
        <f t="shared" si="20"/>
        <v>2029</v>
      </c>
      <c r="N28" s="24">
        <f t="shared" si="20"/>
        <v>2030</v>
      </c>
      <c r="O28" s="24">
        <f t="shared" si="20"/>
        <v>2031</v>
      </c>
      <c r="P28" s="24">
        <f t="shared" si="20"/>
        <v>2032</v>
      </c>
      <c r="Q28" s="24">
        <f t="shared" si="20"/>
        <v>2033</v>
      </c>
      <c r="R28" s="24">
        <f t="shared" si="20"/>
        <v>2034</v>
      </c>
      <c r="S28" s="24">
        <f t="shared" si="20"/>
        <v>2035</v>
      </c>
      <c r="T28" s="24">
        <f t="shared" si="20"/>
        <v>2036</v>
      </c>
      <c r="U28" s="24">
        <f t="shared" si="20"/>
        <v>2037</v>
      </c>
      <c r="V28" s="24">
        <f ref="V28" t="shared" si="21">U28+1</f>
        <v>2038</v>
      </c>
      <c r="W28" s="24">
        <f ref="W28" t="shared" si="22">V28+1</f>
        <v>2039</v>
      </c>
      <c r="X28" s="24">
        <f ref="X28" t="shared" si="23">W28+1</f>
        <v>2040</v>
      </c>
      <c r="Y28" s="24">
        <f ref="Y28" t="shared" si="24">X28+1</f>
        <v>2041</v>
      </c>
      <c r="Z28" s="24">
        <f ref="Z28" t="shared" si="25">Y28+1</f>
        <v>2042</v>
      </c>
      <c r="AA28" s="2"/>
      <c r="AB28" s="2"/>
      <c r="AC28" s="2"/>
      <c r="AD28" s="2"/>
      <c r="AE28" s="2"/>
    </row>
    <row spans="1:31" r="29" x14ac:dyDescent="0.25">
      <c r="B29" s="2" t="s">
        <v>29</v>
      </c>
      <c r="C29" s="20">
        <v>1526</v>
      </c>
      <c r="D29" s="20">
        <v>1672</v>
      </c>
      <c r="E29" s="20">
        <f ref="E29:U29" t="shared" si="26">E30*E7</f>
        <v>1590.5872880762745</v>
      </c>
      <c r="F29" s="20">
        <f t="shared" si="26"/>
        <v>1595.6656720669505</v>
      </c>
      <c r="G29" s="20">
        <f t="shared" si="26"/>
        <v>2127.5542294226007</v>
      </c>
      <c r="H29" s="20">
        <f t="shared" si="26"/>
        <v>2659.4427867782506</v>
      </c>
      <c r="I29" s="20">
        <f t="shared" si="26"/>
        <v>3191.331344133901</v>
      </c>
      <c r="J29" s="20">
        <f t="shared" si="26"/>
        <v>3191.331344133901</v>
      </c>
      <c r="K29" s="208">
        <f t="shared" si="26"/>
        <v>0</v>
      </c>
      <c r="L29" s="20">
        <f t="shared" si="26"/>
        <v>3191.331344133901</v>
      </c>
      <c r="M29" s="20">
        <f t="shared" si="26"/>
        <v>3191.331344133901</v>
      </c>
      <c r="N29" s="20">
        <f t="shared" si="26"/>
        <v>3191.331344133901</v>
      </c>
      <c r="O29" s="20">
        <f t="shared" si="26"/>
        <v>3191.331344133901</v>
      </c>
      <c r="P29" s="20">
        <f t="shared" si="26"/>
        <v>3191.331344133901</v>
      </c>
      <c r="Q29" s="20">
        <f t="shared" si="26"/>
        <v>3191.331344133901</v>
      </c>
      <c r="R29" s="20">
        <f t="shared" si="26"/>
        <v>3191.331344133901</v>
      </c>
      <c r="S29" s="20">
        <f t="shared" si="26"/>
        <v>3191.331344133901</v>
      </c>
      <c r="T29" s="20">
        <f t="shared" si="26"/>
        <v>3191.331344133901</v>
      </c>
      <c r="U29" s="20">
        <f t="shared" si="26"/>
        <v>3191.331344133901</v>
      </c>
      <c r="V29" s="20">
        <f ref="V29:Z29" t="shared" si="27">V30*V7</f>
        <v>3191.331344133901</v>
      </c>
      <c r="W29" s="20">
        <f t="shared" si="27"/>
        <v>3191.331344133901</v>
      </c>
      <c r="X29" s="20">
        <f t="shared" si="27"/>
        <v>3191.331344133901</v>
      </c>
      <c r="Y29" s="20">
        <f t="shared" si="27"/>
        <v>3191.331344133901</v>
      </c>
      <c r="Z29" s="20">
        <f t="shared" si="27"/>
        <v>3191.331344133901</v>
      </c>
      <c r="AA29" s="20"/>
      <c r="AB29" s="20"/>
      <c r="AC29" s="20"/>
      <c r="AD29" s="20"/>
      <c r="AE29" s="20"/>
    </row>
    <row spans="1:31" r="30" x14ac:dyDescent="0.25">
      <c r="B30" s="18" t="s">
        <v>14</v>
      </c>
      <c r="C30" s="74">
        <f>C29/C7</f>
        <v>6.996918788056636E-3</v>
      </c>
      <c r="D30" s="74">
        <f>D29/D7</f>
        <v>7.3962337599143592E-3</v>
      </c>
      <c r="E30" s="74">
        <f>AVERAGE($C$30:$D$30)</f>
        <v>7.1965762739854972E-3</v>
      </c>
      <c r="F30" s="74">
        <f ref="F30:L30" t="shared" si="28">AVERAGE($C$30:$E$30)</f>
        <v>7.1965762739854972E-3</v>
      </c>
      <c r="G30" s="76">
        <f t="shared" si="28"/>
        <v>7.1965762739854972E-3</v>
      </c>
      <c r="H30" s="76">
        <f t="shared" si="28"/>
        <v>7.1965762739854972E-3</v>
      </c>
      <c r="I30" s="76">
        <f t="shared" si="28"/>
        <v>7.1965762739854972E-3</v>
      </c>
      <c r="J30" s="76">
        <f t="shared" si="28"/>
        <v>7.1965762739854972E-3</v>
      </c>
      <c r="K30" s="76">
        <f t="shared" si="28"/>
        <v>7.1965762739854972E-3</v>
      </c>
      <c r="L30" s="76">
        <f t="shared" si="28"/>
        <v>7.1965762739854972E-3</v>
      </c>
      <c r="M30" s="76">
        <f ref="M30:Z30" t="shared" si="29">AVERAGE($C$30:$E$30)</f>
        <v>7.1965762739854972E-3</v>
      </c>
      <c r="N30" s="76">
        <f t="shared" si="29"/>
        <v>7.1965762739854972E-3</v>
      </c>
      <c r="O30" s="76">
        <f t="shared" si="29"/>
        <v>7.1965762739854972E-3</v>
      </c>
      <c r="P30" s="76">
        <f t="shared" si="29"/>
        <v>7.1965762739854972E-3</v>
      </c>
      <c r="Q30" s="76">
        <f t="shared" si="29"/>
        <v>7.1965762739854972E-3</v>
      </c>
      <c r="R30" s="76">
        <f t="shared" si="29"/>
        <v>7.1965762739854972E-3</v>
      </c>
      <c r="S30" s="76">
        <f t="shared" si="29"/>
        <v>7.1965762739854972E-3</v>
      </c>
      <c r="T30" s="76">
        <f t="shared" si="29"/>
        <v>7.1965762739854972E-3</v>
      </c>
      <c r="U30" s="76">
        <f t="shared" si="29"/>
        <v>7.1965762739854972E-3</v>
      </c>
      <c r="V30" s="76">
        <f t="shared" si="29"/>
        <v>7.1965762739854972E-3</v>
      </c>
      <c r="W30" s="76">
        <f t="shared" si="29"/>
        <v>7.1965762739854972E-3</v>
      </c>
      <c r="X30" s="76">
        <f t="shared" si="29"/>
        <v>7.1965762739854972E-3</v>
      </c>
      <c r="Y30" s="76">
        <f t="shared" si="29"/>
        <v>7.1965762739854972E-3</v>
      </c>
      <c r="Z30" s="76">
        <f t="shared" si="29"/>
        <v>7.1965762739854972E-3</v>
      </c>
      <c r="AA30" s="76"/>
      <c r="AB30" s="76"/>
      <c r="AC30" s="76"/>
      <c r="AD30" s="76"/>
      <c r="AE30" s="76"/>
    </row>
    <row spans="1:31" r="31" x14ac:dyDescent="0.25">
      <c r="B31" s="2" t="s">
        <v>30</v>
      </c>
      <c r="C31" s="20">
        <v>3173</v>
      </c>
      <c r="D31" s="20">
        <v>2793</v>
      </c>
      <c r="E31" s="20">
        <f ref="E31:U31" t="shared" si="30">E32*E7</f>
        <v>2973.12915066914</v>
      </c>
      <c r="F31" s="20">
        <f t="shared" si="30"/>
        <v>2982.6216768537488</v>
      </c>
      <c r="G31" s="20">
        <f t="shared" si="30"/>
        <v>3976.8289024716651</v>
      </c>
      <c r="H31" s="20">
        <f t="shared" si="30"/>
        <v>4971.0361280895813</v>
      </c>
      <c r="I31" s="20">
        <f t="shared" si="30"/>
        <v>5965.2433537074976</v>
      </c>
      <c r="J31" s="20">
        <f t="shared" si="30"/>
        <v>5965.2433537074976</v>
      </c>
      <c r="K31" s="208">
        <f t="shared" si="30"/>
        <v>0</v>
      </c>
      <c r="L31" s="20">
        <f t="shared" si="30"/>
        <v>5965.2433537074976</v>
      </c>
      <c r="M31" s="20">
        <f t="shared" si="30"/>
        <v>5965.2433537074976</v>
      </c>
      <c r="N31" s="20">
        <f t="shared" si="30"/>
        <v>5965.2433537074976</v>
      </c>
      <c r="O31" s="20">
        <f t="shared" si="30"/>
        <v>5965.2433537074976</v>
      </c>
      <c r="P31" s="20">
        <f t="shared" si="30"/>
        <v>5965.2433537074976</v>
      </c>
      <c r="Q31" s="20">
        <f t="shared" si="30"/>
        <v>5965.2433537074976</v>
      </c>
      <c r="R31" s="20">
        <f t="shared" si="30"/>
        <v>5965.2433537074976</v>
      </c>
      <c r="S31" s="20">
        <f t="shared" si="30"/>
        <v>5965.2433537074976</v>
      </c>
      <c r="T31" s="20">
        <f t="shared" si="30"/>
        <v>5965.2433537074976</v>
      </c>
      <c r="U31" s="20">
        <f t="shared" si="30"/>
        <v>5965.2433537074976</v>
      </c>
      <c r="V31" s="20">
        <f ref="V31:Z31" t="shared" si="31">V32*V7</f>
        <v>5965.2433537074976</v>
      </c>
      <c r="W31" s="20">
        <f t="shared" si="31"/>
        <v>5965.2433537074976</v>
      </c>
      <c r="X31" s="20">
        <f t="shared" si="31"/>
        <v>5965.2433537074976</v>
      </c>
      <c r="Y31" s="20">
        <f t="shared" si="31"/>
        <v>5965.2433537074976</v>
      </c>
      <c r="Z31" s="20">
        <f t="shared" si="31"/>
        <v>5965.2433537074976</v>
      </c>
      <c r="AA31" s="20"/>
      <c r="AB31" s="20"/>
      <c r="AC31" s="20"/>
      <c r="AD31" s="20"/>
      <c r="AE31" s="20"/>
    </row>
    <row spans="1:31" r="32" x14ac:dyDescent="0.25">
      <c r="B32" s="18" t="s">
        <v>14</v>
      </c>
      <c r="C32" s="74">
        <f>C31/C7</f>
        <v>1.4548639131391681E-2</v>
      </c>
      <c r="D32" s="74">
        <f>D31/D7</f>
        <v>1.2355072303493305E-2</v>
      </c>
      <c r="E32" s="74">
        <f>AVERAGE(C32:D32)</f>
        <v>1.3451855717442493E-2</v>
      </c>
      <c r="F32" s="74">
        <f ref="F32:L32" t="shared" si="32">AVERAGE($C$32:$E$32)</f>
        <v>1.3451855717442493E-2</v>
      </c>
      <c r="G32" s="76">
        <f t="shared" si="32"/>
        <v>1.3451855717442493E-2</v>
      </c>
      <c r="H32" s="76">
        <f t="shared" si="32"/>
        <v>1.3451855717442493E-2</v>
      </c>
      <c r="I32" s="76">
        <f t="shared" si="32"/>
        <v>1.3451855717442493E-2</v>
      </c>
      <c r="J32" s="76">
        <f t="shared" si="32"/>
        <v>1.3451855717442493E-2</v>
      </c>
      <c r="K32" s="76">
        <f t="shared" si="32"/>
        <v>1.3451855717442493E-2</v>
      </c>
      <c r="L32" s="76">
        <f t="shared" si="32"/>
        <v>1.3451855717442493E-2</v>
      </c>
      <c r="M32" s="76">
        <f ref="M32:Z32" t="shared" si="33">AVERAGE($C$32:$E$32)</f>
        <v>1.3451855717442493E-2</v>
      </c>
      <c r="N32" s="76">
        <f t="shared" si="33"/>
        <v>1.3451855717442493E-2</v>
      </c>
      <c r="O32" s="76">
        <f t="shared" si="33"/>
        <v>1.3451855717442493E-2</v>
      </c>
      <c r="P32" s="76">
        <f t="shared" si="33"/>
        <v>1.3451855717442493E-2</v>
      </c>
      <c r="Q32" s="76">
        <f t="shared" si="33"/>
        <v>1.3451855717442493E-2</v>
      </c>
      <c r="R32" s="76">
        <f t="shared" si="33"/>
        <v>1.3451855717442493E-2</v>
      </c>
      <c r="S32" s="76">
        <f t="shared" si="33"/>
        <v>1.3451855717442493E-2</v>
      </c>
      <c r="T32" s="76">
        <f t="shared" si="33"/>
        <v>1.3451855717442493E-2</v>
      </c>
      <c r="U32" s="76">
        <f t="shared" si="33"/>
        <v>1.3451855717442493E-2</v>
      </c>
      <c r="V32" s="76">
        <f t="shared" si="33"/>
        <v>1.3451855717442493E-2</v>
      </c>
      <c r="W32" s="76">
        <f t="shared" si="33"/>
        <v>1.3451855717442493E-2</v>
      </c>
      <c r="X32" s="76">
        <f t="shared" si="33"/>
        <v>1.3451855717442493E-2</v>
      </c>
      <c r="Y32" s="76">
        <f t="shared" si="33"/>
        <v>1.3451855717442493E-2</v>
      </c>
      <c r="Z32" s="76">
        <f t="shared" si="33"/>
        <v>1.3451855717442493E-2</v>
      </c>
      <c r="AA32" s="76"/>
      <c r="AB32" s="76"/>
      <c r="AC32" s="76"/>
      <c r="AD32" s="76"/>
      <c r="AE32" s="76"/>
    </row>
    <row spans="1:31" r="33" x14ac:dyDescent="0.25">
      <c r="B33" s="2" t="s">
        <v>31</v>
      </c>
      <c r="C33" s="2">
        <v>-2962</v>
      </c>
      <c r="D33" s="208">
        <v>0</v>
      </c>
      <c r="E33" s="208">
        <v>0</v>
      </c>
      <c r="F33" s="208">
        <v>0</v>
      </c>
      <c r="G33" s="208">
        <v>0</v>
      </c>
      <c r="H33" s="208">
        <v>0</v>
      </c>
      <c r="I33" s="208">
        <v>0</v>
      </c>
      <c r="J33" s="208">
        <v>0</v>
      </c>
      <c r="K33" s="208">
        <v>0</v>
      </c>
      <c r="L33" s="208">
        <v>0</v>
      </c>
      <c r="M33" s="208">
        <v>0</v>
      </c>
      <c r="N33" s="208">
        <v>0</v>
      </c>
      <c r="O33" s="208">
        <v>0</v>
      </c>
      <c r="P33" s="208">
        <v>0</v>
      </c>
      <c r="Q33" s="208">
        <v>0</v>
      </c>
      <c r="R33" s="208">
        <v>0</v>
      </c>
      <c r="S33" s="208">
        <v>0</v>
      </c>
      <c r="T33" s="208">
        <v>0</v>
      </c>
      <c r="U33" s="208">
        <v>0</v>
      </c>
      <c r="V33" s="208">
        <v>0</v>
      </c>
      <c r="W33" s="208">
        <v>0</v>
      </c>
      <c r="X33" s="208">
        <v>0</v>
      </c>
      <c r="Y33" s="208">
        <v>0</v>
      </c>
      <c r="Z33" s="208">
        <v>0</v>
      </c>
      <c r="AA33" s="2"/>
      <c r="AB33" s="2"/>
      <c r="AC33" s="2"/>
      <c r="AD33" s="2"/>
      <c r="AE33" s="2"/>
    </row>
    <row spans="1:31" r="34" x14ac:dyDescent="0.25">
      <c r="B34" s="18"/>
      <c r="C34" s="74"/>
      <c r="D34" s="74"/>
      <c r="E34" s="74"/>
      <c r="F34" s="74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spans="1:31" r="35" x14ac:dyDescent="0.25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spans="1:31" r="36" x14ac:dyDescent="0.25">
      <c r="B36" s="2" t="s">
        <v>32</v>
      </c>
      <c r="C36" s="20"/>
      <c r="D36" s="20"/>
      <c r="E36" s="20"/>
      <c r="F36" s="20">
        <f ref="F36:U36" t="shared" si="34">F7-F10+F13-F29-F31</f>
        <v>377418.15214743541</v>
      </c>
      <c r="G36" s="20">
        <f t="shared" si="34"/>
        <v>388825.61952991388</v>
      </c>
      <c r="H36" s="20">
        <f t="shared" si="34"/>
        <v>412488.27441239235</v>
      </c>
      <c r="I36" s="20">
        <f t="shared" si="34"/>
        <v>394485.92929487088</v>
      </c>
      <c r="J36" s="20">
        <f t="shared" si="34"/>
        <v>367485.92929487088</v>
      </c>
      <c r="K36" s="208">
        <f t="shared" si="34"/>
        <v>0</v>
      </c>
      <c r="L36" s="20">
        <f t="shared" si="34"/>
        <v>326985.92929487088</v>
      </c>
      <c r="M36" s="20">
        <f t="shared" si="34"/>
        <v>326985.92929487088</v>
      </c>
      <c r="N36" s="20">
        <f t="shared" si="34"/>
        <v>326985.92929487088</v>
      </c>
      <c r="O36" s="20">
        <f t="shared" si="34"/>
        <v>326985.92929487088</v>
      </c>
      <c r="P36" s="20">
        <f t="shared" si="34"/>
        <v>326985.92929487088</v>
      </c>
      <c r="Q36" s="20">
        <f t="shared" si="34"/>
        <v>326985.92929487088</v>
      </c>
      <c r="R36" s="20">
        <f t="shared" si="34"/>
        <v>326985.92929487088</v>
      </c>
      <c r="S36" s="20">
        <f t="shared" si="34"/>
        <v>326985.92929487088</v>
      </c>
      <c r="T36" s="20">
        <f t="shared" si="34"/>
        <v>326985.92929487088</v>
      </c>
      <c r="U36" s="20">
        <f t="shared" si="34"/>
        <v>326985.92929487088</v>
      </c>
      <c r="V36" s="20">
        <f ref="V36:Z36" t="shared" si="35">V7-V10+V13-V29-V31</f>
        <v>326985.92929487088</v>
      </c>
      <c r="W36" s="20">
        <f t="shared" si="35"/>
        <v>326985.92929487088</v>
      </c>
      <c r="X36" s="20">
        <f t="shared" si="35"/>
        <v>326985.92929487088</v>
      </c>
      <c r="Y36" s="20">
        <f t="shared" si="35"/>
        <v>326985.92929487088</v>
      </c>
      <c r="Z36" s="20">
        <f t="shared" si="35"/>
        <v>326985.92929487088</v>
      </c>
      <c r="AA36" s="20"/>
      <c r="AB36" s="20"/>
      <c r="AC36" s="20"/>
      <c r="AD36" s="20"/>
      <c r="AE36" s="20"/>
    </row>
    <row spans="1:31" r="37" x14ac:dyDescent="0.25">
      <c r="B37" s="2"/>
      <c r="C37" s="68"/>
      <c r="D37" s="68"/>
      <c r="E37" s="68"/>
      <c r="F37" s="68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spans="1:31" r="38" x14ac:dyDescent="0.2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spans="1:31" r="41" s="2" x14ac:dyDescent="0.25" customFormat="1">
      <c r="A41" s="2" t="s">
        <v>7</v>
      </c>
      <c r="B41" s="24" t="s">
        <v>33</v>
      </c>
      <c r="C41" s="24">
        <v>2019</v>
      </c>
      <c r="D41" s="24">
        <v>2020</v>
      </c>
      <c r="E41" s="24">
        <v>2021</v>
      </c>
      <c r="F41" s="24">
        <v>2022</v>
      </c>
      <c r="G41" s="24">
        <f>F41+1</f>
        <v>2023</v>
      </c>
      <c r="H41" s="24">
        <f ref="H41:Z41" t="shared" si="36">G41+1</f>
        <v>2024</v>
      </c>
      <c r="I41" s="24">
        <f t="shared" si="36"/>
        <v>2025</v>
      </c>
      <c r="J41" s="24">
        <f t="shared" si="36"/>
        <v>2026</v>
      </c>
      <c r="K41" s="24">
        <f t="shared" si="36"/>
        <v>2027</v>
      </c>
      <c r="L41" s="24">
        <f t="shared" si="36"/>
        <v>2028</v>
      </c>
      <c r="M41" s="24">
        <f t="shared" si="36"/>
        <v>2029</v>
      </c>
      <c r="N41" s="24">
        <f t="shared" si="36"/>
        <v>2030</v>
      </c>
      <c r="O41" s="24">
        <f t="shared" si="36"/>
        <v>2031</v>
      </c>
      <c r="P41" s="24">
        <f t="shared" si="36"/>
        <v>2032</v>
      </c>
      <c r="Q41" s="24">
        <f t="shared" si="36"/>
        <v>2033</v>
      </c>
      <c r="R41" s="24">
        <f t="shared" si="36"/>
        <v>2034</v>
      </c>
      <c r="S41" s="24">
        <f t="shared" si="36"/>
        <v>2035</v>
      </c>
      <c r="T41" s="24">
        <f t="shared" si="36"/>
        <v>2036</v>
      </c>
      <c r="U41" s="24">
        <f t="shared" si="36"/>
        <v>2037</v>
      </c>
      <c r="V41" s="24">
        <f t="shared" si="36"/>
        <v>2038</v>
      </c>
      <c r="W41" s="24">
        <f t="shared" si="36"/>
        <v>2039</v>
      </c>
      <c r="X41" s="24">
        <f t="shared" si="36"/>
        <v>2040</v>
      </c>
      <c r="Y41" s="24">
        <f t="shared" si="36"/>
        <v>2041</v>
      </c>
      <c r="Z41" s="24">
        <f t="shared" si="36"/>
        <v>2042</v>
      </c>
      <c r="AA41" s="24"/>
      <c r="AB41" s="24"/>
      <c r="AC41" s="24"/>
      <c r="AD41" s="24"/>
      <c r="AE41" s="24"/>
    </row>
    <row spans="1:31" r="42" s="2" x14ac:dyDescent="0.25" customFormat="1">
      <c r="B42" s="2" t="s">
        <v>9</v>
      </c>
      <c r="G42" s="2">
        <v>2.4500000000000002</v>
      </c>
      <c r="H42" s="2">
        <v>2.4500000000000002</v>
      </c>
      <c r="I42" s="2">
        <v>2.4500000000000002</v>
      </c>
      <c r="J42" s="2">
        <v>2.4500000000000002</v>
      </c>
      <c r="K42" s="2">
        <v>2.4500000000000002</v>
      </c>
      <c r="L42" s="2">
        <v>2.4500000000000002</v>
      </c>
      <c r="M42" s="2">
        <v>2.4500000000000002</v>
      </c>
      <c r="N42" s="2">
        <v>2.4500000000000002</v>
      </c>
      <c r="O42" s="2">
        <v>2.4500000000000002</v>
      </c>
      <c r="P42" s="2">
        <v>2.4500000000000002</v>
      </c>
      <c r="Q42" s="2">
        <v>2.4500000000000002</v>
      </c>
      <c r="R42" s="2">
        <v>2.4500000000000002</v>
      </c>
      <c r="S42" s="2">
        <v>2.4500000000000002</v>
      </c>
      <c r="T42" s="2">
        <v>2.4500000000000002</v>
      </c>
      <c r="U42" s="2">
        <v>2.4500000000000002</v>
      </c>
      <c r="V42" s="2">
        <v>2.4500000000000002</v>
      </c>
      <c r="W42" s="2">
        <v>2.4500000000000002</v>
      </c>
      <c r="X42" s="2">
        <v>2.4500000000000002</v>
      </c>
      <c r="Y42" s="2">
        <v>2.4500000000000002</v>
      </c>
      <c r="Z42" s="2">
        <v>2.4500000000000002</v>
      </c>
    </row>
    <row spans="1:31" r="43" s="2" x14ac:dyDescent="0.25" customFormat="1">
      <c r="B43" s="2" t="s">
        <v>10</v>
      </c>
      <c r="G43" s="2">
        <v>2.4500000000000002</v>
      </c>
      <c r="H43" s="2">
        <v>2.4500000000000002</v>
      </c>
      <c r="I43" s="2">
        <v>2.4500000000000002</v>
      </c>
      <c r="J43" s="2">
        <v>2.4500000000000002</v>
      </c>
      <c r="K43" s="2">
        <v>2.4500000000000002</v>
      </c>
      <c r="L43" s="2">
        <v>2.4500000000000002</v>
      </c>
      <c r="M43" s="2">
        <v>2.4500000000000002</v>
      </c>
      <c r="N43" s="2">
        <v>2.4500000000000002</v>
      </c>
      <c r="O43" s="2">
        <v>2.4500000000000002</v>
      </c>
      <c r="P43" s="2">
        <v>2.4500000000000002</v>
      </c>
      <c r="Q43" s="2">
        <v>2.4500000000000002</v>
      </c>
      <c r="R43" s="2">
        <v>2.4500000000000002</v>
      </c>
      <c r="S43" s="2">
        <v>2.4500000000000002</v>
      </c>
      <c r="T43" s="2">
        <v>2.4500000000000002</v>
      </c>
      <c r="U43" s="2">
        <v>2.4500000000000002</v>
      </c>
      <c r="V43" s="2">
        <v>2.4500000000000002</v>
      </c>
      <c r="W43" s="2">
        <v>2.4500000000000002</v>
      </c>
      <c r="X43" s="2">
        <v>2.4500000000000002</v>
      </c>
      <c r="Y43" s="2">
        <v>2.4500000000000002</v>
      </c>
      <c r="Z43" s="2">
        <v>2.4500000000000002</v>
      </c>
    </row>
    <row spans="1:31" r="44" s="2" x14ac:dyDescent="0.25" customFormat="1">
      <c r="B44" s="2" t="s">
        <v>11</v>
      </c>
      <c r="C44" s="20"/>
      <c r="D44" s="20"/>
      <c r="E44" s="20"/>
      <c r="F44" s="20"/>
      <c r="G44" s="20">
        <f>(G45*G43)/4</f>
        <v>113172.47569444447</v>
      </c>
      <c r="H44" s="20">
        <f ref="H44:Z44" t="shared" si="37">H45*H43</f>
        <v>452689.90277777787</v>
      </c>
      <c r="I44" s="20">
        <f t="shared" si="37"/>
        <v>452689.90277777787</v>
      </c>
      <c r="J44" s="20">
        <f t="shared" si="37"/>
        <v>452689.90277777787</v>
      </c>
      <c r="K44" s="20">
        <f t="shared" si="37"/>
        <v>452689.90277777787</v>
      </c>
      <c r="L44" s="20">
        <f t="shared" si="37"/>
        <v>452689.90277777787</v>
      </c>
      <c r="M44" s="20">
        <f t="shared" si="37"/>
        <v>452689.90277777787</v>
      </c>
      <c r="N44" s="20">
        <f t="shared" si="37"/>
        <v>452689.90277777787</v>
      </c>
      <c r="O44" s="20">
        <f t="shared" si="37"/>
        <v>452689.90277777787</v>
      </c>
      <c r="P44" s="20">
        <f t="shared" si="37"/>
        <v>452689.90277777787</v>
      </c>
      <c r="Q44" s="20">
        <f t="shared" si="37"/>
        <v>452689.90277777787</v>
      </c>
      <c r="R44" s="20">
        <f t="shared" si="37"/>
        <v>452689.90277777787</v>
      </c>
      <c r="S44" s="20">
        <f t="shared" si="37"/>
        <v>452689.90277777787</v>
      </c>
      <c r="T44" s="20">
        <f t="shared" si="37"/>
        <v>452689.90277777787</v>
      </c>
      <c r="U44" s="20">
        <f t="shared" si="37"/>
        <v>452689.90277777787</v>
      </c>
      <c r="V44" s="20">
        <f t="shared" si="37"/>
        <v>452689.90277777787</v>
      </c>
      <c r="W44" s="20">
        <f t="shared" si="37"/>
        <v>452689.90277777787</v>
      </c>
      <c r="X44" s="20">
        <f t="shared" si="37"/>
        <v>452689.90277777787</v>
      </c>
      <c r="Y44" s="20">
        <f t="shared" si="37"/>
        <v>452689.90277777787</v>
      </c>
      <c r="Z44" s="20">
        <f t="shared" si="37"/>
        <v>452689.90277777787</v>
      </c>
      <c r="AA44" s="20"/>
      <c r="AB44" s="20"/>
      <c r="AC44" s="20"/>
      <c r="AD44" s="20"/>
      <c r="AE44" s="20"/>
    </row>
    <row spans="1:31" r="45" s="2" x14ac:dyDescent="0.25" customFormat="1">
      <c r="B45" s="18" t="s">
        <v>12</v>
      </c>
      <c r="C45" s="20"/>
      <c r="D45" s="20"/>
      <c r="E45" s="20"/>
      <c r="F45" s="20"/>
      <c r="G45" s="20">
        <f>AVERAGE($C$8:$E$8)</f>
        <v>184771.38888888891</v>
      </c>
      <c r="H45" s="20">
        <f ref="H45:Z45" t="shared" si="38">AVERAGE($C$8:$E$8)</f>
        <v>184771.38888888891</v>
      </c>
      <c r="I45" s="20">
        <f t="shared" si="38"/>
        <v>184771.38888888891</v>
      </c>
      <c r="J45" s="20">
        <f t="shared" si="38"/>
        <v>184771.38888888891</v>
      </c>
      <c r="K45" s="20">
        <f t="shared" si="38"/>
        <v>184771.38888888891</v>
      </c>
      <c r="L45" s="20">
        <f t="shared" si="38"/>
        <v>184771.38888888891</v>
      </c>
      <c r="M45" s="20">
        <f t="shared" si="38"/>
        <v>184771.38888888891</v>
      </c>
      <c r="N45" s="20">
        <f t="shared" si="38"/>
        <v>184771.38888888891</v>
      </c>
      <c r="O45" s="20">
        <f t="shared" si="38"/>
        <v>184771.38888888891</v>
      </c>
      <c r="P45" s="20">
        <f t="shared" si="38"/>
        <v>184771.38888888891</v>
      </c>
      <c r="Q45" s="20">
        <f t="shared" si="38"/>
        <v>184771.38888888891</v>
      </c>
      <c r="R45" s="20">
        <f t="shared" si="38"/>
        <v>184771.38888888891</v>
      </c>
      <c r="S45" s="20">
        <f t="shared" si="38"/>
        <v>184771.38888888891</v>
      </c>
      <c r="T45" s="20">
        <f t="shared" si="38"/>
        <v>184771.38888888891</v>
      </c>
      <c r="U45" s="20">
        <f t="shared" si="38"/>
        <v>184771.38888888891</v>
      </c>
      <c r="V45" s="20">
        <f t="shared" si="38"/>
        <v>184771.38888888891</v>
      </c>
      <c r="W45" s="20">
        <f t="shared" si="38"/>
        <v>184771.38888888891</v>
      </c>
      <c r="X45" s="20">
        <f t="shared" si="38"/>
        <v>184771.38888888891</v>
      </c>
      <c r="Y45" s="20">
        <f t="shared" si="38"/>
        <v>184771.38888888891</v>
      </c>
      <c r="Z45" s="20">
        <f t="shared" si="38"/>
        <v>184771.38888888891</v>
      </c>
      <c r="AA45" s="20"/>
      <c r="AB45" s="20"/>
      <c r="AC45" s="20"/>
      <c r="AD45" s="20"/>
      <c r="AE45" s="20"/>
    </row>
    <row spans="1:31" r="46" s="2" x14ac:dyDescent="0.25" customFormat="1"/>
    <row spans="1:31" r="47" s="2" x14ac:dyDescent="0.25" customFormat="1">
      <c r="B47" s="2" t="s">
        <v>13</v>
      </c>
      <c r="C47" s="20"/>
      <c r="D47" s="20"/>
      <c r="E47" s="20"/>
      <c r="F47" s="20"/>
      <c r="G47" s="20">
        <f ref="G47:Z47" t="shared" si="39">G44*G48</f>
        <v>27386.107487971021</v>
      </c>
      <c r="H47" s="20">
        <f t="shared" si="39"/>
        <v>109544.42995188409</v>
      </c>
      <c r="I47" s="20">
        <f t="shared" si="39"/>
        <v>109544.42995188409</v>
      </c>
      <c r="J47" s="20">
        <f t="shared" si="39"/>
        <v>109544.42995188409</v>
      </c>
      <c r="K47" s="20">
        <f t="shared" si="39"/>
        <v>109544.42995188409</v>
      </c>
      <c r="L47" s="20">
        <f t="shared" si="39"/>
        <v>109544.42995188409</v>
      </c>
      <c r="M47" s="20">
        <f t="shared" si="39"/>
        <v>109544.42995188409</v>
      </c>
      <c r="N47" s="20">
        <f t="shared" si="39"/>
        <v>109544.42995188409</v>
      </c>
      <c r="O47" s="20">
        <f t="shared" si="39"/>
        <v>109544.42995188409</v>
      </c>
      <c r="P47" s="20">
        <f t="shared" si="39"/>
        <v>109544.42995188409</v>
      </c>
      <c r="Q47" s="20">
        <f t="shared" si="39"/>
        <v>109544.42995188409</v>
      </c>
      <c r="R47" s="20">
        <f t="shared" si="39"/>
        <v>109544.42995188409</v>
      </c>
      <c r="S47" s="20">
        <f t="shared" si="39"/>
        <v>109544.42995188409</v>
      </c>
      <c r="T47" s="20">
        <f t="shared" si="39"/>
        <v>109544.42995188409</v>
      </c>
      <c r="U47" s="20">
        <f t="shared" si="39"/>
        <v>109544.42995188409</v>
      </c>
      <c r="V47" s="20">
        <f t="shared" si="39"/>
        <v>109544.42995188409</v>
      </c>
      <c r="W47" s="20">
        <f t="shared" si="39"/>
        <v>109544.42995188409</v>
      </c>
      <c r="X47" s="20">
        <f t="shared" si="39"/>
        <v>109544.42995188409</v>
      </c>
      <c r="Y47" s="20">
        <f t="shared" si="39"/>
        <v>109544.42995188409</v>
      </c>
      <c r="Z47" s="20">
        <f t="shared" si="39"/>
        <v>109544.42995188409</v>
      </c>
      <c r="AA47" s="20"/>
      <c r="AB47" s="20"/>
      <c r="AC47" s="20"/>
      <c r="AD47" s="20"/>
      <c r="AE47" s="20"/>
    </row>
    <row spans="1:31" r="48" s="2" x14ac:dyDescent="0.25" customFormat="1">
      <c r="B48" s="18" t="s">
        <v>14</v>
      </c>
      <c r="C48" s="74"/>
      <c r="D48" s="74"/>
      <c r="E48" s="74"/>
      <c r="F48" s="74"/>
      <c r="G48" s="76">
        <f ref="G48:Z48" t="shared" si="40">AVERAGE($C$11:$E$11)</f>
        <v>0.24198558280116675</v>
      </c>
      <c r="H48" s="76">
        <f t="shared" si="40"/>
        <v>0.24198558280116675</v>
      </c>
      <c r="I48" s="76">
        <f t="shared" si="40"/>
        <v>0.24198558280116675</v>
      </c>
      <c r="J48" s="76">
        <f t="shared" si="40"/>
        <v>0.24198558280116675</v>
      </c>
      <c r="K48" s="76">
        <f t="shared" si="40"/>
        <v>0.24198558280116675</v>
      </c>
      <c r="L48" s="76">
        <f t="shared" si="40"/>
        <v>0.24198558280116675</v>
      </c>
      <c r="M48" s="76">
        <f t="shared" si="40"/>
        <v>0.24198558280116675</v>
      </c>
      <c r="N48" s="76">
        <f t="shared" si="40"/>
        <v>0.24198558280116675</v>
      </c>
      <c r="O48" s="76">
        <f t="shared" si="40"/>
        <v>0.24198558280116675</v>
      </c>
      <c r="P48" s="76">
        <f t="shared" si="40"/>
        <v>0.24198558280116675</v>
      </c>
      <c r="Q48" s="76">
        <f t="shared" si="40"/>
        <v>0.24198558280116675</v>
      </c>
      <c r="R48" s="76">
        <f t="shared" si="40"/>
        <v>0.24198558280116675</v>
      </c>
      <c r="S48" s="76">
        <f t="shared" si="40"/>
        <v>0.24198558280116675</v>
      </c>
      <c r="T48" s="76">
        <f t="shared" si="40"/>
        <v>0.24198558280116675</v>
      </c>
      <c r="U48" s="76">
        <f t="shared" si="40"/>
        <v>0.24198558280116675</v>
      </c>
      <c r="V48" s="76">
        <f t="shared" si="40"/>
        <v>0.24198558280116675</v>
      </c>
      <c r="W48" s="76">
        <f t="shared" si="40"/>
        <v>0.24198558280116675</v>
      </c>
      <c r="X48" s="76">
        <f t="shared" si="40"/>
        <v>0.24198558280116675</v>
      </c>
      <c r="Y48" s="76">
        <f t="shared" si="40"/>
        <v>0.24198558280116675</v>
      </c>
      <c r="Z48" s="76">
        <f t="shared" si="40"/>
        <v>0.24198558280116675</v>
      </c>
      <c r="AA48" s="76"/>
      <c r="AB48" s="76"/>
      <c r="AC48" s="76"/>
      <c r="AD48" s="76"/>
      <c r="AE48" s="76"/>
    </row>
    <row spans="1:31" r="49" s="2" x14ac:dyDescent="0.25" customFormat="1"/>
    <row spans="1:31" r="50" s="2" x14ac:dyDescent="0.25" customFormat="1">
      <c r="B50" s="2" t="s">
        <v>29</v>
      </c>
      <c r="C50" s="20"/>
      <c r="D50" s="20"/>
      <c r="E50" s="20"/>
      <c r="F50" s="20"/>
      <c r="G50" s="20">
        <f>G51*G44</f>
        <v>814.45435345083945</v>
      </c>
      <c r="H50" s="20">
        <f ref="H50:Z50" t="shared" si="41">H51*H44</f>
        <v>3257.8174138033578</v>
      </c>
      <c r="I50" s="20">
        <f t="shared" si="41"/>
        <v>3257.8174138033578</v>
      </c>
      <c r="J50" s="20">
        <f t="shared" si="41"/>
        <v>3257.8174138033578</v>
      </c>
      <c r="K50" s="20">
        <f t="shared" si="41"/>
        <v>3257.8174138033578</v>
      </c>
      <c r="L50" s="20">
        <f t="shared" si="41"/>
        <v>3257.8174138033578</v>
      </c>
      <c r="M50" s="20">
        <f t="shared" si="41"/>
        <v>3257.8174138033578</v>
      </c>
      <c r="N50" s="20">
        <f t="shared" si="41"/>
        <v>3257.8174138033578</v>
      </c>
      <c r="O50" s="20">
        <f t="shared" si="41"/>
        <v>3257.8174138033578</v>
      </c>
      <c r="P50" s="20">
        <f t="shared" si="41"/>
        <v>3257.8174138033578</v>
      </c>
      <c r="Q50" s="20">
        <f t="shared" si="41"/>
        <v>3257.8174138033578</v>
      </c>
      <c r="R50" s="20">
        <f t="shared" si="41"/>
        <v>3257.8174138033578</v>
      </c>
      <c r="S50" s="20">
        <f t="shared" si="41"/>
        <v>3257.8174138033578</v>
      </c>
      <c r="T50" s="20">
        <f t="shared" si="41"/>
        <v>3257.8174138033578</v>
      </c>
      <c r="U50" s="20">
        <f t="shared" si="41"/>
        <v>3257.8174138033578</v>
      </c>
      <c r="V50" s="20">
        <f t="shared" si="41"/>
        <v>3257.8174138033578</v>
      </c>
      <c r="W50" s="20">
        <f t="shared" si="41"/>
        <v>3257.8174138033578</v>
      </c>
      <c r="X50" s="20">
        <f t="shared" si="41"/>
        <v>3257.8174138033578</v>
      </c>
      <c r="Y50" s="20">
        <f t="shared" si="41"/>
        <v>3257.8174138033578</v>
      </c>
      <c r="Z50" s="20">
        <f t="shared" si="41"/>
        <v>3257.8174138033578</v>
      </c>
      <c r="AA50" s="20"/>
      <c r="AB50" s="20"/>
      <c r="AC50" s="20"/>
      <c r="AD50" s="20"/>
      <c r="AE50" s="20"/>
    </row>
    <row spans="1:31" r="51" s="2" x14ac:dyDescent="0.25" customFormat="1">
      <c r="B51" s="18" t="s">
        <v>14</v>
      </c>
      <c r="C51" s="74"/>
      <c r="D51" s="74"/>
      <c r="E51" s="74"/>
      <c r="F51" s="74"/>
      <c r="G51" s="76">
        <f ref="G51:Z51" t="shared" si="42">AVERAGE($C$30:$E$30)</f>
        <v>7.1965762739854972E-3</v>
      </c>
      <c r="H51" s="76">
        <f t="shared" si="42"/>
        <v>7.1965762739854972E-3</v>
      </c>
      <c r="I51" s="76">
        <f t="shared" si="42"/>
        <v>7.1965762739854972E-3</v>
      </c>
      <c r="J51" s="76">
        <f t="shared" si="42"/>
        <v>7.1965762739854972E-3</v>
      </c>
      <c r="K51" s="76">
        <f t="shared" si="42"/>
        <v>7.1965762739854972E-3</v>
      </c>
      <c r="L51" s="76">
        <f t="shared" si="42"/>
        <v>7.1965762739854972E-3</v>
      </c>
      <c r="M51" s="76">
        <f t="shared" si="42"/>
        <v>7.1965762739854972E-3</v>
      </c>
      <c r="N51" s="76">
        <f t="shared" si="42"/>
        <v>7.1965762739854972E-3</v>
      </c>
      <c r="O51" s="76">
        <f t="shared" si="42"/>
        <v>7.1965762739854972E-3</v>
      </c>
      <c r="P51" s="76">
        <f t="shared" si="42"/>
        <v>7.1965762739854972E-3</v>
      </c>
      <c r="Q51" s="76">
        <f t="shared" si="42"/>
        <v>7.1965762739854972E-3</v>
      </c>
      <c r="R51" s="76">
        <f t="shared" si="42"/>
        <v>7.1965762739854972E-3</v>
      </c>
      <c r="S51" s="76">
        <f t="shared" si="42"/>
        <v>7.1965762739854972E-3</v>
      </c>
      <c r="T51" s="76">
        <f t="shared" si="42"/>
        <v>7.1965762739854972E-3</v>
      </c>
      <c r="U51" s="76">
        <f t="shared" si="42"/>
        <v>7.1965762739854972E-3</v>
      </c>
      <c r="V51" s="76">
        <f t="shared" si="42"/>
        <v>7.1965762739854972E-3</v>
      </c>
      <c r="W51" s="76">
        <f t="shared" si="42"/>
        <v>7.1965762739854972E-3</v>
      </c>
      <c r="X51" s="76">
        <f t="shared" si="42"/>
        <v>7.1965762739854972E-3</v>
      </c>
      <c r="Y51" s="76">
        <f t="shared" si="42"/>
        <v>7.1965762739854972E-3</v>
      </c>
      <c r="Z51" s="76">
        <f t="shared" si="42"/>
        <v>7.1965762739854972E-3</v>
      </c>
      <c r="AA51" s="76"/>
      <c r="AB51" s="76"/>
      <c r="AC51" s="76"/>
      <c r="AD51" s="76"/>
      <c r="AE51" s="76"/>
    </row>
    <row spans="1:31" r="52" s="2" x14ac:dyDescent="0.25" customFormat="1">
      <c r="B52" s="2" t="s">
        <v>30</v>
      </c>
      <c r="C52" s="20"/>
      <c r="D52" s="20"/>
      <c r="E52" s="20"/>
      <c r="F52" s="20"/>
      <c r="G52" s="20">
        <f>G53*G44</f>
        <v>1522.3798142274343</v>
      </c>
      <c r="H52" s="20">
        <f ref="H52:Z52" t="shared" si="43">H53*H44</f>
        <v>6089.5192569097371</v>
      </c>
      <c r="I52" s="20">
        <f t="shared" si="43"/>
        <v>6089.5192569097371</v>
      </c>
      <c r="J52" s="20">
        <f t="shared" si="43"/>
        <v>6089.5192569097371</v>
      </c>
      <c r="K52" s="20">
        <f t="shared" si="43"/>
        <v>6089.5192569097371</v>
      </c>
      <c r="L52" s="20">
        <f t="shared" si="43"/>
        <v>6089.5192569097371</v>
      </c>
      <c r="M52" s="20">
        <f t="shared" si="43"/>
        <v>6089.5192569097371</v>
      </c>
      <c r="N52" s="20">
        <f t="shared" si="43"/>
        <v>6089.5192569097371</v>
      </c>
      <c r="O52" s="20">
        <f t="shared" si="43"/>
        <v>6089.5192569097371</v>
      </c>
      <c r="P52" s="20">
        <f t="shared" si="43"/>
        <v>6089.5192569097371</v>
      </c>
      <c r="Q52" s="20">
        <f t="shared" si="43"/>
        <v>6089.5192569097371</v>
      </c>
      <c r="R52" s="20">
        <f t="shared" si="43"/>
        <v>6089.5192569097371</v>
      </c>
      <c r="S52" s="20">
        <f t="shared" si="43"/>
        <v>6089.5192569097371</v>
      </c>
      <c r="T52" s="20">
        <f t="shared" si="43"/>
        <v>6089.5192569097371</v>
      </c>
      <c r="U52" s="20">
        <f t="shared" si="43"/>
        <v>6089.5192569097371</v>
      </c>
      <c r="V52" s="20">
        <f t="shared" si="43"/>
        <v>6089.5192569097371</v>
      </c>
      <c r="W52" s="20">
        <f t="shared" si="43"/>
        <v>6089.5192569097371</v>
      </c>
      <c r="X52" s="20">
        <f t="shared" si="43"/>
        <v>6089.5192569097371</v>
      </c>
      <c r="Y52" s="20">
        <f t="shared" si="43"/>
        <v>6089.5192569097371</v>
      </c>
      <c r="Z52" s="20">
        <f t="shared" si="43"/>
        <v>6089.5192569097371</v>
      </c>
      <c r="AA52" s="20"/>
      <c r="AB52" s="20"/>
      <c r="AC52" s="20"/>
      <c r="AD52" s="20"/>
      <c r="AE52" s="20"/>
    </row>
    <row spans="1:31" r="53" s="2" x14ac:dyDescent="0.25" customFormat="1">
      <c r="B53" s="18" t="s">
        <v>14</v>
      </c>
      <c r="C53" s="74"/>
      <c r="D53" s="74"/>
      <c r="E53" s="74"/>
      <c r="F53" s="74"/>
      <c r="G53" s="76">
        <f ref="G53:Z53" t="shared" si="44">AVERAGE($C$32:$E$32)</f>
        <v>1.3451855717442493E-2</v>
      </c>
      <c r="H53" s="76">
        <f t="shared" si="44"/>
        <v>1.3451855717442493E-2</v>
      </c>
      <c r="I53" s="76">
        <f t="shared" si="44"/>
        <v>1.3451855717442493E-2</v>
      </c>
      <c r="J53" s="76">
        <f t="shared" si="44"/>
        <v>1.3451855717442493E-2</v>
      </c>
      <c r="K53" s="76">
        <f t="shared" si="44"/>
        <v>1.3451855717442493E-2</v>
      </c>
      <c r="L53" s="76">
        <f t="shared" si="44"/>
        <v>1.3451855717442493E-2</v>
      </c>
      <c r="M53" s="76">
        <f t="shared" si="44"/>
        <v>1.3451855717442493E-2</v>
      </c>
      <c r="N53" s="76">
        <f t="shared" si="44"/>
        <v>1.3451855717442493E-2</v>
      </c>
      <c r="O53" s="76">
        <f t="shared" si="44"/>
        <v>1.3451855717442493E-2</v>
      </c>
      <c r="P53" s="76">
        <f t="shared" si="44"/>
        <v>1.3451855717442493E-2</v>
      </c>
      <c r="Q53" s="76">
        <f t="shared" si="44"/>
        <v>1.3451855717442493E-2</v>
      </c>
      <c r="R53" s="76">
        <f t="shared" si="44"/>
        <v>1.3451855717442493E-2</v>
      </c>
      <c r="S53" s="76">
        <f t="shared" si="44"/>
        <v>1.3451855717442493E-2</v>
      </c>
      <c r="T53" s="76">
        <f t="shared" si="44"/>
        <v>1.3451855717442493E-2</v>
      </c>
      <c r="U53" s="76">
        <f t="shared" si="44"/>
        <v>1.3451855717442493E-2</v>
      </c>
      <c r="V53" s="76">
        <f t="shared" si="44"/>
        <v>1.3451855717442493E-2</v>
      </c>
      <c r="W53" s="76">
        <f t="shared" si="44"/>
        <v>1.3451855717442493E-2</v>
      </c>
      <c r="X53" s="76">
        <f t="shared" si="44"/>
        <v>1.3451855717442493E-2</v>
      </c>
      <c r="Y53" s="76">
        <f t="shared" si="44"/>
        <v>1.3451855717442493E-2</v>
      </c>
      <c r="Z53" s="76">
        <f t="shared" si="44"/>
        <v>1.3451855717442493E-2</v>
      </c>
      <c r="AA53" s="76"/>
      <c r="AB53" s="76"/>
      <c r="AC53" s="76"/>
      <c r="AD53" s="76"/>
      <c r="AE53" s="76"/>
    </row>
    <row spans="1:31" r="54" s="2" x14ac:dyDescent="0.25" customFormat="1">
      <c r="B54" s="2" t="s">
        <v>31</v>
      </c>
      <c r="G54" s="208">
        <v>0</v>
      </c>
      <c r="H54" s="208">
        <v>0</v>
      </c>
      <c r="I54" s="208">
        <v>0</v>
      </c>
      <c r="J54" s="208">
        <v>0</v>
      </c>
      <c r="K54" s="208">
        <v>0</v>
      </c>
      <c r="L54" s="208">
        <v>0</v>
      </c>
      <c r="M54" s="208">
        <v>0</v>
      </c>
      <c r="N54" s="208">
        <v>0</v>
      </c>
      <c r="O54" s="208">
        <v>0</v>
      </c>
      <c r="P54" s="208">
        <v>0</v>
      </c>
      <c r="Q54" s="208">
        <v>0</v>
      </c>
      <c r="R54" s="208">
        <v>0</v>
      </c>
      <c r="S54" s="208">
        <v>0</v>
      </c>
      <c r="T54" s="208">
        <v>0</v>
      </c>
      <c r="U54" s="208">
        <v>0</v>
      </c>
      <c r="V54" s="208">
        <v>0</v>
      </c>
      <c r="W54" s="208">
        <v>0</v>
      </c>
      <c r="X54" s="208">
        <v>0</v>
      </c>
      <c r="Y54" s="208">
        <v>0</v>
      </c>
      <c r="Z54" s="208">
        <v>0</v>
      </c>
    </row>
    <row spans="1:31" r="55" s="2" x14ac:dyDescent="0.25" customFormat="1"/>
    <row spans="1:31" r="56" s="2" x14ac:dyDescent="0.25" customFormat="1">
      <c r="B56" s="2" t="s">
        <v>34</v>
      </c>
      <c r="G56" s="20">
        <f>(G44-G47-G50-G52)*0.25</f>
        <v>20862.383509698793</v>
      </c>
      <c r="H56" s="20">
        <f ref="H56:Z56" t="shared" si="45">H44-H47-H50-H52</f>
        <v>333798.13615518069</v>
      </c>
      <c r="I56" s="20">
        <f t="shared" si="45"/>
        <v>333798.13615518069</v>
      </c>
      <c r="J56" s="20">
        <f t="shared" si="45"/>
        <v>333798.13615518069</v>
      </c>
      <c r="K56" s="20">
        <f t="shared" si="45"/>
        <v>333798.13615518069</v>
      </c>
      <c r="L56" s="20">
        <f t="shared" si="45"/>
        <v>333798.13615518069</v>
      </c>
      <c r="M56" s="20">
        <f t="shared" si="45"/>
        <v>333798.13615518069</v>
      </c>
      <c r="N56" s="20">
        <f t="shared" si="45"/>
        <v>333798.13615518069</v>
      </c>
      <c r="O56" s="20">
        <f t="shared" si="45"/>
        <v>333798.13615518069</v>
      </c>
      <c r="P56" s="20">
        <f t="shared" si="45"/>
        <v>333798.13615518069</v>
      </c>
      <c r="Q56" s="20">
        <f t="shared" si="45"/>
        <v>333798.13615518069</v>
      </c>
      <c r="R56" s="20">
        <f t="shared" si="45"/>
        <v>333798.13615518069</v>
      </c>
      <c r="S56" s="20">
        <f t="shared" si="45"/>
        <v>333798.13615518069</v>
      </c>
      <c r="T56" s="20">
        <f t="shared" si="45"/>
        <v>333798.13615518069</v>
      </c>
      <c r="U56" s="20">
        <f t="shared" si="45"/>
        <v>333798.13615518069</v>
      </c>
      <c r="V56" s="20">
        <f t="shared" si="45"/>
        <v>333798.13615518069</v>
      </c>
      <c r="W56" s="20">
        <f t="shared" si="45"/>
        <v>333798.13615518069</v>
      </c>
      <c r="X56" s="20">
        <f t="shared" si="45"/>
        <v>333798.13615518069</v>
      </c>
      <c r="Y56" s="20">
        <f t="shared" si="45"/>
        <v>333798.13615518069</v>
      </c>
      <c r="Z56" s="20">
        <f t="shared" si="45"/>
        <v>333798.13615518069</v>
      </c>
      <c r="AA56" s="20"/>
      <c r="AB56" s="20"/>
      <c r="AC56" s="20"/>
      <c r="AD56" s="20"/>
      <c r="AE56" s="20"/>
    </row>
    <row spans="1:31" r="57" s="2" x14ac:dyDescent="0.25" customFormat="1">
      <c r="B57" s="2" t="s">
        <v>35</v>
      </c>
      <c r="G57" s="73">
        <v>0.7</v>
      </c>
      <c r="H57" s="73">
        <v>0.7</v>
      </c>
      <c r="I57" s="73">
        <v>0.7</v>
      </c>
      <c r="J57" s="73">
        <v>0.7</v>
      </c>
      <c r="K57" s="73">
        <v>0.7</v>
      </c>
      <c r="L57" s="73">
        <v>0.7</v>
      </c>
      <c r="M57" s="73">
        <v>0.7</v>
      </c>
      <c r="N57" s="73">
        <v>0.7</v>
      </c>
      <c r="O57" s="73">
        <v>0.7</v>
      </c>
      <c r="P57" s="73">
        <v>0.7</v>
      </c>
      <c r="Q57" s="73">
        <v>0.7</v>
      </c>
      <c r="R57" s="73">
        <v>0.7</v>
      </c>
      <c r="S57" s="73">
        <v>0.7</v>
      </c>
      <c r="T57" s="73">
        <v>0.7</v>
      </c>
      <c r="U57" s="73">
        <v>0.7</v>
      </c>
      <c r="V57" s="73">
        <v>0.7</v>
      </c>
      <c r="W57" s="73">
        <v>0.7</v>
      </c>
      <c r="X57" s="73">
        <v>0.7</v>
      </c>
      <c r="Y57" s="73">
        <v>0.7</v>
      </c>
      <c r="Z57" s="73">
        <v>0.7</v>
      </c>
      <c r="AA57" s="73"/>
      <c r="AB57" s="73"/>
      <c r="AC57" s="73"/>
      <c r="AD57" s="73"/>
      <c r="AE57" s="73"/>
    </row>
    <row spans="1:31" r="58" s="2" x14ac:dyDescent="0.25" customFormat="1">
      <c r="B58" s="2" t="s">
        <v>36</v>
      </c>
      <c r="G58" s="20">
        <f>G56*G57</f>
        <v>14603.668456789153</v>
      </c>
      <c r="H58" s="20">
        <f ref="H58:Z58" t="shared" si="46">H56*H57</f>
        <v>233658.69530862645</v>
      </c>
      <c r="I58" s="20">
        <f t="shared" si="46"/>
        <v>233658.69530862645</v>
      </c>
      <c r="J58" s="20">
        <f t="shared" si="46"/>
        <v>233658.69530862645</v>
      </c>
      <c r="K58" s="20">
        <f t="shared" si="46"/>
        <v>233658.69530862645</v>
      </c>
      <c r="L58" s="20">
        <f t="shared" si="46"/>
        <v>233658.69530862645</v>
      </c>
      <c r="M58" s="20">
        <f t="shared" si="46"/>
        <v>233658.69530862645</v>
      </c>
      <c r="N58" s="20">
        <f t="shared" si="46"/>
        <v>233658.69530862645</v>
      </c>
      <c r="O58" s="20">
        <f t="shared" si="46"/>
        <v>233658.69530862645</v>
      </c>
      <c r="P58" s="20">
        <f t="shared" si="46"/>
        <v>233658.69530862645</v>
      </c>
      <c r="Q58" s="20">
        <f t="shared" si="46"/>
        <v>233658.69530862645</v>
      </c>
      <c r="R58" s="20">
        <f t="shared" si="46"/>
        <v>233658.69530862645</v>
      </c>
      <c r="S58" s="20">
        <f t="shared" si="46"/>
        <v>233658.69530862645</v>
      </c>
      <c r="T58" s="20">
        <f t="shared" si="46"/>
        <v>233658.69530862645</v>
      </c>
      <c r="U58" s="20">
        <f t="shared" si="46"/>
        <v>233658.69530862645</v>
      </c>
      <c r="V58" s="20">
        <f t="shared" si="46"/>
        <v>233658.69530862645</v>
      </c>
      <c r="W58" s="20">
        <f t="shared" si="46"/>
        <v>233658.69530862645</v>
      </c>
      <c r="X58" s="20">
        <f t="shared" si="46"/>
        <v>233658.69530862645</v>
      </c>
      <c r="Y58" s="20">
        <f t="shared" si="46"/>
        <v>233658.69530862645</v>
      </c>
      <c r="Z58" s="20">
        <f t="shared" si="46"/>
        <v>233658.69530862645</v>
      </c>
      <c r="AA58" s="20"/>
      <c r="AB58" s="20"/>
      <c r="AC58" s="20"/>
      <c r="AD58" s="20"/>
      <c r="AE58" s="20"/>
    </row>
    <row spans="1:31" r="62" s="2" x14ac:dyDescent="0.25" customFormat="1">
      <c r="A62" s="2" t="s">
        <v>7</v>
      </c>
      <c r="B62" s="24" t="s">
        <v>37</v>
      </c>
      <c r="C62" s="24">
        <v>2019</v>
      </c>
      <c r="D62" s="24">
        <v>2020</v>
      </c>
      <c r="E62" s="24">
        <v>2021</v>
      </c>
      <c r="F62" s="24">
        <v>2022</v>
      </c>
      <c r="G62" s="24">
        <f>F62+1</f>
        <v>2023</v>
      </c>
      <c r="H62" s="24">
        <f ref="H62" t="shared" si="47">G62+1</f>
        <v>2024</v>
      </c>
      <c r="I62" s="24">
        <f ref="I62" t="shared" si="48">H62+1</f>
        <v>2025</v>
      </c>
      <c r="J62" s="24">
        <f ref="J62" t="shared" si="49">I62+1</f>
        <v>2026</v>
      </c>
      <c r="K62" s="24">
        <f ref="K62" t="shared" si="50">J62+1</f>
        <v>2027</v>
      </c>
      <c r="L62" s="24">
        <f ref="L62" t="shared" si="51">K62+1</f>
        <v>2028</v>
      </c>
      <c r="M62" s="24">
        <f ref="M62" t="shared" si="52">L62+1</f>
        <v>2029</v>
      </c>
      <c r="N62" s="24">
        <f ref="N62" t="shared" si="53">M62+1</f>
        <v>2030</v>
      </c>
      <c r="O62" s="24">
        <f ref="O62" t="shared" si="54">N62+1</f>
        <v>2031</v>
      </c>
      <c r="P62" s="24">
        <f ref="P62" t="shared" si="55">O62+1</f>
        <v>2032</v>
      </c>
      <c r="Q62" s="24">
        <f ref="Q62" t="shared" si="56">P62+1</f>
        <v>2033</v>
      </c>
      <c r="R62" s="24">
        <f ref="R62" t="shared" si="57">Q62+1</f>
        <v>2034</v>
      </c>
      <c r="S62" s="24">
        <f ref="S62" t="shared" si="58">R62+1</f>
        <v>2035</v>
      </c>
      <c r="T62" s="24">
        <f ref="T62" t="shared" si="59">S62+1</f>
        <v>2036</v>
      </c>
      <c r="U62" s="24">
        <f ref="U62" t="shared" si="60">T62+1</f>
        <v>2037</v>
      </c>
      <c r="V62" s="24">
        <f ref="V62" t="shared" si="61">U62+1</f>
        <v>2038</v>
      </c>
      <c r="W62" s="24">
        <f ref="W62" t="shared" si="62">V62+1</f>
        <v>2039</v>
      </c>
      <c r="X62" s="24">
        <f ref="X62" t="shared" si="63">W62+1</f>
        <v>2040</v>
      </c>
      <c r="Y62" s="24">
        <f ref="Y62" t="shared" si="64">X62+1</f>
        <v>2041</v>
      </c>
      <c r="Z62" s="24">
        <f ref="Z62" t="shared" si="65">Y62+1</f>
        <v>2042</v>
      </c>
      <c r="AA62" s="24">
        <f ref="AA62" t="shared" si="66">Z62+1</f>
        <v>2043</v>
      </c>
      <c r="AB62" s="24">
        <f ref="AB62" t="shared" si="67">AA62+1</f>
        <v>2044</v>
      </c>
      <c r="AC62" s="24">
        <f ref="AC62" t="shared" si="68">AB62+1</f>
        <v>2045</v>
      </c>
      <c r="AD62" s="24">
        <f ref="AD62" t="shared" si="69">AC62+1</f>
        <v>2046</v>
      </c>
      <c r="AE62" s="24"/>
    </row>
    <row spans="1:31" r="63" s="153" x14ac:dyDescent="0.25" customFormat="1">
      <c r="B63" s="154" t="s">
        <v>38</v>
      </c>
      <c r="C63" s="154"/>
      <c r="D63" s="154"/>
      <c r="E63" s="154"/>
      <c r="F63" s="154"/>
      <c r="G63" s="154"/>
      <c r="H63" s="154"/>
      <c r="I63" s="154"/>
      <c r="J63" s="154"/>
      <c r="K63" s="153">
        <v>2</v>
      </c>
      <c r="L63" s="153">
        <v>2</v>
      </c>
      <c r="M63" s="153">
        <v>2</v>
      </c>
      <c r="N63" s="153">
        <v>2</v>
      </c>
      <c r="O63" s="153">
        <v>2</v>
      </c>
      <c r="P63" s="153">
        <v>2</v>
      </c>
      <c r="Q63" s="153">
        <v>2</v>
      </c>
      <c r="R63" s="153">
        <v>2</v>
      </c>
      <c r="S63" s="153">
        <v>2</v>
      </c>
      <c r="T63" s="153">
        <v>2</v>
      </c>
      <c r="U63" s="153">
        <v>2</v>
      </c>
      <c r="V63" s="153">
        <v>2</v>
      </c>
      <c r="W63" s="153">
        <v>2</v>
      </c>
      <c r="X63" s="153">
        <v>2</v>
      </c>
      <c r="Y63" s="153">
        <v>2</v>
      </c>
      <c r="Z63" s="153">
        <v>2</v>
      </c>
      <c r="AA63" s="153">
        <v>2</v>
      </c>
      <c r="AB63" s="153">
        <v>2</v>
      </c>
      <c r="AC63" s="153">
        <v>2</v>
      </c>
      <c r="AD63" s="153">
        <v>2</v>
      </c>
      <c r="AE63" s="154"/>
    </row>
    <row spans="1:31" r="64" s="2" x14ac:dyDescent="0.25" customFormat="1">
      <c r="B64" s="2" t="s">
        <v>9</v>
      </c>
      <c r="K64" s="2">
        <v>2.4500000000000002</v>
      </c>
      <c r="L64" s="2">
        <v>2.4500000000000002</v>
      </c>
      <c r="M64" s="2">
        <v>2.4500000000000002</v>
      </c>
      <c r="N64" s="2">
        <v>2.4500000000000002</v>
      </c>
      <c r="O64" s="2">
        <v>2.4500000000000002</v>
      </c>
      <c r="P64" s="2">
        <v>2.4500000000000002</v>
      </c>
      <c r="Q64" s="2">
        <v>2.4500000000000002</v>
      </c>
      <c r="R64" s="2">
        <v>2.4500000000000002</v>
      </c>
      <c r="S64" s="2">
        <v>2.4500000000000002</v>
      </c>
      <c r="T64" s="2">
        <v>2.4500000000000002</v>
      </c>
      <c r="U64" s="2">
        <v>2.4500000000000002</v>
      </c>
      <c r="V64" s="2">
        <v>2.4500000000000002</v>
      </c>
      <c r="W64" s="2">
        <v>2.4500000000000002</v>
      </c>
      <c r="X64" s="2">
        <v>2.4500000000000002</v>
      </c>
      <c r="Y64" s="2">
        <v>2.4500000000000002</v>
      </c>
      <c r="Z64" s="2">
        <v>2.4500000000000002</v>
      </c>
      <c r="AA64" s="2">
        <v>2.4500000000000002</v>
      </c>
      <c r="AB64" s="2">
        <v>2.4500000000000002</v>
      </c>
      <c r="AC64" s="2">
        <v>2.4500000000000002</v>
      </c>
      <c r="AD64" s="2">
        <v>2.4500000000000002</v>
      </c>
    </row>
    <row spans="2:30" r="65" s="2" x14ac:dyDescent="0.25" customFormat="1">
      <c r="B65" s="2" t="s">
        <v>39</v>
      </c>
      <c r="K65" s="155">
        <f>K63*K64</f>
        <v>4.9000000000000004</v>
      </c>
      <c r="L65" s="155">
        <f ref="L65:Z65" t="shared" si="70">L63*L64</f>
        <v>4.9000000000000004</v>
      </c>
      <c r="M65" s="155">
        <f t="shared" si="70"/>
        <v>4.9000000000000004</v>
      </c>
      <c r="N65" s="155">
        <f t="shared" si="70"/>
        <v>4.9000000000000004</v>
      </c>
      <c r="O65" s="155">
        <f t="shared" si="70"/>
        <v>4.9000000000000004</v>
      </c>
      <c r="P65" s="155">
        <f t="shared" si="70"/>
        <v>4.9000000000000004</v>
      </c>
      <c r="Q65" s="155">
        <f t="shared" si="70"/>
        <v>4.9000000000000004</v>
      </c>
      <c r="R65" s="155">
        <f t="shared" si="70"/>
        <v>4.9000000000000004</v>
      </c>
      <c r="S65" s="155">
        <f t="shared" si="70"/>
        <v>4.9000000000000004</v>
      </c>
      <c r="T65" s="155">
        <f t="shared" si="70"/>
        <v>4.9000000000000004</v>
      </c>
      <c r="U65" s="155">
        <f t="shared" si="70"/>
        <v>4.9000000000000004</v>
      </c>
      <c r="V65" s="155">
        <f t="shared" si="70"/>
        <v>4.9000000000000004</v>
      </c>
      <c r="W65" s="155">
        <f t="shared" si="70"/>
        <v>4.9000000000000004</v>
      </c>
      <c r="X65" s="155">
        <f t="shared" si="70"/>
        <v>4.9000000000000004</v>
      </c>
      <c r="Y65" s="155">
        <f t="shared" si="70"/>
        <v>4.9000000000000004</v>
      </c>
      <c r="Z65" s="155">
        <f t="shared" si="70"/>
        <v>4.9000000000000004</v>
      </c>
      <c r="AA65" s="155">
        <f ref="AA65" t="shared" si="71">AA63*AA64</f>
        <v>4.9000000000000004</v>
      </c>
      <c r="AB65" s="155">
        <f ref="AB65" t="shared" si="72">AB63*AB64</f>
        <v>4.9000000000000004</v>
      </c>
      <c r="AC65" s="155">
        <f ref="AC65" t="shared" si="73">AC63*AC64</f>
        <v>4.9000000000000004</v>
      </c>
      <c r="AD65" s="155">
        <f ref="AD65" t="shared" si="74">AD63*AD64</f>
        <v>4.9000000000000004</v>
      </c>
    </row>
    <row spans="2:30" r="66" s="2" x14ac:dyDescent="0.25" customFormat="1">
      <c r="B66" s="2" t="s">
        <v>11</v>
      </c>
      <c r="C66" s="20"/>
      <c r="D66" s="20"/>
      <c r="E66" s="20"/>
      <c r="F66" s="20"/>
      <c r="G66" s="20"/>
      <c r="H66" s="20"/>
      <c r="I66" s="20"/>
      <c r="J66" s="20"/>
      <c r="K66" s="20">
        <f ref="K66:Z66" t="shared" si="75">K67*K65</f>
        <v>905379.80555555574</v>
      </c>
      <c r="L66" s="20">
        <f t="shared" si="75"/>
        <v>905379.80555555574</v>
      </c>
      <c r="M66" s="20">
        <f t="shared" si="75"/>
        <v>905379.80555555574</v>
      </c>
      <c r="N66" s="20">
        <f t="shared" si="75"/>
        <v>905379.80555555574</v>
      </c>
      <c r="O66" s="20">
        <f t="shared" si="75"/>
        <v>905379.80555555574</v>
      </c>
      <c r="P66" s="20">
        <f t="shared" si="75"/>
        <v>905379.80555555574</v>
      </c>
      <c r="Q66" s="20">
        <f t="shared" si="75"/>
        <v>905379.80555555574</v>
      </c>
      <c r="R66" s="20">
        <f t="shared" si="75"/>
        <v>905379.80555555574</v>
      </c>
      <c r="S66" s="20">
        <f t="shared" si="75"/>
        <v>905379.80555555574</v>
      </c>
      <c r="T66" s="20">
        <f t="shared" si="75"/>
        <v>905379.80555555574</v>
      </c>
      <c r="U66" s="20">
        <f t="shared" si="75"/>
        <v>905379.80555555574</v>
      </c>
      <c r="V66" s="20">
        <f t="shared" si="75"/>
        <v>905379.80555555574</v>
      </c>
      <c r="W66" s="20">
        <f t="shared" si="75"/>
        <v>905379.80555555574</v>
      </c>
      <c r="X66" s="20">
        <f t="shared" si="75"/>
        <v>905379.80555555574</v>
      </c>
      <c r="Y66" s="20">
        <f t="shared" si="75"/>
        <v>905379.80555555574</v>
      </c>
      <c r="Z66" s="20">
        <f t="shared" si="75"/>
        <v>905379.80555555574</v>
      </c>
      <c r="AA66" s="20">
        <f ref="AA66:AD66" t="shared" si="76">AA67*AA65</f>
        <v>905379.80555555574</v>
      </c>
      <c r="AB66" s="20">
        <f t="shared" si="76"/>
        <v>905379.80555555574</v>
      </c>
      <c r="AC66" s="20">
        <f t="shared" si="76"/>
        <v>905379.80555555574</v>
      </c>
      <c r="AD66" s="20">
        <f t="shared" si="76"/>
        <v>905379.80555555574</v>
      </c>
    </row>
    <row spans="2:30" r="67" s="2" x14ac:dyDescent="0.25" customFormat="1">
      <c r="B67" s="18" t="s">
        <v>12</v>
      </c>
      <c r="C67" s="20"/>
      <c r="D67" s="20"/>
      <c r="E67" s="20"/>
      <c r="F67" s="20"/>
      <c r="G67" s="20"/>
      <c r="H67" s="20"/>
      <c r="I67" s="20"/>
      <c r="J67" s="20"/>
      <c r="K67" s="20">
        <f ref="K67:AD67" t="shared" si="77">AVERAGE($C$8:$E$8)</f>
        <v>184771.38888888891</v>
      </c>
      <c r="L67" s="20">
        <f t="shared" si="77"/>
        <v>184771.38888888891</v>
      </c>
      <c r="M67" s="20">
        <f t="shared" si="77"/>
        <v>184771.38888888891</v>
      </c>
      <c r="N67" s="20">
        <f t="shared" si="77"/>
        <v>184771.38888888891</v>
      </c>
      <c r="O67" s="20">
        <f t="shared" si="77"/>
        <v>184771.38888888891</v>
      </c>
      <c r="P67" s="20">
        <f t="shared" si="77"/>
        <v>184771.38888888891</v>
      </c>
      <c r="Q67" s="20">
        <f t="shared" si="77"/>
        <v>184771.38888888891</v>
      </c>
      <c r="R67" s="20">
        <f t="shared" si="77"/>
        <v>184771.38888888891</v>
      </c>
      <c r="S67" s="20">
        <f t="shared" si="77"/>
        <v>184771.38888888891</v>
      </c>
      <c r="T67" s="20">
        <f t="shared" si="77"/>
        <v>184771.38888888891</v>
      </c>
      <c r="U67" s="20">
        <f t="shared" si="77"/>
        <v>184771.38888888891</v>
      </c>
      <c r="V67" s="20">
        <f t="shared" si="77"/>
        <v>184771.38888888891</v>
      </c>
      <c r="W67" s="20">
        <f t="shared" si="77"/>
        <v>184771.38888888891</v>
      </c>
      <c r="X67" s="20">
        <f t="shared" si="77"/>
        <v>184771.38888888891</v>
      </c>
      <c r="Y67" s="20">
        <f t="shared" si="77"/>
        <v>184771.38888888891</v>
      </c>
      <c r="Z67" s="20">
        <f t="shared" si="77"/>
        <v>184771.38888888891</v>
      </c>
      <c r="AA67" s="20">
        <f t="shared" si="77"/>
        <v>184771.38888888891</v>
      </c>
      <c r="AB67" s="20">
        <f t="shared" si="77"/>
        <v>184771.38888888891</v>
      </c>
      <c r="AC67" s="20">
        <f t="shared" si="77"/>
        <v>184771.38888888891</v>
      </c>
      <c r="AD67" s="20">
        <f t="shared" si="77"/>
        <v>184771.38888888891</v>
      </c>
    </row>
    <row spans="2:30" r="68" s="2" x14ac:dyDescent="0.25" customFormat="1"/>
    <row spans="2:30" r="69" s="2" x14ac:dyDescent="0.25" customFormat="1">
      <c r="B69" s="2" t="s">
        <v>13</v>
      </c>
      <c r="C69" s="20"/>
      <c r="D69" s="20"/>
      <c r="E69" s="20"/>
      <c r="F69" s="20"/>
      <c r="G69" s="20"/>
      <c r="H69" s="20"/>
      <c r="I69" s="20"/>
      <c r="J69" s="20"/>
      <c r="K69" s="20">
        <f ref="K69:Z69" t="shared" si="78">K66*K70</f>
        <v>219088.85990376817</v>
      </c>
      <c r="L69" s="20">
        <f t="shared" si="78"/>
        <v>219088.85990376817</v>
      </c>
      <c r="M69" s="20">
        <f t="shared" si="78"/>
        <v>219088.85990376817</v>
      </c>
      <c r="N69" s="20">
        <f t="shared" si="78"/>
        <v>219088.85990376817</v>
      </c>
      <c r="O69" s="20">
        <f t="shared" si="78"/>
        <v>219088.85990376817</v>
      </c>
      <c r="P69" s="20">
        <f t="shared" si="78"/>
        <v>219088.85990376817</v>
      </c>
      <c r="Q69" s="20">
        <f t="shared" si="78"/>
        <v>219088.85990376817</v>
      </c>
      <c r="R69" s="20">
        <f t="shared" si="78"/>
        <v>219088.85990376817</v>
      </c>
      <c r="S69" s="20">
        <f t="shared" si="78"/>
        <v>219088.85990376817</v>
      </c>
      <c r="T69" s="20">
        <f t="shared" si="78"/>
        <v>219088.85990376817</v>
      </c>
      <c r="U69" s="20">
        <f t="shared" si="78"/>
        <v>219088.85990376817</v>
      </c>
      <c r="V69" s="20">
        <f t="shared" si="78"/>
        <v>219088.85990376817</v>
      </c>
      <c r="W69" s="20">
        <f t="shared" si="78"/>
        <v>219088.85990376817</v>
      </c>
      <c r="X69" s="20">
        <f t="shared" si="78"/>
        <v>219088.85990376817</v>
      </c>
      <c r="Y69" s="20">
        <f t="shared" si="78"/>
        <v>219088.85990376817</v>
      </c>
      <c r="Z69" s="20">
        <f t="shared" si="78"/>
        <v>219088.85990376817</v>
      </c>
      <c r="AA69" s="20">
        <f ref="AA69:AD69" t="shared" si="79">AA66*AA70</f>
        <v>219088.85990376817</v>
      </c>
      <c r="AB69" s="20">
        <f t="shared" si="79"/>
        <v>219088.85990376817</v>
      </c>
      <c r="AC69" s="20">
        <f t="shared" si="79"/>
        <v>219088.85990376817</v>
      </c>
      <c r="AD69" s="20">
        <f t="shared" si="79"/>
        <v>219088.85990376817</v>
      </c>
    </row>
    <row spans="2:30" r="70" s="2" x14ac:dyDescent="0.25" customFormat="1">
      <c r="B70" s="18" t="s">
        <v>14</v>
      </c>
      <c r="C70" s="74"/>
      <c r="D70" s="74"/>
      <c r="E70" s="74"/>
      <c r="F70" s="74"/>
      <c r="G70" s="76"/>
      <c r="H70" s="76"/>
      <c r="I70" s="76"/>
      <c r="J70" s="76"/>
      <c r="K70" s="76">
        <f ref="K70:AD70" t="shared" si="80">AVERAGE($C$11:$E$11)</f>
        <v>0.24198558280116675</v>
      </c>
      <c r="L70" s="76">
        <f t="shared" si="80"/>
        <v>0.24198558280116675</v>
      </c>
      <c r="M70" s="76">
        <f t="shared" si="80"/>
        <v>0.24198558280116675</v>
      </c>
      <c r="N70" s="76">
        <f t="shared" si="80"/>
        <v>0.24198558280116675</v>
      </c>
      <c r="O70" s="76">
        <f t="shared" si="80"/>
        <v>0.24198558280116675</v>
      </c>
      <c r="P70" s="76">
        <f t="shared" si="80"/>
        <v>0.24198558280116675</v>
      </c>
      <c r="Q70" s="76">
        <f t="shared" si="80"/>
        <v>0.24198558280116675</v>
      </c>
      <c r="R70" s="76">
        <f t="shared" si="80"/>
        <v>0.24198558280116675</v>
      </c>
      <c r="S70" s="76">
        <f t="shared" si="80"/>
        <v>0.24198558280116675</v>
      </c>
      <c r="T70" s="76">
        <f t="shared" si="80"/>
        <v>0.24198558280116675</v>
      </c>
      <c r="U70" s="76">
        <f t="shared" si="80"/>
        <v>0.24198558280116675</v>
      </c>
      <c r="V70" s="76">
        <f t="shared" si="80"/>
        <v>0.24198558280116675</v>
      </c>
      <c r="W70" s="76">
        <f t="shared" si="80"/>
        <v>0.24198558280116675</v>
      </c>
      <c r="X70" s="76">
        <f t="shared" si="80"/>
        <v>0.24198558280116675</v>
      </c>
      <c r="Y70" s="76">
        <f t="shared" si="80"/>
        <v>0.24198558280116675</v>
      </c>
      <c r="Z70" s="76">
        <f t="shared" si="80"/>
        <v>0.24198558280116675</v>
      </c>
      <c r="AA70" s="76">
        <f t="shared" si="80"/>
        <v>0.24198558280116675</v>
      </c>
      <c r="AB70" s="76">
        <f t="shared" si="80"/>
        <v>0.24198558280116675</v>
      </c>
      <c r="AC70" s="76">
        <f t="shared" si="80"/>
        <v>0.24198558280116675</v>
      </c>
      <c r="AD70" s="76">
        <f t="shared" si="80"/>
        <v>0.24198558280116675</v>
      </c>
    </row>
    <row spans="2:30" r="71" s="2" x14ac:dyDescent="0.25" customFormat="1"/>
    <row spans="2:30" r="72" s="2" x14ac:dyDescent="0.25" customFormat="1">
      <c r="B72" s="2" t="s">
        <v>29</v>
      </c>
      <c r="C72" s="20"/>
      <c r="D72" s="20"/>
      <c r="E72" s="20"/>
      <c r="F72" s="20"/>
      <c r="G72" s="20"/>
      <c r="H72" s="20"/>
      <c r="I72" s="20"/>
      <c r="J72" s="20"/>
      <c r="K72" s="20">
        <f ref="K72:Z72" t="shared" si="81">K73*K66</f>
        <v>6515.6348276067156</v>
      </c>
      <c r="L72" s="20">
        <f t="shared" si="81"/>
        <v>6515.6348276067156</v>
      </c>
      <c r="M72" s="20">
        <f t="shared" si="81"/>
        <v>6515.6348276067156</v>
      </c>
      <c r="N72" s="20">
        <f t="shared" si="81"/>
        <v>6515.6348276067156</v>
      </c>
      <c r="O72" s="20">
        <f t="shared" si="81"/>
        <v>6515.6348276067156</v>
      </c>
      <c r="P72" s="20">
        <f t="shared" si="81"/>
        <v>6515.6348276067156</v>
      </c>
      <c r="Q72" s="20">
        <f t="shared" si="81"/>
        <v>6515.6348276067156</v>
      </c>
      <c r="R72" s="20">
        <f t="shared" si="81"/>
        <v>6515.6348276067156</v>
      </c>
      <c r="S72" s="20">
        <f t="shared" si="81"/>
        <v>6515.6348276067156</v>
      </c>
      <c r="T72" s="20">
        <f t="shared" si="81"/>
        <v>6515.6348276067156</v>
      </c>
      <c r="U72" s="20">
        <f t="shared" si="81"/>
        <v>6515.6348276067156</v>
      </c>
      <c r="V72" s="20">
        <f t="shared" si="81"/>
        <v>6515.6348276067156</v>
      </c>
      <c r="W72" s="20">
        <f t="shared" si="81"/>
        <v>6515.6348276067156</v>
      </c>
      <c r="X72" s="20">
        <f t="shared" si="81"/>
        <v>6515.6348276067156</v>
      </c>
      <c r="Y72" s="20">
        <f t="shared" si="81"/>
        <v>6515.6348276067156</v>
      </c>
      <c r="Z72" s="20">
        <f t="shared" si="81"/>
        <v>6515.6348276067156</v>
      </c>
      <c r="AA72" s="20">
        <f ref="AA72:AD72" t="shared" si="82">AA73*AA66</f>
        <v>6515.6348276067156</v>
      </c>
      <c r="AB72" s="20">
        <f t="shared" si="82"/>
        <v>6515.6348276067156</v>
      </c>
      <c r="AC72" s="20">
        <f t="shared" si="82"/>
        <v>6515.6348276067156</v>
      </c>
      <c r="AD72" s="20">
        <f t="shared" si="82"/>
        <v>6515.6348276067156</v>
      </c>
    </row>
    <row spans="2:30" r="73" s="2" x14ac:dyDescent="0.25" customFormat="1">
      <c r="B73" s="18" t="s">
        <v>14</v>
      </c>
      <c r="C73" s="74"/>
      <c r="D73" s="74"/>
      <c r="E73" s="74"/>
      <c r="F73" s="74"/>
      <c r="G73" s="76"/>
      <c r="H73" s="76"/>
      <c r="I73" s="76"/>
      <c r="J73" s="76"/>
      <c r="K73" s="76">
        <f ref="K73:AD73" t="shared" si="83">AVERAGE($C$30:$E$30)</f>
        <v>7.1965762739854972E-3</v>
      </c>
      <c r="L73" s="76">
        <f t="shared" si="83"/>
        <v>7.1965762739854972E-3</v>
      </c>
      <c r="M73" s="76">
        <f t="shared" si="83"/>
        <v>7.1965762739854972E-3</v>
      </c>
      <c r="N73" s="76">
        <f t="shared" si="83"/>
        <v>7.1965762739854972E-3</v>
      </c>
      <c r="O73" s="76">
        <f t="shared" si="83"/>
        <v>7.1965762739854972E-3</v>
      </c>
      <c r="P73" s="76">
        <f t="shared" si="83"/>
        <v>7.1965762739854972E-3</v>
      </c>
      <c r="Q73" s="76">
        <f t="shared" si="83"/>
        <v>7.1965762739854972E-3</v>
      </c>
      <c r="R73" s="76">
        <f t="shared" si="83"/>
        <v>7.1965762739854972E-3</v>
      </c>
      <c r="S73" s="76">
        <f t="shared" si="83"/>
        <v>7.1965762739854972E-3</v>
      </c>
      <c r="T73" s="76">
        <f t="shared" si="83"/>
        <v>7.1965762739854972E-3</v>
      </c>
      <c r="U73" s="76">
        <f t="shared" si="83"/>
        <v>7.1965762739854972E-3</v>
      </c>
      <c r="V73" s="76">
        <f t="shared" si="83"/>
        <v>7.1965762739854972E-3</v>
      </c>
      <c r="W73" s="76">
        <f t="shared" si="83"/>
        <v>7.1965762739854972E-3</v>
      </c>
      <c r="X73" s="76">
        <f t="shared" si="83"/>
        <v>7.1965762739854972E-3</v>
      </c>
      <c r="Y73" s="76">
        <f t="shared" si="83"/>
        <v>7.1965762739854972E-3</v>
      </c>
      <c r="Z73" s="76">
        <f t="shared" si="83"/>
        <v>7.1965762739854972E-3</v>
      </c>
      <c r="AA73" s="76">
        <f t="shared" si="83"/>
        <v>7.1965762739854972E-3</v>
      </c>
      <c r="AB73" s="76">
        <f t="shared" si="83"/>
        <v>7.1965762739854972E-3</v>
      </c>
      <c r="AC73" s="76">
        <f t="shared" si="83"/>
        <v>7.1965762739854972E-3</v>
      </c>
      <c r="AD73" s="76">
        <f t="shared" si="83"/>
        <v>7.1965762739854972E-3</v>
      </c>
    </row>
    <row spans="2:30" r="74" s="2" x14ac:dyDescent="0.25" customFormat="1">
      <c r="B74" s="2" t="s">
        <v>30</v>
      </c>
      <c r="C74" s="20"/>
      <c r="D74" s="20"/>
      <c r="E74" s="20"/>
      <c r="F74" s="20"/>
      <c r="G74" s="20"/>
      <c r="H74" s="20"/>
      <c r="I74" s="20"/>
      <c r="J74" s="20"/>
      <c r="K74" s="20">
        <f ref="K74:Z74" t="shared" si="84">K75*K66</f>
        <v>12179.038513819474</v>
      </c>
      <c r="L74" s="20">
        <f t="shared" si="84"/>
        <v>12179.038513819474</v>
      </c>
      <c r="M74" s="20">
        <f t="shared" si="84"/>
        <v>12179.038513819474</v>
      </c>
      <c r="N74" s="20">
        <f t="shared" si="84"/>
        <v>12179.038513819474</v>
      </c>
      <c r="O74" s="20">
        <f t="shared" si="84"/>
        <v>12179.038513819474</v>
      </c>
      <c r="P74" s="20">
        <f t="shared" si="84"/>
        <v>12179.038513819474</v>
      </c>
      <c r="Q74" s="20">
        <f t="shared" si="84"/>
        <v>12179.038513819474</v>
      </c>
      <c r="R74" s="20">
        <f t="shared" si="84"/>
        <v>12179.038513819474</v>
      </c>
      <c r="S74" s="20">
        <f t="shared" si="84"/>
        <v>12179.038513819474</v>
      </c>
      <c r="T74" s="20">
        <f t="shared" si="84"/>
        <v>12179.038513819474</v>
      </c>
      <c r="U74" s="20">
        <f t="shared" si="84"/>
        <v>12179.038513819474</v>
      </c>
      <c r="V74" s="20">
        <f t="shared" si="84"/>
        <v>12179.038513819474</v>
      </c>
      <c r="W74" s="20">
        <f t="shared" si="84"/>
        <v>12179.038513819474</v>
      </c>
      <c r="X74" s="20">
        <f t="shared" si="84"/>
        <v>12179.038513819474</v>
      </c>
      <c r="Y74" s="20">
        <f t="shared" si="84"/>
        <v>12179.038513819474</v>
      </c>
      <c r="Z74" s="20">
        <f t="shared" si="84"/>
        <v>12179.038513819474</v>
      </c>
      <c r="AA74" s="20">
        <f ref="AA74:AD74" t="shared" si="85">AA75*AA66</f>
        <v>12179.038513819474</v>
      </c>
      <c r="AB74" s="20">
        <f t="shared" si="85"/>
        <v>12179.038513819474</v>
      </c>
      <c r="AC74" s="20">
        <f t="shared" si="85"/>
        <v>12179.038513819474</v>
      </c>
      <c r="AD74" s="20">
        <f t="shared" si="85"/>
        <v>12179.038513819474</v>
      </c>
    </row>
    <row spans="2:30" r="75" s="2" x14ac:dyDescent="0.25" customFormat="1">
      <c r="B75" s="18" t="s">
        <v>14</v>
      </c>
      <c r="C75" s="74"/>
      <c r="D75" s="74"/>
      <c r="E75" s="74"/>
      <c r="F75" s="74"/>
      <c r="G75" s="76"/>
      <c r="H75" s="76"/>
      <c r="I75" s="76"/>
      <c r="J75" s="76"/>
      <c r="K75" s="76">
        <f ref="K75:AD75" t="shared" si="86">AVERAGE($C$32:$E$32)</f>
        <v>1.3451855717442493E-2</v>
      </c>
      <c r="L75" s="76">
        <f t="shared" si="86"/>
        <v>1.3451855717442493E-2</v>
      </c>
      <c r="M75" s="76">
        <f t="shared" si="86"/>
        <v>1.3451855717442493E-2</v>
      </c>
      <c r="N75" s="76">
        <f t="shared" si="86"/>
        <v>1.3451855717442493E-2</v>
      </c>
      <c r="O75" s="76">
        <f t="shared" si="86"/>
        <v>1.3451855717442493E-2</v>
      </c>
      <c r="P75" s="76">
        <f t="shared" si="86"/>
        <v>1.3451855717442493E-2</v>
      </c>
      <c r="Q75" s="76">
        <f t="shared" si="86"/>
        <v>1.3451855717442493E-2</v>
      </c>
      <c r="R75" s="76">
        <f t="shared" si="86"/>
        <v>1.3451855717442493E-2</v>
      </c>
      <c r="S75" s="76">
        <f t="shared" si="86"/>
        <v>1.3451855717442493E-2</v>
      </c>
      <c r="T75" s="76">
        <f t="shared" si="86"/>
        <v>1.3451855717442493E-2</v>
      </c>
      <c r="U75" s="76">
        <f t="shared" si="86"/>
        <v>1.3451855717442493E-2</v>
      </c>
      <c r="V75" s="76">
        <f t="shared" si="86"/>
        <v>1.3451855717442493E-2</v>
      </c>
      <c r="W75" s="76">
        <f t="shared" si="86"/>
        <v>1.3451855717442493E-2</v>
      </c>
      <c r="X75" s="76">
        <f t="shared" si="86"/>
        <v>1.3451855717442493E-2</v>
      </c>
      <c r="Y75" s="76">
        <f t="shared" si="86"/>
        <v>1.3451855717442493E-2</v>
      </c>
      <c r="Z75" s="76">
        <f t="shared" si="86"/>
        <v>1.3451855717442493E-2</v>
      </c>
      <c r="AA75" s="76">
        <f t="shared" si="86"/>
        <v>1.3451855717442493E-2</v>
      </c>
      <c r="AB75" s="76">
        <f t="shared" si="86"/>
        <v>1.3451855717442493E-2</v>
      </c>
      <c r="AC75" s="76">
        <f t="shared" si="86"/>
        <v>1.3451855717442493E-2</v>
      </c>
      <c r="AD75" s="76">
        <f t="shared" si="86"/>
        <v>1.3451855717442493E-2</v>
      </c>
    </row>
    <row spans="2:30" r="76" s="2" x14ac:dyDescent="0.25" customFormat="1">
      <c r="B76" s="2" t="s">
        <v>31</v>
      </c>
      <c r="K76" s="208">
        <v>0</v>
      </c>
      <c r="L76" s="208">
        <v>0</v>
      </c>
      <c r="M76" s="208">
        <v>0</v>
      </c>
      <c r="N76" s="208">
        <v>0</v>
      </c>
      <c r="O76" s="208">
        <v>0</v>
      </c>
      <c r="P76" s="208">
        <v>0</v>
      </c>
      <c r="Q76" s="208">
        <v>0</v>
      </c>
      <c r="R76" s="208">
        <v>0</v>
      </c>
      <c r="S76" s="208">
        <v>0</v>
      </c>
      <c r="T76" s="208">
        <v>0</v>
      </c>
      <c r="U76" s="208">
        <v>0</v>
      </c>
      <c r="V76" s="208">
        <v>0</v>
      </c>
      <c r="W76" s="208">
        <v>0</v>
      </c>
      <c r="X76" s="208">
        <v>0</v>
      </c>
      <c r="Y76" s="208">
        <v>0</v>
      </c>
      <c r="Z76" s="208">
        <v>0</v>
      </c>
      <c r="AA76" s="208">
        <v>0</v>
      </c>
      <c r="AB76" s="208">
        <v>0</v>
      </c>
      <c r="AC76" s="208">
        <v>0</v>
      </c>
      <c r="AD76" s="208">
        <v>0</v>
      </c>
    </row>
    <row spans="2:30" r="77" s="2" x14ac:dyDescent="0.25" customFormat="1"/>
    <row spans="2:30" r="78" s="2" x14ac:dyDescent="0.25" customFormat="1">
      <c r="B78" s="2" t="s">
        <v>32</v>
      </c>
      <c r="G78" s="20"/>
      <c r="H78" s="20"/>
      <c r="I78" s="20"/>
      <c r="J78" s="20"/>
      <c r="K78" s="20">
        <f ref="K78:Z78" t="shared" si="87">K66-K69-K72-K74</f>
        <v>667596.27231036138</v>
      </c>
      <c r="L78" s="20">
        <f t="shared" si="87"/>
        <v>667596.27231036138</v>
      </c>
      <c r="M78" s="20">
        <f t="shared" si="87"/>
        <v>667596.27231036138</v>
      </c>
      <c r="N78" s="20">
        <f t="shared" si="87"/>
        <v>667596.27231036138</v>
      </c>
      <c r="O78" s="20">
        <f t="shared" si="87"/>
        <v>667596.27231036138</v>
      </c>
      <c r="P78" s="20">
        <f t="shared" si="87"/>
        <v>667596.27231036138</v>
      </c>
      <c r="Q78" s="20">
        <f t="shared" si="87"/>
        <v>667596.27231036138</v>
      </c>
      <c r="R78" s="20">
        <f t="shared" si="87"/>
        <v>667596.27231036138</v>
      </c>
      <c r="S78" s="20">
        <f t="shared" si="87"/>
        <v>667596.27231036138</v>
      </c>
      <c r="T78" s="20">
        <f t="shared" si="87"/>
        <v>667596.27231036138</v>
      </c>
      <c r="U78" s="20">
        <f t="shared" si="87"/>
        <v>667596.27231036138</v>
      </c>
      <c r="V78" s="20">
        <f t="shared" si="87"/>
        <v>667596.27231036138</v>
      </c>
      <c r="W78" s="20">
        <f t="shared" si="87"/>
        <v>667596.27231036138</v>
      </c>
      <c r="X78" s="20">
        <f t="shared" si="87"/>
        <v>667596.27231036138</v>
      </c>
      <c r="Y78" s="20">
        <f t="shared" si="87"/>
        <v>667596.27231036138</v>
      </c>
      <c r="Z78" s="20">
        <f t="shared" si="87"/>
        <v>667596.27231036138</v>
      </c>
      <c r="AA78" s="20">
        <f ref="AA78:AD78" t="shared" si="88">AA66-AA69-AA72-AA74</f>
        <v>667596.27231036138</v>
      </c>
      <c r="AB78" s="20">
        <f t="shared" si="88"/>
        <v>667596.27231036138</v>
      </c>
      <c r="AC78" s="20">
        <f t="shared" si="88"/>
        <v>667596.27231036138</v>
      </c>
      <c r="AD78" s="20">
        <f t="shared" si="88"/>
        <v>667596.27231036138</v>
      </c>
    </row>
    <row spans="2:30" r="79" s="2" x14ac:dyDescent="0.25" customFormat="1">
      <c r="B79" s="2" t="s">
        <v>34</v>
      </c>
      <c r="G79" s="73"/>
      <c r="H79" s="73"/>
      <c r="I79" s="73"/>
      <c r="J79" s="73"/>
      <c r="K79" s="73">
        <v>0.7</v>
      </c>
      <c r="L79" s="73">
        <v>0.7</v>
      </c>
      <c r="M79" s="73">
        <v>0.7</v>
      </c>
      <c r="N79" s="73">
        <v>0.7</v>
      </c>
      <c r="O79" s="73">
        <v>0.7</v>
      </c>
      <c r="P79" s="73">
        <v>0.7</v>
      </c>
      <c r="Q79" s="73">
        <v>0.7</v>
      </c>
      <c r="R79" s="73">
        <v>0.7</v>
      </c>
      <c r="S79" s="73">
        <v>0.7</v>
      </c>
      <c r="T79" s="73">
        <v>0.7</v>
      </c>
      <c r="U79" s="73">
        <v>0.7</v>
      </c>
      <c r="V79" s="73">
        <v>0.7</v>
      </c>
      <c r="W79" s="73">
        <v>0.7</v>
      </c>
      <c r="X79" s="73">
        <v>0.7</v>
      </c>
      <c r="Y79" s="73">
        <v>0.7</v>
      </c>
      <c r="Z79" s="73">
        <v>0.7</v>
      </c>
      <c r="AA79" s="73">
        <v>0.7</v>
      </c>
      <c r="AB79" s="73">
        <v>0.7</v>
      </c>
      <c r="AC79" s="73">
        <v>0.7</v>
      </c>
      <c r="AD79" s="73">
        <v>0.7</v>
      </c>
    </row>
    <row spans="2:30" r="80" s="2" x14ac:dyDescent="0.25" customFormat="1">
      <c r="B80" s="2" t="s">
        <v>32</v>
      </c>
      <c r="G80" s="20"/>
      <c r="H80" s="20"/>
      <c r="I80" s="20"/>
      <c r="J80" s="20"/>
      <c r="K80" s="20">
        <f ref="K80:Z80" t="shared" si="89">K78*K79</f>
        <v>467317.39061725291</v>
      </c>
      <c r="L80" s="20">
        <f t="shared" si="89"/>
        <v>467317.39061725291</v>
      </c>
      <c r="M80" s="20">
        <f t="shared" si="89"/>
        <v>467317.39061725291</v>
      </c>
      <c r="N80" s="20">
        <f t="shared" si="89"/>
        <v>467317.39061725291</v>
      </c>
      <c r="O80" s="20">
        <f t="shared" si="89"/>
        <v>467317.39061725291</v>
      </c>
      <c r="P80" s="20">
        <f t="shared" si="89"/>
        <v>467317.39061725291</v>
      </c>
      <c r="Q80" s="20">
        <f t="shared" si="89"/>
        <v>467317.39061725291</v>
      </c>
      <c r="R80" s="20">
        <f t="shared" si="89"/>
        <v>467317.39061725291</v>
      </c>
      <c r="S80" s="20">
        <f t="shared" si="89"/>
        <v>467317.39061725291</v>
      </c>
      <c r="T80" s="20">
        <f t="shared" si="89"/>
        <v>467317.39061725291</v>
      </c>
      <c r="U80" s="20">
        <f t="shared" si="89"/>
        <v>467317.39061725291</v>
      </c>
      <c r="V80" s="20">
        <f t="shared" si="89"/>
        <v>467317.39061725291</v>
      </c>
      <c r="W80" s="20">
        <f t="shared" si="89"/>
        <v>467317.39061725291</v>
      </c>
      <c r="X80" s="20">
        <f t="shared" si="89"/>
        <v>467317.39061725291</v>
      </c>
      <c r="Y80" s="20">
        <f t="shared" si="89"/>
        <v>467317.39061725291</v>
      </c>
      <c r="Z80" s="20">
        <f t="shared" si="89"/>
        <v>467317.39061725291</v>
      </c>
      <c r="AA80" s="20">
        <f ref="AA80:AD80" t="shared" si="90">AA78*AA79</f>
        <v>467317.39061725291</v>
      </c>
      <c r="AB80" s="20">
        <f t="shared" si="90"/>
        <v>467317.39061725291</v>
      </c>
      <c r="AC80" s="20">
        <f t="shared" si="90"/>
        <v>467317.39061725291</v>
      </c>
      <c r="AD80" s="20">
        <f t="shared" si="90"/>
        <v>467317.39061725291</v>
      </c>
    </row>
    <row spans="1:30" r="83" x14ac:dyDescent="0.25">
      <c r="A83" s="8" t="s">
        <v>40</v>
      </c>
      <c r="B83" s="24" t="s">
        <v>41</v>
      </c>
      <c r="C83" s="24"/>
      <c r="D83" s="24"/>
      <c r="E83" s="24"/>
      <c r="F83" s="24">
        <v>2022</v>
      </c>
      <c r="G83" s="24">
        <v>2023</v>
      </c>
      <c r="H83" s="24">
        <v>2024</v>
      </c>
      <c r="I83" s="24">
        <v>2025</v>
      </c>
      <c r="J83" s="24">
        <v>2026</v>
      </c>
      <c r="K83" s="24">
        <v>2027</v>
      </c>
      <c r="L83" s="24">
        <v>2028</v>
      </c>
      <c r="M83" s="24">
        <v>2029</v>
      </c>
      <c r="N83" s="24">
        <v>2030</v>
      </c>
      <c r="O83" s="24">
        <v>2031</v>
      </c>
      <c r="P83" s="24">
        <v>2032</v>
      </c>
      <c r="Q83" s="24">
        <v>2033</v>
      </c>
      <c r="R83" s="24">
        <v>2034</v>
      </c>
      <c r="S83" s="24">
        <v>2035</v>
      </c>
      <c r="T83" s="24">
        <v>2036</v>
      </c>
      <c r="U83" s="24">
        <v>2037</v>
      </c>
      <c r="V83" s="24">
        <v>2038</v>
      </c>
      <c r="W83" s="24">
        <v>2039</v>
      </c>
      <c r="X83" s="24">
        <v>2040</v>
      </c>
      <c r="Y83" s="24">
        <v>2041</v>
      </c>
      <c r="Z83" s="24">
        <v>2042</v>
      </c>
      <c r="AA83" s="24">
        <v>2043</v>
      </c>
      <c r="AB83" s="24">
        <v>2044</v>
      </c>
      <c r="AC83" s="24">
        <v>2045</v>
      </c>
      <c r="AD83" s="24">
        <v>2046</v>
      </c>
    </row>
    <row spans="1:30" r="84" x14ac:dyDescent="0.25">
      <c r="B84" s="8" t="s">
        <v>42</v>
      </c>
      <c r="F84" s="156">
        <f>F7+F44+F66</f>
        <v>221725.66666666669</v>
      </c>
      <c r="G84" s="156">
        <f ref="G84:AD84" t="shared" si="91">G7+G44+G66</f>
        <v>408806.69791666674</v>
      </c>
      <c r="H84" s="156">
        <f t="shared" si="91"/>
        <v>822232.68055555574</v>
      </c>
      <c r="I84" s="156">
        <f t="shared" si="91"/>
        <v>896141.23611111124</v>
      </c>
      <c r="J84" s="156">
        <f t="shared" si="91"/>
        <v>896141.23611111124</v>
      </c>
      <c r="K84" s="156">
        <f t="shared" si="91"/>
        <v>1358069.7083333335</v>
      </c>
      <c r="L84" s="156">
        <f t="shared" si="91"/>
        <v>1801521.041666667</v>
      </c>
      <c r="M84" s="156">
        <f t="shared" si="91"/>
        <v>1801521.041666667</v>
      </c>
      <c r="N84" s="156">
        <f t="shared" si="91"/>
        <v>1801521.041666667</v>
      </c>
      <c r="O84" s="156">
        <f t="shared" si="91"/>
        <v>1801521.041666667</v>
      </c>
      <c r="P84" s="156">
        <f t="shared" si="91"/>
        <v>1801521.041666667</v>
      </c>
      <c r="Q84" s="156">
        <f t="shared" si="91"/>
        <v>1801521.041666667</v>
      </c>
      <c r="R84" s="156">
        <f t="shared" si="91"/>
        <v>1801521.041666667</v>
      </c>
      <c r="S84" s="156">
        <f t="shared" si="91"/>
        <v>1801521.041666667</v>
      </c>
      <c r="T84" s="156">
        <f t="shared" si="91"/>
        <v>1801521.041666667</v>
      </c>
      <c r="U84" s="156">
        <f t="shared" si="91"/>
        <v>1801521.041666667</v>
      </c>
      <c r="V84" s="156">
        <f t="shared" si="91"/>
        <v>1801521.041666667</v>
      </c>
      <c r="W84" s="156">
        <f t="shared" si="91"/>
        <v>1801521.041666667</v>
      </c>
      <c r="X84" s="156">
        <f t="shared" si="91"/>
        <v>1801521.041666667</v>
      </c>
      <c r="Y84" s="156">
        <f t="shared" si="91"/>
        <v>1801521.041666667</v>
      </c>
      <c r="Z84" s="156">
        <f t="shared" si="91"/>
        <v>1801521.041666667</v>
      </c>
      <c r="AA84" s="156">
        <f t="shared" si="91"/>
        <v>905379.80555555574</v>
      </c>
      <c r="AB84" s="156">
        <f t="shared" si="91"/>
        <v>905379.80555555574</v>
      </c>
      <c r="AC84" s="156">
        <f t="shared" si="91"/>
        <v>905379.80555555574</v>
      </c>
      <c r="AD84" s="156">
        <f t="shared" si="91"/>
        <v>905379.80555555574</v>
      </c>
    </row>
    <row spans="1:30" r="85" x14ac:dyDescent="0.25">
      <c r="B85" s="8" t="s">
        <v>43</v>
      </c>
      <c r="F85" s="156">
        <f>F36+F58+F80</f>
        <v>377418.15214743541</v>
      </c>
      <c r="G85" s="156">
        <f ref="G85:AD85" t="shared" si="92">G36+G58+G80</f>
        <v>403429.28798670304</v>
      </c>
      <c r="H85" s="156">
        <f t="shared" si="92"/>
        <v>646146.9697210188</v>
      </c>
      <c r="I85" s="156">
        <f t="shared" si="92"/>
        <v>628144.62460349733</v>
      </c>
      <c r="J85" s="156">
        <f t="shared" si="92"/>
        <v>601144.62460349733</v>
      </c>
      <c r="K85" s="156">
        <f t="shared" si="92"/>
        <v>700976.08592587942</v>
      </c>
      <c r="L85" s="156">
        <f t="shared" si="92"/>
        <v>1027962.0152207502</v>
      </c>
      <c r="M85" s="156">
        <f t="shared" si="92"/>
        <v>1027962.0152207502</v>
      </c>
      <c r="N85" s="156">
        <f t="shared" si="92"/>
        <v>1027962.0152207502</v>
      </c>
      <c r="O85" s="156">
        <f t="shared" si="92"/>
        <v>1027962.0152207502</v>
      </c>
      <c r="P85" s="156">
        <f t="shared" si="92"/>
        <v>1027962.0152207502</v>
      </c>
      <c r="Q85" s="156">
        <f t="shared" si="92"/>
        <v>1027962.0152207502</v>
      </c>
      <c r="R85" s="156">
        <f t="shared" si="92"/>
        <v>1027962.0152207502</v>
      </c>
      <c r="S85" s="156">
        <f t="shared" si="92"/>
        <v>1027962.0152207502</v>
      </c>
      <c r="T85" s="156">
        <f t="shared" si="92"/>
        <v>1027962.0152207502</v>
      </c>
      <c r="U85" s="156">
        <f t="shared" si="92"/>
        <v>1027962.0152207502</v>
      </c>
      <c r="V85" s="156">
        <f t="shared" si="92"/>
        <v>1027962.0152207502</v>
      </c>
      <c r="W85" s="156">
        <f t="shared" si="92"/>
        <v>1027962.0152207502</v>
      </c>
      <c r="X85" s="156">
        <f t="shared" si="92"/>
        <v>1027962.0152207502</v>
      </c>
      <c r="Y85" s="156">
        <f t="shared" si="92"/>
        <v>1027962.0152207502</v>
      </c>
      <c r="Z85" s="156">
        <f t="shared" si="92"/>
        <v>1027962.0152207502</v>
      </c>
      <c r="AA85" s="156">
        <f t="shared" si="92"/>
        <v>467317.39061725291</v>
      </c>
      <c r="AB85" s="156">
        <f t="shared" si="92"/>
        <v>467317.39061725291</v>
      </c>
      <c r="AC85" s="156">
        <f t="shared" si="92"/>
        <v>467317.39061725291</v>
      </c>
      <c r="AD85" s="156">
        <f t="shared" si="92"/>
        <v>467317.39061725291</v>
      </c>
    </row>
    <row spans="1:30" r="86" x14ac:dyDescent="0.25">
      <c r="B86" s="8" t="s">
        <v>44</v>
      </c>
      <c r="F86" s="156">
        <f>G117</f>
        <v>40000</v>
      </c>
      <c r="G86" s="156">
        <f ref="G86:AD86" t="shared" si="93">H117</f>
        <v>80000</v>
      </c>
      <c r="H86" s="156">
        <f t="shared" si="93"/>
        <v>80000</v>
      </c>
      <c r="I86" s="156">
        <f t="shared" si="93"/>
        <v>80000</v>
      </c>
      <c r="J86" s="156">
        <f t="shared" si="93"/>
        <v>80000</v>
      </c>
      <c r="K86" s="156">
        <f t="shared" si="93"/>
        <v>160000</v>
      </c>
      <c r="L86" s="156">
        <f t="shared" si="93"/>
        <v>160000</v>
      </c>
      <c r="M86" s="156">
        <f t="shared" si="93"/>
        <v>160000</v>
      </c>
      <c r="N86" s="156">
        <f t="shared" si="93"/>
        <v>160000</v>
      </c>
      <c r="O86" s="156">
        <f t="shared" si="93"/>
        <v>160000</v>
      </c>
      <c r="P86" s="156">
        <f t="shared" si="93"/>
        <v>160000</v>
      </c>
      <c r="Q86" s="156">
        <f t="shared" si="93"/>
        <v>160000</v>
      </c>
      <c r="R86" s="156">
        <f t="shared" si="93"/>
        <v>160000</v>
      </c>
      <c r="S86" s="156">
        <f t="shared" si="93"/>
        <v>160000</v>
      </c>
      <c r="T86" s="156">
        <f t="shared" si="93"/>
        <v>160000</v>
      </c>
      <c r="U86" s="156">
        <f t="shared" si="93"/>
        <v>160000</v>
      </c>
      <c r="V86" s="156">
        <f t="shared" si="93"/>
        <v>160000</v>
      </c>
      <c r="W86" s="156">
        <f t="shared" si="93"/>
        <v>160000</v>
      </c>
      <c r="X86" s="156">
        <f t="shared" si="93"/>
        <v>160000</v>
      </c>
      <c r="Y86" s="156">
        <f t="shared" si="93"/>
        <v>160000</v>
      </c>
      <c r="Z86" s="156">
        <f t="shared" si="93"/>
        <v>160000</v>
      </c>
      <c r="AA86" s="156">
        <f t="shared" si="93"/>
        <v>80000</v>
      </c>
      <c r="AB86" s="156">
        <f t="shared" si="93"/>
        <v>80000</v>
      </c>
      <c r="AC86" s="156">
        <f t="shared" si="93"/>
        <v>80000</v>
      </c>
      <c r="AD86" s="156">
        <f t="shared" si="93"/>
        <v>80000</v>
      </c>
    </row>
    <row spans="1:30" r="87" x14ac:dyDescent="0.25">
      <c r="B87" s="8" t="s">
        <v>45</v>
      </c>
      <c r="F87" s="156">
        <f ref="F87:AD87" t="shared" si="94">F85-F86</f>
        <v>337418.15214743541</v>
      </c>
      <c r="G87" s="156">
        <f t="shared" si="94"/>
        <v>323429.28798670304</v>
      </c>
      <c r="H87" s="156">
        <f t="shared" si="94"/>
        <v>566146.9697210188</v>
      </c>
      <c r="I87" s="156">
        <f t="shared" si="94"/>
        <v>548144.62460349733</v>
      </c>
      <c r="J87" s="156">
        <f t="shared" si="94"/>
        <v>521144.62460349733</v>
      </c>
      <c r="K87" s="156">
        <f t="shared" si="94"/>
        <v>540976.08592587942</v>
      </c>
      <c r="L87" s="156">
        <f t="shared" si="94"/>
        <v>867962.01522075024</v>
      </c>
      <c r="M87" s="156">
        <f t="shared" si="94"/>
        <v>867962.01522075024</v>
      </c>
      <c r="N87" s="156">
        <f t="shared" si="94"/>
        <v>867962.01522075024</v>
      </c>
      <c r="O87" s="156">
        <f t="shared" si="94"/>
        <v>867962.01522075024</v>
      </c>
      <c r="P87" s="156">
        <f t="shared" si="94"/>
        <v>867962.01522075024</v>
      </c>
      <c r="Q87" s="156">
        <f t="shared" si="94"/>
        <v>867962.01522075024</v>
      </c>
      <c r="R87" s="156">
        <f t="shared" si="94"/>
        <v>867962.01522075024</v>
      </c>
      <c r="S87" s="156">
        <f t="shared" si="94"/>
        <v>867962.01522075024</v>
      </c>
      <c r="T87" s="156">
        <f t="shared" si="94"/>
        <v>867962.01522075024</v>
      </c>
      <c r="U87" s="156">
        <f t="shared" si="94"/>
        <v>867962.01522075024</v>
      </c>
      <c r="V87" s="156">
        <f t="shared" si="94"/>
        <v>867962.01522075024</v>
      </c>
      <c r="W87" s="156">
        <f t="shared" si="94"/>
        <v>867962.01522075024</v>
      </c>
      <c r="X87" s="156">
        <f t="shared" si="94"/>
        <v>867962.01522075024</v>
      </c>
      <c r="Y87" s="156">
        <f t="shared" si="94"/>
        <v>867962.01522075024</v>
      </c>
      <c r="Z87" s="156">
        <f t="shared" si="94"/>
        <v>867962.01522075024</v>
      </c>
      <c r="AA87" s="156">
        <f t="shared" si="94"/>
        <v>387317.39061725291</v>
      </c>
      <c r="AB87" s="156">
        <f t="shared" si="94"/>
        <v>387317.39061725291</v>
      </c>
      <c r="AC87" s="156">
        <f t="shared" si="94"/>
        <v>387317.39061725291</v>
      </c>
      <c r="AD87" s="156">
        <f t="shared" si="94"/>
        <v>387317.39061725291</v>
      </c>
    </row>
    <row spans="1:30" r="88" x14ac:dyDescent="0.25">
      <c r="B88" s="8" t="s">
        <v>46</v>
      </c>
      <c r="F88" s="157">
        <v>0.1024</v>
      </c>
      <c r="G88" s="157">
        <v>0.21</v>
      </c>
      <c r="H88" s="157">
        <v>0.21</v>
      </c>
      <c r="I88" s="157">
        <v>0.21</v>
      </c>
      <c r="J88" s="157">
        <v>0.21</v>
      </c>
      <c r="K88" s="157">
        <v>0.21</v>
      </c>
      <c r="L88" s="157">
        <v>0.21</v>
      </c>
      <c r="M88" s="157">
        <v>0.21</v>
      </c>
      <c r="N88" s="157">
        <v>0.21</v>
      </c>
      <c r="O88" s="157">
        <v>0.21</v>
      </c>
      <c r="P88" s="157">
        <v>0.21</v>
      </c>
      <c r="Q88" s="157">
        <v>0.21</v>
      </c>
      <c r="R88" s="157">
        <v>0.21</v>
      </c>
      <c r="S88" s="157">
        <v>0.21</v>
      </c>
      <c r="T88" s="157">
        <v>0.21</v>
      </c>
      <c r="U88" s="157">
        <v>0.21</v>
      </c>
      <c r="V88" s="157">
        <v>0.21</v>
      </c>
      <c r="W88" s="157">
        <v>0.21</v>
      </c>
      <c r="X88" s="157">
        <v>0.21</v>
      </c>
      <c r="Y88" s="157">
        <v>0.21</v>
      </c>
      <c r="Z88" s="157">
        <v>0.21</v>
      </c>
      <c r="AA88" s="157">
        <v>0.21</v>
      </c>
      <c r="AB88" s="157">
        <v>0.21</v>
      </c>
      <c r="AC88" s="157">
        <v>0.21</v>
      </c>
      <c r="AD88" s="157">
        <v>0.21</v>
      </c>
    </row>
    <row spans="1:30" r="89" x14ac:dyDescent="0.25">
      <c r="B89" s="8" t="s">
        <v>47</v>
      </c>
      <c r="F89" s="156">
        <f>F87*F88</f>
        <v>34551.618779897384</v>
      </c>
      <c r="G89" s="156">
        <f ref="G89:AD89" t="shared" si="95">G87*G88</f>
        <v>67920.15047720763</v>
      </c>
      <c r="H89" s="156">
        <f t="shared" si="95"/>
        <v>118890.86364141395</v>
      </c>
      <c r="I89" s="156">
        <f t="shared" si="95"/>
        <v>115110.37116673443</v>
      </c>
      <c r="J89" s="156">
        <f t="shared" si="95"/>
        <v>109440.37116673443</v>
      </c>
      <c r="K89" s="156">
        <f t="shared" si="95"/>
        <v>113604.97804443467</v>
      </c>
      <c r="L89" s="156">
        <f t="shared" si="95"/>
        <v>182272.02319635754</v>
      </c>
      <c r="M89" s="156">
        <f t="shared" si="95"/>
        <v>182272.02319635754</v>
      </c>
      <c r="N89" s="156">
        <f t="shared" si="95"/>
        <v>182272.02319635754</v>
      </c>
      <c r="O89" s="156">
        <f t="shared" si="95"/>
        <v>182272.02319635754</v>
      </c>
      <c r="P89" s="156">
        <f t="shared" si="95"/>
        <v>182272.02319635754</v>
      </c>
      <c r="Q89" s="156">
        <f t="shared" si="95"/>
        <v>182272.02319635754</v>
      </c>
      <c r="R89" s="156">
        <f t="shared" si="95"/>
        <v>182272.02319635754</v>
      </c>
      <c r="S89" s="156">
        <f t="shared" si="95"/>
        <v>182272.02319635754</v>
      </c>
      <c r="T89" s="156">
        <f t="shared" si="95"/>
        <v>182272.02319635754</v>
      </c>
      <c r="U89" s="156">
        <f t="shared" si="95"/>
        <v>182272.02319635754</v>
      </c>
      <c r="V89" s="156">
        <f t="shared" si="95"/>
        <v>182272.02319635754</v>
      </c>
      <c r="W89" s="156">
        <f t="shared" si="95"/>
        <v>182272.02319635754</v>
      </c>
      <c r="X89" s="156">
        <f t="shared" si="95"/>
        <v>182272.02319635754</v>
      </c>
      <c r="Y89" s="156">
        <f t="shared" si="95"/>
        <v>182272.02319635754</v>
      </c>
      <c r="Z89" s="156">
        <f t="shared" si="95"/>
        <v>182272.02319635754</v>
      </c>
      <c r="AA89" s="156">
        <f t="shared" si="95"/>
        <v>81336.652029623103</v>
      </c>
      <c r="AB89" s="156">
        <f t="shared" si="95"/>
        <v>81336.652029623103</v>
      </c>
      <c r="AC89" s="156">
        <f t="shared" si="95"/>
        <v>81336.652029623103</v>
      </c>
      <c r="AD89" s="156">
        <f t="shared" si="95"/>
        <v>81336.652029623103</v>
      </c>
    </row>
    <row spans="1:30" r="90" x14ac:dyDescent="0.25">
      <c r="B90" s="8" t="s">
        <v>48</v>
      </c>
      <c r="F90" s="156">
        <f>F87-F89</f>
        <v>302866.53336753801</v>
      </c>
      <c r="G90" s="156">
        <f ref="G90:AD90" t="shared" si="96">G87-G89</f>
        <v>255509.13750949543</v>
      </c>
      <c r="H90" s="156">
        <f t="shared" si="96"/>
        <v>447256.10607960483</v>
      </c>
      <c r="I90" s="156">
        <f t="shared" si="96"/>
        <v>433034.2534367629</v>
      </c>
      <c r="J90" s="156">
        <f t="shared" si="96"/>
        <v>411704.2534367629</v>
      </c>
      <c r="K90" s="156">
        <f t="shared" si="96"/>
        <v>427371.10788144474</v>
      </c>
      <c r="L90" s="156">
        <f t="shared" si="96"/>
        <v>685689.9920243927</v>
      </c>
      <c r="M90" s="156">
        <f t="shared" si="96"/>
        <v>685689.9920243927</v>
      </c>
      <c r="N90" s="156">
        <f t="shared" si="96"/>
        <v>685689.9920243927</v>
      </c>
      <c r="O90" s="156">
        <f t="shared" si="96"/>
        <v>685689.9920243927</v>
      </c>
      <c r="P90" s="156">
        <f t="shared" si="96"/>
        <v>685689.9920243927</v>
      </c>
      <c r="Q90" s="156">
        <f t="shared" si="96"/>
        <v>685689.9920243927</v>
      </c>
      <c r="R90" s="156">
        <f t="shared" si="96"/>
        <v>685689.9920243927</v>
      </c>
      <c r="S90" s="156">
        <f t="shared" si="96"/>
        <v>685689.9920243927</v>
      </c>
      <c r="T90" s="156">
        <f t="shared" si="96"/>
        <v>685689.9920243927</v>
      </c>
      <c r="U90" s="156">
        <f t="shared" si="96"/>
        <v>685689.9920243927</v>
      </c>
      <c r="V90" s="156">
        <f t="shared" si="96"/>
        <v>685689.9920243927</v>
      </c>
      <c r="W90" s="156">
        <f t="shared" si="96"/>
        <v>685689.9920243927</v>
      </c>
      <c r="X90" s="156">
        <f t="shared" si="96"/>
        <v>685689.9920243927</v>
      </c>
      <c r="Y90" s="156">
        <f t="shared" si="96"/>
        <v>685689.9920243927</v>
      </c>
      <c r="Z90" s="156">
        <f t="shared" si="96"/>
        <v>685689.9920243927</v>
      </c>
      <c r="AA90" s="156">
        <f t="shared" si="96"/>
        <v>305980.73858762981</v>
      </c>
      <c r="AB90" s="156">
        <f t="shared" si="96"/>
        <v>305980.73858762981</v>
      </c>
      <c r="AC90" s="156">
        <f t="shared" si="96"/>
        <v>305980.73858762981</v>
      </c>
      <c r="AD90" s="156">
        <f t="shared" si="96"/>
        <v>305980.73858762981</v>
      </c>
    </row>
    <row spans="1:30" r="91" x14ac:dyDescent="0.25">
      <c r="B91" s="8" t="s">
        <v>49</v>
      </c>
      <c r="F91" s="156">
        <f>F86</f>
        <v>40000</v>
      </c>
      <c r="G91" s="156">
        <f ref="G91:AD91" t="shared" si="97">G86</f>
        <v>80000</v>
      </c>
      <c r="H91" s="156">
        <f t="shared" si="97"/>
        <v>80000</v>
      </c>
      <c r="I91" s="156">
        <f t="shared" si="97"/>
        <v>80000</v>
      </c>
      <c r="J91" s="156">
        <f t="shared" si="97"/>
        <v>80000</v>
      </c>
      <c r="K91" s="156">
        <f t="shared" si="97"/>
        <v>160000</v>
      </c>
      <c r="L91" s="156">
        <f t="shared" si="97"/>
        <v>160000</v>
      </c>
      <c r="M91" s="156">
        <f t="shared" si="97"/>
        <v>160000</v>
      </c>
      <c r="N91" s="156">
        <f t="shared" si="97"/>
        <v>160000</v>
      </c>
      <c r="O91" s="156">
        <f t="shared" si="97"/>
        <v>160000</v>
      </c>
      <c r="P91" s="156">
        <f t="shared" si="97"/>
        <v>160000</v>
      </c>
      <c r="Q91" s="156">
        <f t="shared" si="97"/>
        <v>160000</v>
      </c>
      <c r="R91" s="156">
        <f t="shared" si="97"/>
        <v>160000</v>
      </c>
      <c r="S91" s="156">
        <f t="shared" si="97"/>
        <v>160000</v>
      </c>
      <c r="T91" s="156">
        <f t="shared" si="97"/>
        <v>160000</v>
      </c>
      <c r="U91" s="156">
        <f t="shared" si="97"/>
        <v>160000</v>
      </c>
      <c r="V91" s="156">
        <f t="shared" si="97"/>
        <v>160000</v>
      </c>
      <c r="W91" s="156">
        <f t="shared" si="97"/>
        <v>160000</v>
      </c>
      <c r="X91" s="156">
        <f t="shared" si="97"/>
        <v>160000</v>
      </c>
      <c r="Y91" s="156">
        <f t="shared" si="97"/>
        <v>160000</v>
      </c>
      <c r="Z91" s="156">
        <f t="shared" si="97"/>
        <v>160000</v>
      </c>
      <c r="AA91" s="156">
        <f t="shared" si="97"/>
        <v>80000</v>
      </c>
      <c r="AB91" s="156">
        <f t="shared" si="97"/>
        <v>80000</v>
      </c>
      <c r="AC91" s="156">
        <f t="shared" si="97"/>
        <v>80000</v>
      </c>
      <c r="AD91" s="156">
        <f t="shared" si="97"/>
        <v>80000</v>
      </c>
    </row>
    <row spans="1:30" r="92" x14ac:dyDescent="0.25">
      <c r="B92" s="8" t="s">
        <v>50</v>
      </c>
      <c r="F92" s="156">
        <f>F101</f>
        <v>5543.1416666666673</v>
      </c>
      <c r="G92" s="156">
        <f ref="G92:AD92" t="shared" si="98">G101</f>
        <v>610220.1674479167</v>
      </c>
      <c r="H92" s="156">
        <f t="shared" si="98"/>
        <v>620555.81701388885</v>
      </c>
      <c r="I92" s="156">
        <f t="shared" si="98"/>
        <v>622403.5309027778</v>
      </c>
      <c r="J92" s="156">
        <f t="shared" si="98"/>
        <v>622403.5309027778</v>
      </c>
      <c r="K92" s="156">
        <f t="shared" si="98"/>
        <v>33951.742708333339</v>
      </c>
      <c r="L92" s="156">
        <f t="shared" si="98"/>
        <v>45038.026041666679</v>
      </c>
      <c r="M92" s="156">
        <f t="shared" si="98"/>
        <v>45038.026041666679</v>
      </c>
      <c r="N92" s="156">
        <f t="shared" si="98"/>
        <v>45038.026041666679</v>
      </c>
      <c r="O92" s="156">
        <f t="shared" si="98"/>
        <v>45038.026041666679</v>
      </c>
      <c r="P92" s="156">
        <f t="shared" si="98"/>
        <v>45038.026041666679</v>
      </c>
      <c r="Q92" s="156">
        <f t="shared" si="98"/>
        <v>45038.026041666679</v>
      </c>
      <c r="R92" s="156">
        <f t="shared" si="98"/>
        <v>45038.026041666679</v>
      </c>
      <c r="S92" s="156">
        <f t="shared" si="98"/>
        <v>45038.026041666679</v>
      </c>
      <c r="T92" s="156">
        <f t="shared" si="98"/>
        <v>45038.026041666679</v>
      </c>
      <c r="U92" s="156">
        <f t="shared" si="98"/>
        <v>45038.026041666679</v>
      </c>
      <c r="V92" s="156">
        <f t="shared" si="98"/>
        <v>45038.026041666679</v>
      </c>
      <c r="W92" s="156">
        <f t="shared" si="98"/>
        <v>45038.026041666679</v>
      </c>
      <c r="X92" s="156">
        <f t="shared" si="98"/>
        <v>45038.026041666679</v>
      </c>
      <c r="Y92" s="156">
        <f t="shared" si="98"/>
        <v>45038.026041666679</v>
      </c>
      <c r="Z92" s="156">
        <f t="shared" si="98"/>
        <v>45038.026041666679</v>
      </c>
      <c r="AA92" s="156">
        <f t="shared" si="98"/>
        <v>22634.495138888895</v>
      </c>
      <c r="AB92" s="156">
        <f t="shared" si="98"/>
        <v>22634.495138888895</v>
      </c>
      <c r="AC92" s="156">
        <f t="shared" si="98"/>
        <v>22634.495138888895</v>
      </c>
      <c r="AD92" s="156">
        <f t="shared" si="98"/>
        <v>22634.495138888895</v>
      </c>
    </row>
    <row spans="1:30" r="93" s="2" x14ac:dyDescent="0.25" customFormat="1">
      <c r="B93" s="2" t="s">
        <v>51</v>
      </c>
      <c r="F93" s="20">
        <f>G130</f>
        <v>28865.59597480607</v>
      </c>
      <c r="G93" s="20">
        <f ref="G93:AD93" t="shared" si="99">H130</f>
        <v>41947.649393728745</v>
      </c>
      <c r="H93" s="20">
        <f t="shared" si="99"/>
        <v>-22560.761665786908</v>
      </c>
      <c r="I93" s="20">
        <f t="shared" si="99"/>
        <v>-36603.40897125972</v>
      </c>
      <c r="J93" s="20">
        <f t="shared" si="99"/>
        <v>87766.545659204916</v>
      </c>
      <c r="K93" s="20">
        <f t="shared" si="99"/>
        <v>-144515.4222375364</v>
      </c>
      <c r="L93" s="20">
        <f t="shared" si="99"/>
        <v>-219620.45382755814</v>
      </c>
      <c r="M93" s="208">
        <f t="shared" si="99"/>
        <v>0</v>
      </c>
      <c r="N93" s="208">
        <f t="shared" si="99"/>
        <v>0</v>
      </c>
      <c r="O93" s="208">
        <f t="shared" si="99"/>
        <v>0</v>
      </c>
      <c r="P93" s="208">
        <f t="shared" si="99"/>
        <v>0</v>
      </c>
      <c r="Q93" s="208">
        <f t="shared" si="99"/>
        <v>0</v>
      </c>
      <c r="R93" s="208">
        <f t="shared" si="99"/>
        <v>0</v>
      </c>
      <c r="S93" s="208">
        <f t="shared" si="99"/>
        <v>0</v>
      </c>
      <c r="T93" s="208">
        <f t="shared" si="99"/>
        <v>0</v>
      </c>
      <c r="U93" s="208">
        <f t="shared" si="99"/>
        <v>0</v>
      </c>
      <c r="V93" s="208">
        <f t="shared" si="99"/>
        <v>0</v>
      </c>
      <c r="W93" s="208">
        <f t="shared" si="99"/>
        <v>0</v>
      </c>
      <c r="X93" s="208">
        <f t="shared" si="99"/>
        <v>0</v>
      </c>
      <c r="Y93" s="208">
        <f t="shared" si="99"/>
        <v>0</v>
      </c>
      <c r="Z93" s="20">
        <f t="shared" si="99"/>
        <v>-170267.09857885761</v>
      </c>
      <c r="AA93" s="20">
        <f t="shared" si="99"/>
        <v>219620.45382755814</v>
      </c>
      <c r="AB93" s="208">
        <f t="shared" si="99"/>
        <v>0</v>
      </c>
      <c r="AC93" s="208">
        <f t="shared" si="99"/>
        <v>0</v>
      </c>
      <c r="AD93" s="20">
        <f t="shared" si="99"/>
        <v>-172022.4294920417</v>
      </c>
    </row>
    <row spans="1:30" r="94" x14ac:dyDescent="0.25">
      <c r="B94" s="8" t="s">
        <v>52</v>
      </c>
      <c r="F94" s="156">
        <f>F90+F91-F92-F93</f>
        <v>308457.79572606529</v>
      </c>
      <c r="G94" s="156">
        <f ref="G94:AD94" t="shared" si="100">G90+G91-G92-G93</f>
        <v>-316658.67933215003</v>
      </c>
      <c r="H94" s="156">
        <f t="shared" si="100"/>
        <v>-70738.949268497119</v>
      </c>
      <c r="I94" s="156">
        <f t="shared" si="100"/>
        <v>-72765.868494755181</v>
      </c>
      <c r="J94" s="156">
        <f t="shared" si="100"/>
        <v>-218465.82312521982</v>
      </c>
      <c r="K94" s="156">
        <f t="shared" si="100"/>
        <v>697934.78741064784</v>
      </c>
      <c r="L94" s="156">
        <f t="shared" si="100"/>
        <v>1020272.4198102842</v>
      </c>
      <c r="M94" s="156">
        <f t="shared" si="100"/>
        <v>800651.96598272608</v>
      </c>
      <c r="N94" s="156">
        <f t="shared" si="100"/>
        <v>800651.96598272608</v>
      </c>
      <c r="O94" s="156">
        <f t="shared" si="100"/>
        <v>800651.96598272608</v>
      </c>
      <c r="P94" s="156">
        <f t="shared" si="100"/>
        <v>800651.96598272608</v>
      </c>
      <c r="Q94" s="156">
        <f t="shared" si="100"/>
        <v>800651.96598272608</v>
      </c>
      <c r="R94" s="156">
        <f t="shared" si="100"/>
        <v>800651.96598272608</v>
      </c>
      <c r="S94" s="156">
        <f t="shared" si="100"/>
        <v>800651.96598272608</v>
      </c>
      <c r="T94" s="156">
        <f t="shared" si="100"/>
        <v>800651.96598272608</v>
      </c>
      <c r="U94" s="156">
        <f t="shared" si="100"/>
        <v>800651.96598272608</v>
      </c>
      <c r="V94" s="156">
        <f t="shared" si="100"/>
        <v>800651.96598272608</v>
      </c>
      <c r="W94" s="156">
        <f t="shared" si="100"/>
        <v>800651.96598272608</v>
      </c>
      <c r="X94" s="156">
        <f t="shared" si="100"/>
        <v>800651.96598272608</v>
      </c>
      <c r="Y94" s="156">
        <f t="shared" si="100"/>
        <v>800651.96598272608</v>
      </c>
      <c r="Z94" s="156">
        <f t="shared" si="100"/>
        <v>970919.06456158368</v>
      </c>
      <c r="AA94" s="156">
        <f t="shared" si="100"/>
        <v>143725.78962118278</v>
      </c>
      <c r="AB94" s="156">
        <f t="shared" si="100"/>
        <v>363346.24344874092</v>
      </c>
      <c r="AC94" s="156">
        <f t="shared" si="100"/>
        <v>363346.24344874092</v>
      </c>
      <c r="AD94" s="156">
        <f t="shared" si="100"/>
        <v>535368.67294078262</v>
      </c>
    </row>
    <row spans="1:30" r="95" x14ac:dyDescent="0.25">
      <c r="F95" s="158">
        <v>0.5</v>
      </c>
      <c r="G95" s="158">
        <f>F95+1</f>
        <v>1.5</v>
      </c>
      <c r="H95" s="158">
        <f ref="H95:AD95" t="shared" si="101">G95+1</f>
        <v>2.5</v>
      </c>
      <c r="I95" s="158">
        <f t="shared" si="101"/>
        <v>3.5</v>
      </c>
      <c r="J95" s="158">
        <f t="shared" si="101"/>
        <v>4.5</v>
      </c>
      <c r="K95" s="158">
        <f t="shared" si="101"/>
        <v>5.5</v>
      </c>
      <c r="L95" s="158">
        <f t="shared" si="101"/>
        <v>6.5</v>
      </c>
      <c r="M95" s="158">
        <f t="shared" si="101"/>
        <v>7.5</v>
      </c>
      <c r="N95" s="158">
        <f t="shared" si="101"/>
        <v>8.5</v>
      </c>
      <c r="O95" s="158">
        <f t="shared" si="101"/>
        <v>9.5</v>
      </c>
      <c r="P95" s="158">
        <f t="shared" si="101"/>
        <v>10.5</v>
      </c>
      <c r="Q95" s="158">
        <f t="shared" si="101"/>
        <v>11.5</v>
      </c>
      <c r="R95" s="158">
        <f t="shared" si="101"/>
        <v>12.5</v>
      </c>
      <c r="S95" s="158">
        <f t="shared" si="101"/>
        <v>13.5</v>
      </c>
      <c r="T95" s="158">
        <f t="shared" si="101"/>
        <v>14.5</v>
      </c>
      <c r="U95" s="158">
        <f t="shared" si="101"/>
        <v>15.5</v>
      </c>
      <c r="V95" s="158">
        <f t="shared" si="101"/>
        <v>16.5</v>
      </c>
      <c r="W95" s="158">
        <f t="shared" si="101"/>
        <v>17.5</v>
      </c>
      <c r="X95" s="158">
        <f t="shared" si="101"/>
        <v>18.5</v>
      </c>
      <c r="Y95" s="158">
        <f t="shared" si="101"/>
        <v>19.5</v>
      </c>
      <c r="Z95" s="158">
        <f t="shared" si="101"/>
        <v>20.5</v>
      </c>
      <c r="AA95" s="158">
        <f t="shared" si="101"/>
        <v>21.5</v>
      </c>
      <c r="AB95" s="158">
        <f t="shared" si="101"/>
        <v>22.5</v>
      </c>
      <c r="AC95" s="158">
        <f t="shared" si="101"/>
        <v>23.5</v>
      </c>
      <c r="AD95" s="158">
        <f t="shared" si="101"/>
        <v>24.5</v>
      </c>
    </row>
    <row spans="1:30" r="96" x14ac:dyDescent="0.25">
      <c r="F96" s="156">
        <f>F94/(1+0.086)^F95</f>
        <v>295992.58947498933</v>
      </c>
      <c r="G96" s="156">
        <f ref="G96:AD96" t="shared" si="102">G94/(1+0.086)^G95</f>
        <v>-279799.32231059828</v>
      </c>
      <c r="H96" s="156">
        <f t="shared" si="102"/>
        <v>-57555.130309994194</v>
      </c>
      <c r="I96" s="156">
        <f t="shared" si="102"/>
        <v>-54515.917901635818</v>
      </c>
      <c r="J96" s="156">
        <f t="shared" si="102"/>
        <v>-150712.50620215732</v>
      </c>
      <c r="K96" s="156">
        <f t="shared" si="102"/>
        <v>443354.17924901942</v>
      </c>
      <c r="L96" s="156">
        <f t="shared" si="102"/>
        <v>596791.02428427828</v>
      </c>
      <c r="M96" s="156">
        <f t="shared" si="102"/>
        <v>431241.04025554733</v>
      </c>
      <c r="N96" s="156">
        <f t="shared" si="102"/>
        <v>397091.19728871761</v>
      </c>
      <c r="O96" s="156">
        <f t="shared" si="102"/>
        <v>365645.66969495174</v>
      </c>
      <c r="P96" s="156">
        <f t="shared" si="102"/>
        <v>336690.3035865117</v>
      </c>
      <c r="Q96" s="156">
        <f t="shared" si="102"/>
        <v>310027.9038549831</v>
      </c>
      <c r="R96" s="156">
        <f t="shared" si="102"/>
        <v>285476.89121084998</v>
      </c>
      <c r="S96" s="156">
        <f t="shared" si="102"/>
        <v>262870.06557168503</v>
      </c>
      <c r="T96" s="156">
        <f t="shared" si="102"/>
        <v>242053.46737724217</v>
      </c>
      <c r="U96" s="156">
        <f t="shared" si="102"/>
        <v>222885.32907665026</v>
      </c>
      <c r="V96" s="156">
        <f t="shared" si="102"/>
        <v>205235.10964700757</v>
      </c>
      <c r="W96" s="156">
        <f t="shared" si="102"/>
        <v>188982.60556814692</v>
      </c>
      <c r="X96" s="156">
        <f t="shared" si="102"/>
        <v>174017.13219903031</v>
      </c>
      <c r="Y96" s="156">
        <f t="shared" si="102"/>
        <v>160236.76998069088</v>
      </c>
      <c r="Z96" s="156">
        <f t="shared" si="102"/>
        <v>178925.24110807126</v>
      </c>
      <c r="AA96" s="156">
        <f t="shared" si="102"/>
        <v>24388.970050006497</v>
      </c>
      <c r="AB96" s="156">
        <f t="shared" si="102"/>
        <v>56774.014754825279</v>
      </c>
      <c r="AC96" s="156">
        <f t="shared" si="102"/>
        <v>52278.098300944082</v>
      </c>
      <c r="AD96" s="156">
        <f t="shared" si="102"/>
        <v>70928.738565052394</v>
      </c>
    </row>
    <row spans="1:31" r="97" x14ac:dyDescent="0.25"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</row>
    <row spans="1:31" r="98" x14ac:dyDescent="0.25">
      <c r="A98" s="8" t="s">
        <v>40</v>
      </c>
      <c r="B98" s="24" t="s">
        <v>53</v>
      </c>
      <c r="C98" s="24"/>
      <c r="D98" s="24"/>
      <c r="E98" s="24"/>
      <c r="F98" s="24">
        <f>F83</f>
        <v>2022</v>
      </c>
      <c r="G98" s="24">
        <f ref="G98:AD98" t="shared" si="103">G83</f>
        <v>2023</v>
      </c>
      <c r="H98" s="24">
        <f t="shared" si="103"/>
        <v>2024</v>
      </c>
      <c r="I98" s="24">
        <f t="shared" si="103"/>
        <v>2025</v>
      </c>
      <c r="J98" s="24">
        <f t="shared" si="103"/>
        <v>2026</v>
      </c>
      <c r="K98" s="24">
        <f t="shared" si="103"/>
        <v>2027</v>
      </c>
      <c r="L98" s="24">
        <f t="shared" si="103"/>
        <v>2028</v>
      </c>
      <c r="M98" s="24">
        <f t="shared" si="103"/>
        <v>2029</v>
      </c>
      <c r="N98" s="24">
        <f t="shared" si="103"/>
        <v>2030</v>
      </c>
      <c r="O98" s="24">
        <f t="shared" si="103"/>
        <v>2031</v>
      </c>
      <c r="P98" s="24">
        <f t="shared" si="103"/>
        <v>2032</v>
      </c>
      <c r="Q98" s="24">
        <f t="shared" si="103"/>
        <v>2033</v>
      </c>
      <c r="R98" s="24">
        <f t="shared" si="103"/>
        <v>2034</v>
      </c>
      <c r="S98" s="24">
        <f t="shared" si="103"/>
        <v>2035</v>
      </c>
      <c r="T98" s="24">
        <f t="shared" si="103"/>
        <v>2036</v>
      </c>
      <c r="U98" s="24">
        <f t="shared" si="103"/>
        <v>2037</v>
      </c>
      <c r="V98" s="24">
        <f t="shared" si="103"/>
        <v>2038</v>
      </c>
      <c r="W98" s="24">
        <f t="shared" si="103"/>
        <v>2039</v>
      </c>
      <c r="X98" s="24">
        <f t="shared" si="103"/>
        <v>2040</v>
      </c>
      <c r="Y98" s="24">
        <f t="shared" si="103"/>
        <v>2041</v>
      </c>
      <c r="Z98" s="24">
        <f t="shared" si="103"/>
        <v>2042</v>
      </c>
      <c r="AA98" s="24">
        <f t="shared" si="103"/>
        <v>2043</v>
      </c>
      <c r="AB98" s="24">
        <f t="shared" si="103"/>
        <v>2044</v>
      </c>
      <c r="AC98" s="24">
        <f t="shared" si="103"/>
        <v>2045</v>
      </c>
      <c r="AD98" s="24">
        <f t="shared" si="103"/>
        <v>2046</v>
      </c>
    </row>
    <row spans="1:31" r="99" x14ac:dyDescent="0.25">
      <c r="B99" s="8" t="s">
        <v>54</v>
      </c>
      <c r="F99" s="156">
        <f>0.025*F84</f>
        <v>5543.1416666666673</v>
      </c>
      <c r="G99" s="156">
        <f ref="G99:AD99" t="shared" si="104">0.025*G84</f>
        <v>10220.167447916669</v>
      </c>
      <c r="H99" s="156">
        <f t="shared" si="104"/>
        <v>20555.817013888896</v>
      </c>
      <c r="I99" s="156">
        <f t="shared" si="104"/>
        <v>22403.530902777784</v>
      </c>
      <c r="J99" s="156">
        <f t="shared" si="104"/>
        <v>22403.530902777784</v>
      </c>
      <c r="K99" s="156">
        <f t="shared" si="104"/>
        <v>33951.742708333339</v>
      </c>
      <c r="L99" s="156">
        <f t="shared" si="104"/>
        <v>45038.026041666679</v>
      </c>
      <c r="M99" s="156">
        <f t="shared" si="104"/>
        <v>45038.026041666679</v>
      </c>
      <c r="N99" s="156">
        <f t="shared" si="104"/>
        <v>45038.026041666679</v>
      </c>
      <c r="O99" s="156">
        <f t="shared" si="104"/>
        <v>45038.026041666679</v>
      </c>
      <c r="P99" s="156">
        <f t="shared" si="104"/>
        <v>45038.026041666679</v>
      </c>
      <c r="Q99" s="156">
        <f t="shared" si="104"/>
        <v>45038.026041666679</v>
      </c>
      <c r="R99" s="156">
        <f t="shared" si="104"/>
        <v>45038.026041666679</v>
      </c>
      <c r="S99" s="156">
        <f t="shared" si="104"/>
        <v>45038.026041666679</v>
      </c>
      <c r="T99" s="156">
        <f t="shared" si="104"/>
        <v>45038.026041666679</v>
      </c>
      <c r="U99" s="156">
        <f t="shared" si="104"/>
        <v>45038.026041666679</v>
      </c>
      <c r="V99" s="156">
        <f t="shared" si="104"/>
        <v>45038.026041666679</v>
      </c>
      <c r="W99" s="156">
        <f t="shared" si="104"/>
        <v>45038.026041666679</v>
      </c>
      <c r="X99" s="156">
        <f t="shared" si="104"/>
        <v>45038.026041666679</v>
      </c>
      <c r="Y99" s="156">
        <f t="shared" si="104"/>
        <v>45038.026041666679</v>
      </c>
      <c r="Z99" s="156">
        <f t="shared" si="104"/>
        <v>45038.026041666679</v>
      </c>
      <c r="AA99" s="156">
        <f t="shared" si="104"/>
        <v>22634.495138888895</v>
      </c>
      <c r="AB99" s="156">
        <f t="shared" si="104"/>
        <v>22634.495138888895</v>
      </c>
      <c r="AC99" s="156">
        <f t="shared" si="104"/>
        <v>22634.495138888895</v>
      </c>
      <c r="AD99" s="156">
        <f t="shared" si="104"/>
        <v>22634.495138888895</v>
      </c>
    </row>
    <row spans="1:31" r="100" x14ac:dyDescent="0.25">
      <c r="B100" s="8" t="s">
        <v>55</v>
      </c>
      <c r="F100" s="156"/>
      <c r="G100" s="156">
        <f>$C$105*2</f>
        <v>600000</v>
      </c>
      <c r="H100" s="156">
        <f ref="H100:J100" t="shared" si="105">$C$105*2</f>
        <v>600000</v>
      </c>
      <c r="I100" s="156">
        <f t="shared" si="105"/>
        <v>600000</v>
      </c>
      <c r="J100" s="156">
        <f t="shared" si="105"/>
        <v>600000</v>
      </c>
    </row>
    <row spans="1:31" r="101" x14ac:dyDescent="0.25">
      <c r="B101" s="8" t="s">
        <v>56</v>
      </c>
      <c r="F101" s="156">
        <f>SUM(F99:F100)</f>
        <v>5543.1416666666673</v>
      </c>
      <c r="G101" s="156">
        <f ref="G101:AD101" t="shared" si="106">SUM(G99:G100)</f>
        <v>610220.1674479167</v>
      </c>
      <c r="H101" s="156">
        <f t="shared" si="106"/>
        <v>620555.81701388885</v>
      </c>
      <c r="I101" s="156">
        <f t="shared" si="106"/>
        <v>622403.5309027778</v>
      </c>
      <c r="J101" s="156">
        <f t="shared" si="106"/>
        <v>622403.5309027778</v>
      </c>
      <c r="K101" s="156">
        <f t="shared" si="106"/>
        <v>33951.742708333339</v>
      </c>
      <c r="L101" s="156">
        <f t="shared" si="106"/>
        <v>45038.026041666679</v>
      </c>
      <c r="M101" s="156">
        <f t="shared" si="106"/>
        <v>45038.026041666679</v>
      </c>
      <c r="N101" s="156">
        <f t="shared" si="106"/>
        <v>45038.026041666679</v>
      </c>
      <c r="O101" s="156">
        <f t="shared" si="106"/>
        <v>45038.026041666679</v>
      </c>
      <c r="P101" s="156">
        <f t="shared" si="106"/>
        <v>45038.026041666679</v>
      </c>
      <c r="Q101" s="156">
        <f t="shared" si="106"/>
        <v>45038.026041666679</v>
      </c>
      <c r="R101" s="156">
        <f t="shared" si="106"/>
        <v>45038.026041666679</v>
      </c>
      <c r="S101" s="156">
        <f t="shared" si="106"/>
        <v>45038.026041666679</v>
      </c>
      <c r="T101" s="156">
        <f t="shared" si="106"/>
        <v>45038.026041666679</v>
      </c>
      <c r="U101" s="156">
        <f t="shared" si="106"/>
        <v>45038.026041666679</v>
      </c>
      <c r="V101" s="156">
        <f t="shared" si="106"/>
        <v>45038.026041666679</v>
      </c>
      <c r="W101" s="156">
        <f t="shared" si="106"/>
        <v>45038.026041666679</v>
      </c>
      <c r="X101" s="156">
        <f t="shared" si="106"/>
        <v>45038.026041666679</v>
      </c>
      <c r="Y101" s="156">
        <f t="shared" si="106"/>
        <v>45038.026041666679</v>
      </c>
      <c r="Z101" s="156">
        <f t="shared" si="106"/>
        <v>45038.026041666679</v>
      </c>
      <c r="AA101" s="156">
        <f t="shared" si="106"/>
        <v>22634.495138888895</v>
      </c>
      <c r="AB101" s="156">
        <f t="shared" si="106"/>
        <v>22634.495138888895</v>
      </c>
      <c r="AC101" s="156">
        <f t="shared" si="106"/>
        <v>22634.495138888895</v>
      </c>
      <c r="AD101" s="156">
        <f t="shared" si="106"/>
        <v>22634.495138888895</v>
      </c>
    </row>
    <row spans="1:31" r="103" x14ac:dyDescent="0.25">
      <c r="B103" s="8" t="s">
        <v>57</v>
      </c>
      <c r="C103" s="8" t="s">
        <v>58</v>
      </c>
    </row>
    <row spans="1:31" r="104" x14ac:dyDescent="0.25">
      <c r="B104" s="8" t="s">
        <v>59</v>
      </c>
      <c r="C104" s="8" t="s">
        <v>60</v>
      </c>
    </row>
    <row spans="1:31" r="105" x14ac:dyDescent="0.25">
      <c r="B105" s="8" t="s">
        <v>61</v>
      </c>
      <c r="C105" s="8">
        <v>300000</v>
      </c>
    </row>
    <row spans="1:31" r="106" x14ac:dyDescent="0.25">
      <c r="B106" s="8" t="s">
        <v>62</v>
      </c>
    </row>
    <row spans="1:31" r="109" x14ac:dyDescent="0.25">
      <c r="B109" s="8" t="s">
        <v>63</v>
      </c>
    </row>
    <row spans="1:31" r="110" x14ac:dyDescent="0.25">
      <c r="B110" s="156">
        <v>1200000</v>
      </c>
    </row>
    <row spans="1:31" r="111" x14ac:dyDescent="0.25">
      <c r="B111" s="156">
        <f>B110/30</f>
        <v>40000</v>
      </c>
    </row>
    <row spans="1:31" r="112" x14ac:dyDescent="0.25">
      <c r="A112" s="8" t="s">
        <v>40</v>
      </c>
      <c r="B112" s="24" t="s">
        <v>64</v>
      </c>
      <c r="C112" s="24">
        <v>2018</v>
      </c>
      <c r="D112" s="24">
        <f>C112+1</f>
        <v>2019</v>
      </c>
      <c r="E112" s="24">
        <f>D112+1</f>
        <v>2020</v>
      </c>
      <c r="F112" s="24">
        <f ref="F112:AE112" t="shared" si="107">E112+1</f>
        <v>2021</v>
      </c>
      <c r="G112" s="24">
        <f t="shared" si="107"/>
        <v>2022</v>
      </c>
      <c r="H112" s="24">
        <f t="shared" si="107"/>
        <v>2023</v>
      </c>
      <c r="I112" s="24">
        <f t="shared" si="107"/>
        <v>2024</v>
      </c>
      <c r="J112" s="24">
        <f t="shared" si="107"/>
        <v>2025</v>
      </c>
      <c r="K112" s="24">
        <f t="shared" si="107"/>
        <v>2026</v>
      </c>
      <c r="L112" s="24">
        <f t="shared" si="107"/>
        <v>2027</v>
      </c>
      <c r="M112" s="24">
        <f t="shared" si="107"/>
        <v>2028</v>
      </c>
      <c r="N112" s="24">
        <f t="shared" si="107"/>
        <v>2029</v>
      </c>
      <c r="O112" s="24">
        <f t="shared" si="107"/>
        <v>2030</v>
      </c>
      <c r="P112" s="24">
        <f t="shared" si="107"/>
        <v>2031</v>
      </c>
      <c r="Q112" s="24">
        <f t="shared" si="107"/>
        <v>2032</v>
      </c>
      <c r="R112" s="24">
        <f t="shared" si="107"/>
        <v>2033</v>
      </c>
      <c r="S112" s="24">
        <f t="shared" si="107"/>
        <v>2034</v>
      </c>
      <c r="T112" s="24">
        <f t="shared" si="107"/>
        <v>2035</v>
      </c>
      <c r="U112" s="24">
        <f t="shared" si="107"/>
        <v>2036</v>
      </c>
      <c r="V112" s="24">
        <f t="shared" si="107"/>
        <v>2037</v>
      </c>
      <c r="W112" s="24">
        <f t="shared" si="107"/>
        <v>2038</v>
      </c>
      <c r="X112" s="24">
        <f t="shared" si="107"/>
        <v>2039</v>
      </c>
      <c r="Y112" s="24">
        <f t="shared" si="107"/>
        <v>2040</v>
      </c>
      <c r="Z112" s="24">
        <f t="shared" si="107"/>
        <v>2041</v>
      </c>
      <c r="AA112" s="24">
        <f t="shared" si="107"/>
        <v>2042</v>
      </c>
      <c r="AB112" s="24">
        <f t="shared" si="107"/>
        <v>2043</v>
      </c>
      <c r="AC112" s="24">
        <f t="shared" si="107"/>
        <v>2044</v>
      </c>
      <c r="AD112" s="24">
        <f t="shared" si="107"/>
        <v>2045</v>
      </c>
      <c r="AE112" s="24">
        <f t="shared" si="107"/>
        <v>2046</v>
      </c>
    </row>
    <row spans="1:31" r="113" x14ac:dyDescent="0.25">
      <c r="B113" s="8" t="s">
        <v>65</v>
      </c>
      <c r="C113" s="156">
        <f>$B$111</f>
        <v>40000</v>
      </c>
      <c r="D113" s="156">
        <f ref="D113:AE116" t="shared" si="108">$B$111</f>
        <v>40000</v>
      </c>
      <c r="E113" s="156">
        <f t="shared" si="108"/>
        <v>40000</v>
      </c>
      <c r="F113" s="156">
        <f t="shared" si="108"/>
        <v>40000</v>
      </c>
      <c r="G113" s="160">
        <f t="shared" si="108"/>
        <v>40000</v>
      </c>
      <c r="H113" s="156">
        <f t="shared" si="108"/>
        <v>40000</v>
      </c>
      <c r="I113" s="156">
        <f t="shared" si="108"/>
        <v>40000</v>
      </c>
      <c r="J113" s="156">
        <f t="shared" si="108"/>
        <v>40000</v>
      </c>
      <c r="K113" s="156">
        <f t="shared" si="108"/>
        <v>40000</v>
      </c>
      <c r="L113" s="156">
        <f t="shared" si="108"/>
        <v>40000</v>
      </c>
      <c r="M113" s="156">
        <f t="shared" si="108"/>
        <v>40000</v>
      </c>
      <c r="N113" s="156">
        <f t="shared" si="108"/>
        <v>40000</v>
      </c>
      <c r="O113" s="156">
        <f t="shared" si="108"/>
        <v>40000</v>
      </c>
      <c r="P113" s="156">
        <f t="shared" si="108"/>
        <v>40000</v>
      </c>
      <c r="Q113" s="156">
        <f t="shared" si="108"/>
        <v>40000</v>
      </c>
      <c r="R113" s="156">
        <f t="shared" si="108"/>
        <v>40000</v>
      </c>
      <c r="S113" s="156">
        <f t="shared" si="108"/>
        <v>40000</v>
      </c>
      <c r="T113" s="156">
        <f t="shared" si="108"/>
        <v>40000</v>
      </c>
      <c r="U113" s="156">
        <f t="shared" si="108"/>
        <v>40000</v>
      </c>
      <c r="V113" s="156">
        <f t="shared" si="108"/>
        <v>40000</v>
      </c>
      <c r="W113" s="156">
        <f t="shared" si="108"/>
        <v>40000</v>
      </c>
      <c r="X113" s="156">
        <f t="shared" si="108"/>
        <v>40000</v>
      </c>
      <c r="Y113" s="156">
        <f t="shared" si="108"/>
        <v>40000</v>
      </c>
      <c r="Z113" s="156">
        <f t="shared" si="108"/>
        <v>40000</v>
      </c>
      <c r="AA113" s="156">
        <f t="shared" si="108"/>
        <v>40000</v>
      </c>
      <c r="AB113" s="156"/>
      <c r="AC113" s="156"/>
      <c r="AD113" s="156"/>
      <c r="AE113" s="156"/>
    </row>
    <row spans="1:31" r="114" x14ac:dyDescent="0.25">
      <c r="B114" s="8" t="s">
        <v>66</v>
      </c>
      <c r="G114" s="159"/>
      <c r="H114" s="156">
        <f>$B$111</f>
        <v>40000</v>
      </c>
      <c r="I114" s="156">
        <f t="shared" si="108"/>
        <v>40000</v>
      </c>
      <c r="J114" s="156">
        <f t="shared" si="108"/>
        <v>40000</v>
      </c>
      <c r="K114" s="156">
        <f t="shared" si="108"/>
        <v>40000</v>
      </c>
      <c r="L114" s="156">
        <f t="shared" si="108"/>
        <v>40000</v>
      </c>
      <c r="M114" s="156">
        <f t="shared" si="108"/>
        <v>40000</v>
      </c>
      <c r="N114" s="156">
        <f t="shared" si="108"/>
        <v>40000</v>
      </c>
      <c r="O114" s="156">
        <f t="shared" si="108"/>
        <v>40000</v>
      </c>
      <c r="P114" s="156">
        <f t="shared" si="108"/>
        <v>40000</v>
      </c>
      <c r="Q114" s="156">
        <f t="shared" si="108"/>
        <v>40000</v>
      </c>
      <c r="R114" s="156">
        <f t="shared" si="108"/>
        <v>40000</v>
      </c>
      <c r="S114" s="156">
        <f t="shared" si="108"/>
        <v>40000</v>
      </c>
      <c r="T114" s="156">
        <f t="shared" si="108"/>
        <v>40000</v>
      </c>
      <c r="U114" s="156">
        <f t="shared" si="108"/>
        <v>40000</v>
      </c>
      <c r="V114" s="156">
        <f t="shared" si="108"/>
        <v>40000</v>
      </c>
      <c r="W114" s="156">
        <f t="shared" si="108"/>
        <v>40000</v>
      </c>
      <c r="X114" s="156">
        <f t="shared" si="108"/>
        <v>40000</v>
      </c>
      <c r="Y114" s="156">
        <f t="shared" si="108"/>
        <v>40000</v>
      </c>
      <c r="Z114" s="156">
        <f t="shared" si="108"/>
        <v>40000</v>
      </c>
      <c r="AA114" s="156">
        <f t="shared" si="108"/>
        <v>40000</v>
      </c>
      <c r="AB114" s="156"/>
      <c r="AC114" s="156"/>
      <c r="AD114" s="156"/>
      <c r="AE114" s="156"/>
    </row>
    <row spans="1:31" r="115" x14ac:dyDescent="0.25">
      <c r="B115" s="8" t="s">
        <v>67</v>
      </c>
      <c r="G115" s="159"/>
      <c r="L115" s="156">
        <f>$B$111</f>
        <v>40000</v>
      </c>
      <c r="M115" s="156">
        <f t="shared" si="108"/>
        <v>40000</v>
      </c>
      <c r="N115" s="156">
        <f t="shared" si="108"/>
        <v>40000</v>
      </c>
      <c r="O115" s="156">
        <f t="shared" si="108"/>
        <v>40000</v>
      </c>
      <c r="P115" s="156">
        <f t="shared" si="108"/>
        <v>40000</v>
      </c>
      <c r="Q115" s="156">
        <f t="shared" si="108"/>
        <v>40000</v>
      </c>
      <c r="R115" s="156">
        <f t="shared" si="108"/>
        <v>40000</v>
      </c>
      <c r="S115" s="156">
        <f t="shared" si="108"/>
        <v>40000</v>
      </c>
      <c r="T115" s="156">
        <f t="shared" si="108"/>
        <v>40000</v>
      </c>
      <c r="U115" s="156">
        <f t="shared" si="108"/>
        <v>40000</v>
      </c>
      <c r="V115" s="156">
        <f t="shared" si="108"/>
        <v>40000</v>
      </c>
      <c r="W115" s="156">
        <f t="shared" si="108"/>
        <v>40000</v>
      </c>
      <c r="X115" s="156">
        <f t="shared" si="108"/>
        <v>40000</v>
      </c>
      <c r="Y115" s="156">
        <f t="shared" si="108"/>
        <v>40000</v>
      </c>
      <c r="Z115" s="156">
        <f t="shared" si="108"/>
        <v>40000</v>
      </c>
      <c r="AA115" s="156">
        <f t="shared" si="108"/>
        <v>40000</v>
      </c>
      <c r="AB115" s="156">
        <f t="shared" si="108"/>
        <v>40000</v>
      </c>
      <c r="AC115" s="156">
        <f t="shared" si="108"/>
        <v>40000</v>
      </c>
      <c r="AD115" s="156">
        <f t="shared" si="108"/>
        <v>40000</v>
      </c>
      <c r="AE115" s="156">
        <f t="shared" si="108"/>
        <v>40000</v>
      </c>
    </row>
    <row spans="1:31" r="116" x14ac:dyDescent="0.25">
      <c r="B116" s="8" t="s">
        <v>68</v>
      </c>
      <c r="G116" s="159"/>
      <c r="L116" s="156">
        <f>$B$111</f>
        <v>40000</v>
      </c>
      <c r="M116" s="156">
        <f t="shared" si="108"/>
        <v>40000</v>
      </c>
      <c r="N116" s="156">
        <f t="shared" si="108"/>
        <v>40000</v>
      </c>
      <c r="O116" s="156">
        <f t="shared" si="108"/>
        <v>40000</v>
      </c>
      <c r="P116" s="156">
        <f t="shared" si="108"/>
        <v>40000</v>
      </c>
      <c r="Q116" s="156">
        <f t="shared" si="108"/>
        <v>40000</v>
      </c>
      <c r="R116" s="156">
        <f t="shared" si="108"/>
        <v>40000</v>
      </c>
      <c r="S116" s="156">
        <f t="shared" si="108"/>
        <v>40000</v>
      </c>
      <c r="T116" s="156">
        <f t="shared" si="108"/>
        <v>40000</v>
      </c>
      <c r="U116" s="156">
        <f t="shared" si="108"/>
        <v>40000</v>
      </c>
      <c r="V116" s="156">
        <f t="shared" si="108"/>
        <v>40000</v>
      </c>
      <c r="W116" s="156">
        <f t="shared" si="108"/>
        <v>40000</v>
      </c>
      <c r="X116" s="156">
        <f t="shared" si="108"/>
        <v>40000</v>
      </c>
      <c r="Y116" s="156">
        <f t="shared" si="108"/>
        <v>40000</v>
      </c>
      <c r="Z116" s="156">
        <f t="shared" si="108"/>
        <v>40000</v>
      </c>
      <c r="AA116" s="156">
        <f t="shared" si="108"/>
        <v>40000</v>
      </c>
      <c r="AB116" s="156">
        <f t="shared" si="108"/>
        <v>40000</v>
      </c>
      <c r="AC116" s="156">
        <f t="shared" si="108"/>
        <v>40000</v>
      </c>
      <c r="AD116" s="156">
        <f t="shared" si="108"/>
        <v>40000</v>
      </c>
      <c r="AE116" s="156">
        <f t="shared" si="108"/>
        <v>40000</v>
      </c>
    </row>
    <row spans="1:31" r="117" x14ac:dyDescent="0.25">
      <c r="B117" s="8" t="s">
        <v>69</v>
      </c>
      <c r="G117" s="156">
        <f>SUM(G113:G116)</f>
        <v>40000</v>
      </c>
      <c r="H117" s="156">
        <f ref="H117:AE117" t="shared" si="109">SUM(H113:H116)</f>
        <v>80000</v>
      </c>
      <c r="I117" s="156">
        <f t="shared" si="109"/>
        <v>80000</v>
      </c>
      <c r="J117" s="156">
        <f t="shared" si="109"/>
        <v>80000</v>
      </c>
      <c r="K117" s="156">
        <f t="shared" si="109"/>
        <v>80000</v>
      </c>
      <c r="L117" s="156">
        <f t="shared" si="109"/>
        <v>160000</v>
      </c>
      <c r="M117" s="156">
        <f t="shared" si="109"/>
        <v>160000</v>
      </c>
      <c r="N117" s="156">
        <f t="shared" si="109"/>
        <v>160000</v>
      </c>
      <c r="O117" s="156">
        <f t="shared" si="109"/>
        <v>160000</v>
      </c>
      <c r="P117" s="156">
        <f t="shared" si="109"/>
        <v>160000</v>
      </c>
      <c r="Q117" s="156">
        <f t="shared" si="109"/>
        <v>160000</v>
      </c>
      <c r="R117" s="156">
        <f t="shared" si="109"/>
        <v>160000</v>
      </c>
      <c r="S117" s="156">
        <f t="shared" si="109"/>
        <v>160000</v>
      </c>
      <c r="T117" s="156">
        <f t="shared" si="109"/>
        <v>160000</v>
      </c>
      <c r="U117" s="156">
        <f t="shared" si="109"/>
        <v>160000</v>
      </c>
      <c r="V117" s="156">
        <f t="shared" si="109"/>
        <v>160000</v>
      </c>
      <c r="W117" s="156">
        <f t="shared" si="109"/>
        <v>160000</v>
      </c>
      <c r="X117" s="156">
        <f t="shared" si="109"/>
        <v>160000</v>
      </c>
      <c r="Y117" s="156">
        <f t="shared" si="109"/>
        <v>160000</v>
      </c>
      <c r="Z117" s="156">
        <f t="shared" si="109"/>
        <v>160000</v>
      </c>
      <c r="AA117" s="156">
        <f t="shared" si="109"/>
        <v>160000</v>
      </c>
      <c r="AB117" s="156">
        <f t="shared" si="109"/>
        <v>80000</v>
      </c>
      <c r="AC117" s="156">
        <f t="shared" si="109"/>
        <v>80000</v>
      </c>
      <c r="AD117" s="156">
        <f t="shared" si="109"/>
        <v>80000</v>
      </c>
      <c r="AE117" s="156">
        <f t="shared" si="109"/>
        <v>80000</v>
      </c>
    </row>
    <row spans="1:31" r="119" x14ac:dyDescent="0.25">
      <c r="A119" s="8" t="s">
        <v>40</v>
      </c>
      <c r="B119" s="24" t="s">
        <v>70</v>
      </c>
      <c r="C119" s="24"/>
      <c r="D119" s="24"/>
      <c r="E119" s="24">
        <v>2020</v>
      </c>
      <c r="F119" s="24">
        <v>2021</v>
      </c>
      <c r="G119" s="24">
        <f>F119+1</f>
        <v>2022</v>
      </c>
      <c r="H119" s="24">
        <f ref="H119:AE119" t="shared" si="110">G119+1</f>
        <v>2023</v>
      </c>
      <c r="I119" s="24">
        <f t="shared" si="110"/>
        <v>2024</v>
      </c>
      <c r="J119" s="24">
        <f t="shared" si="110"/>
        <v>2025</v>
      </c>
      <c r="K119" s="24">
        <f t="shared" si="110"/>
        <v>2026</v>
      </c>
      <c r="L119" s="24">
        <f t="shared" si="110"/>
        <v>2027</v>
      </c>
      <c r="M119" s="24">
        <f t="shared" si="110"/>
        <v>2028</v>
      </c>
      <c r="N119" s="24">
        <f t="shared" si="110"/>
        <v>2029</v>
      </c>
      <c r="O119" s="24">
        <f t="shared" si="110"/>
        <v>2030</v>
      </c>
      <c r="P119" s="24">
        <f t="shared" si="110"/>
        <v>2031</v>
      </c>
      <c r="Q119" s="24">
        <f t="shared" si="110"/>
        <v>2032</v>
      </c>
      <c r="R119" s="24">
        <f t="shared" si="110"/>
        <v>2033</v>
      </c>
      <c r="S119" s="24">
        <f t="shared" si="110"/>
        <v>2034</v>
      </c>
      <c r="T119" s="24">
        <f t="shared" si="110"/>
        <v>2035</v>
      </c>
      <c r="U119" s="24">
        <f t="shared" si="110"/>
        <v>2036</v>
      </c>
      <c r="V119" s="24">
        <f t="shared" si="110"/>
        <v>2037</v>
      </c>
      <c r="W119" s="24">
        <f t="shared" si="110"/>
        <v>2038</v>
      </c>
      <c r="X119" s="24">
        <f t="shared" si="110"/>
        <v>2039</v>
      </c>
      <c r="Y119" s="24">
        <f t="shared" si="110"/>
        <v>2040</v>
      </c>
      <c r="Z119" s="24">
        <f t="shared" si="110"/>
        <v>2041</v>
      </c>
      <c r="AA119" s="24">
        <f t="shared" si="110"/>
        <v>2042</v>
      </c>
      <c r="AB119" s="24">
        <f t="shared" si="110"/>
        <v>2043</v>
      </c>
      <c r="AC119" s="24">
        <f t="shared" si="110"/>
        <v>2044</v>
      </c>
      <c r="AD119" s="24">
        <f t="shared" si="110"/>
        <v>2045</v>
      </c>
      <c r="AE119" s="24">
        <f t="shared" si="110"/>
        <v>2046</v>
      </c>
    </row>
    <row spans="1:31" r="120" x14ac:dyDescent="0.25">
      <c r="B120" s="151" t="s">
        <v>71</v>
      </c>
      <c r="G120" s="159"/>
    </row>
    <row spans="1:31" r="121" x14ac:dyDescent="0.25">
      <c r="B121" s="8" t="s">
        <v>72</v>
      </c>
      <c r="E121" s="213">
        <f>'Balance Sheet'!F9</f>
        <v>19544.124000417218</v>
      </c>
      <c r="F121" s="213">
        <f>'Balance Sheet'!G9</f>
        <v>62931.979369805093</v>
      </c>
      <c r="G121" s="214">
        <f>G134*G84</f>
        <v>75872.358377538869</v>
      </c>
      <c r="H121" s="213">
        <f ref="H121:AE121" t="shared" si="111">H134*H84</f>
        <v>152602.03153900473</v>
      </c>
      <c r="I121" s="213">
        <f t="shared" si="111"/>
        <v>166319.06808183662</v>
      </c>
      <c r="J121" s="213">
        <f t="shared" si="111"/>
        <v>166319.06808183662</v>
      </c>
      <c r="K121" s="213">
        <f t="shared" si="111"/>
        <v>252050.54647453589</v>
      </c>
      <c r="L121" s="213">
        <f t="shared" si="111"/>
        <v>334352.76573152724</v>
      </c>
      <c r="M121" s="213">
        <f t="shared" si="111"/>
        <v>334352.76573152724</v>
      </c>
      <c r="N121" s="213">
        <f t="shared" si="111"/>
        <v>334352.76573152724</v>
      </c>
      <c r="O121" s="213">
        <f t="shared" si="111"/>
        <v>334352.76573152724</v>
      </c>
      <c r="P121" s="213">
        <f t="shared" si="111"/>
        <v>334352.76573152724</v>
      </c>
      <c r="Q121" s="213">
        <f t="shared" si="111"/>
        <v>334352.76573152724</v>
      </c>
      <c r="R121" s="213">
        <f t="shared" si="111"/>
        <v>334352.76573152724</v>
      </c>
      <c r="S121" s="213">
        <f t="shared" si="111"/>
        <v>334352.76573152724</v>
      </c>
      <c r="T121" s="213">
        <f t="shared" si="111"/>
        <v>334352.76573152724</v>
      </c>
      <c r="U121" s="213">
        <f t="shared" si="111"/>
        <v>334352.76573152724</v>
      </c>
      <c r="V121" s="213">
        <f t="shared" si="111"/>
        <v>334352.76573152724</v>
      </c>
      <c r="W121" s="213">
        <f t="shared" si="111"/>
        <v>334352.76573152724</v>
      </c>
      <c r="X121" s="213">
        <f t="shared" si="111"/>
        <v>334352.76573152724</v>
      </c>
      <c r="Y121" s="213">
        <f t="shared" si="111"/>
        <v>334352.76573152724</v>
      </c>
      <c r="Z121" s="213">
        <f t="shared" si="111"/>
        <v>334352.76573152724</v>
      </c>
      <c r="AA121" s="213">
        <f t="shared" si="111"/>
        <v>168033.69764969061</v>
      </c>
      <c r="AB121" s="213">
        <f t="shared" si="111"/>
        <v>168033.69764969061</v>
      </c>
      <c r="AC121" s="213">
        <f t="shared" si="111"/>
        <v>168033.69764969061</v>
      </c>
      <c r="AD121" s="213">
        <f t="shared" si="111"/>
        <v>168033.69764969061</v>
      </c>
      <c r="AE121" s="219">
        <f t="shared" si="111"/>
        <v>0</v>
      </c>
    </row>
    <row spans="1:31" r="122" x14ac:dyDescent="0.25">
      <c r="B122" s="8" t="s">
        <v>73</v>
      </c>
      <c r="E122" s="213">
        <f>'Balance Sheet'!F11</f>
        <v>1035.4762533898893</v>
      </c>
      <c r="F122" s="213">
        <f>'Balance Sheet'!G11</f>
        <v>1704.5005257158034</v>
      </c>
      <c r="G122" s="214">
        <f>G84/G135</f>
        <v>1801.0345308575099</v>
      </c>
      <c r="H122" s="213">
        <f ref="H122:AE122" t="shared" si="112">H84/H135</f>
        <v>3622.4197343800765</v>
      </c>
      <c r="I122" s="213">
        <f t="shared" si="112"/>
        <v>3948.0304970209822</v>
      </c>
      <c r="J122" s="213">
        <f t="shared" si="112"/>
        <v>3948.0304970209822</v>
      </c>
      <c r="K122" s="213">
        <f t="shared" si="112"/>
        <v>5983.0977635266427</v>
      </c>
      <c r="L122" s="213">
        <f t="shared" si="112"/>
        <v>7936.7623393720778</v>
      </c>
      <c r="M122" s="213">
        <f t="shared" si="112"/>
        <v>7936.7623393720778</v>
      </c>
      <c r="N122" s="213">
        <f t="shared" si="112"/>
        <v>7936.7623393720778</v>
      </c>
      <c r="O122" s="213">
        <f t="shared" si="112"/>
        <v>7936.7623393720778</v>
      </c>
      <c r="P122" s="213">
        <f t="shared" si="112"/>
        <v>7936.7623393720778</v>
      </c>
      <c r="Q122" s="213">
        <f t="shared" si="112"/>
        <v>7936.7623393720778</v>
      </c>
      <c r="R122" s="213">
        <f t="shared" si="112"/>
        <v>7936.7623393720778</v>
      </c>
      <c r="S122" s="213">
        <f t="shared" si="112"/>
        <v>7936.7623393720778</v>
      </c>
      <c r="T122" s="213">
        <f t="shared" si="112"/>
        <v>7936.7623393720778</v>
      </c>
      <c r="U122" s="213">
        <f t="shared" si="112"/>
        <v>7936.7623393720778</v>
      </c>
      <c r="V122" s="213">
        <f t="shared" si="112"/>
        <v>7936.7623393720778</v>
      </c>
      <c r="W122" s="213">
        <f t="shared" si="112"/>
        <v>7936.7623393720778</v>
      </c>
      <c r="X122" s="213">
        <f t="shared" si="112"/>
        <v>7936.7623393720778</v>
      </c>
      <c r="Y122" s="213">
        <f t="shared" si="112"/>
        <v>7936.7623393720778</v>
      </c>
      <c r="Z122" s="213">
        <f t="shared" si="112"/>
        <v>7936.7623393720778</v>
      </c>
      <c r="AA122" s="213">
        <f t="shared" si="112"/>
        <v>3988.7318423510956</v>
      </c>
      <c r="AB122" s="213">
        <f t="shared" si="112"/>
        <v>3988.7318423510956</v>
      </c>
      <c r="AC122" s="213">
        <f t="shared" si="112"/>
        <v>3988.7318423510956</v>
      </c>
      <c r="AD122" s="213">
        <f t="shared" si="112"/>
        <v>3988.7318423510956</v>
      </c>
      <c r="AE122" s="219">
        <f t="shared" si="112"/>
        <v>0</v>
      </c>
    </row>
    <row spans="1:31" r="123" x14ac:dyDescent="0.25">
      <c r="B123" s="151" t="s">
        <v>74</v>
      </c>
      <c r="E123" s="213">
        <f>SUM(E121:E122)</f>
        <v>20579.600253807108</v>
      </c>
      <c r="F123" s="213">
        <f>SUM(F121:F122)</f>
        <v>64636.479895520897</v>
      </c>
      <c r="G123" s="214">
        <f>SUM(G121:G122)</f>
        <v>77673.392908396374</v>
      </c>
      <c r="H123" s="213">
        <f ref="H123:AE123" t="shared" si="113">SUM(H121:H122)</f>
        <v>156224.4512733848</v>
      </c>
      <c r="I123" s="213">
        <f t="shared" si="113"/>
        <v>170267.09857885761</v>
      </c>
      <c r="J123" s="213">
        <f t="shared" si="113"/>
        <v>170267.09857885761</v>
      </c>
      <c r="K123" s="213">
        <f t="shared" si="113"/>
        <v>258033.64423806252</v>
      </c>
      <c r="L123" s="213">
        <f t="shared" si="113"/>
        <v>342289.52807089931</v>
      </c>
      <c r="M123" s="213">
        <f t="shared" si="113"/>
        <v>342289.52807089931</v>
      </c>
      <c r="N123" s="213">
        <f t="shared" si="113"/>
        <v>342289.52807089931</v>
      </c>
      <c r="O123" s="213">
        <f t="shared" si="113"/>
        <v>342289.52807089931</v>
      </c>
      <c r="P123" s="213">
        <f t="shared" si="113"/>
        <v>342289.52807089931</v>
      </c>
      <c r="Q123" s="213">
        <f t="shared" si="113"/>
        <v>342289.52807089931</v>
      </c>
      <c r="R123" s="213">
        <f t="shared" si="113"/>
        <v>342289.52807089931</v>
      </c>
      <c r="S123" s="213">
        <f t="shared" si="113"/>
        <v>342289.52807089931</v>
      </c>
      <c r="T123" s="213">
        <f t="shared" si="113"/>
        <v>342289.52807089931</v>
      </c>
      <c r="U123" s="213">
        <f t="shared" si="113"/>
        <v>342289.52807089931</v>
      </c>
      <c r="V123" s="213">
        <f t="shared" si="113"/>
        <v>342289.52807089931</v>
      </c>
      <c r="W123" s="213">
        <f t="shared" si="113"/>
        <v>342289.52807089931</v>
      </c>
      <c r="X123" s="213">
        <f t="shared" si="113"/>
        <v>342289.52807089931</v>
      </c>
      <c r="Y123" s="213">
        <f t="shared" si="113"/>
        <v>342289.52807089931</v>
      </c>
      <c r="Z123" s="213">
        <f t="shared" si="113"/>
        <v>342289.52807089931</v>
      </c>
      <c r="AA123" s="213">
        <f t="shared" si="113"/>
        <v>172022.4294920417</v>
      </c>
      <c r="AB123" s="213">
        <f t="shared" si="113"/>
        <v>172022.4294920417</v>
      </c>
      <c r="AC123" s="213">
        <f t="shared" si="113"/>
        <v>172022.4294920417</v>
      </c>
      <c r="AD123" s="213">
        <f t="shared" si="113"/>
        <v>172022.4294920417</v>
      </c>
      <c r="AE123" s="219">
        <f t="shared" si="113"/>
        <v>0</v>
      </c>
    </row>
    <row spans="1:31" r="124" x14ac:dyDescent="0.25">
      <c r="B124" s="151"/>
      <c r="E124" s="215"/>
      <c r="F124" s="215"/>
      <c r="G124" s="216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</row>
    <row spans="1:31" r="125" x14ac:dyDescent="0.25">
      <c r="B125" s="151" t="s">
        <v>75</v>
      </c>
      <c r="E125" s="213">
        <f>'Balance Sheet'!F25</f>
        <v>90876.27885752033</v>
      </c>
      <c r="F125" s="213">
        <f>'Balance Sheet'!G25</f>
        <v>125638.90987570971</v>
      </c>
      <c r="G125" s="214">
        <f>G138*G139</f>
        <v>109810.22691377912</v>
      </c>
      <c r="H125" s="213">
        <f ref="H125:AE125" t="shared" si="114">H138*H139</f>
        <v>146413.63588503879</v>
      </c>
      <c r="I125" s="213">
        <f t="shared" si="114"/>
        <v>183017.04485629851</v>
      </c>
      <c r="J125" s="213">
        <f t="shared" si="114"/>
        <v>219620.45382755823</v>
      </c>
      <c r="K125" s="213">
        <f t="shared" si="114"/>
        <v>219620.45382755823</v>
      </c>
      <c r="L125" s="213">
        <f t="shared" si="114"/>
        <v>448391.75989793142</v>
      </c>
      <c r="M125" s="213">
        <f t="shared" si="114"/>
        <v>668012.21372548956</v>
      </c>
      <c r="N125" s="213">
        <f t="shared" si="114"/>
        <v>668012.21372548956</v>
      </c>
      <c r="O125" s="213">
        <f t="shared" si="114"/>
        <v>668012.21372548956</v>
      </c>
      <c r="P125" s="213">
        <f t="shared" si="114"/>
        <v>668012.21372548956</v>
      </c>
      <c r="Q125" s="213">
        <f t="shared" si="114"/>
        <v>668012.21372548956</v>
      </c>
      <c r="R125" s="213">
        <f t="shared" si="114"/>
        <v>668012.21372548956</v>
      </c>
      <c r="S125" s="213">
        <f t="shared" si="114"/>
        <v>668012.21372548956</v>
      </c>
      <c r="T125" s="213">
        <f t="shared" si="114"/>
        <v>668012.21372548956</v>
      </c>
      <c r="U125" s="213">
        <f t="shared" si="114"/>
        <v>668012.21372548956</v>
      </c>
      <c r="V125" s="213">
        <f t="shared" si="114"/>
        <v>668012.21372548956</v>
      </c>
      <c r="W125" s="213">
        <f t="shared" si="114"/>
        <v>668012.21372548956</v>
      </c>
      <c r="X125" s="213">
        <f t="shared" si="114"/>
        <v>668012.21372548956</v>
      </c>
      <c r="Y125" s="213">
        <f t="shared" si="114"/>
        <v>668012.21372548956</v>
      </c>
      <c r="Z125" s="213">
        <f t="shared" si="114"/>
        <v>668012.21372548956</v>
      </c>
      <c r="AA125" s="213">
        <f t="shared" si="114"/>
        <v>668012.21372548956</v>
      </c>
      <c r="AB125" s="213">
        <f t="shared" si="114"/>
        <v>448391.75989793142</v>
      </c>
      <c r="AC125" s="213">
        <f t="shared" si="114"/>
        <v>448391.75989793142</v>
      </c>
      <c r="AD125" s="213">
        <f t="shared" si="114"/>
        <v>448391.75989793142</v>
      </c>
      <c r="AE125" s="213">
        <f t="shared" si="114"/>
        <v>448391.75989793142</v>
      </c>
    </row>
    <row spans="1:31" r="126" x14ac:dyDescent="0.25">
      <c r="B126" s="8" t="s">
        <v>76</v>
      </c>
      <c r="E126" s="213">
        <f>SUM(E125)</f>
        <v>90876.27885752033</v>
      </c>
      <c r="F126" s="213">
        <f>SUM(F125)</f>
        <v>125638.90987570971</v>
      </c>
      <c r="G126" s="214">
        <f>SUM(G125)</f>
        <v>109810.22691377912</v>
      </c>
      <c r="H126" s="213">
        <f ref="H126:AE126" t="shared" si="115">SUM(H125)</f>
        <v>146413.63588503879</v>
      </c>
      <c r="I126" s="213">
        <f t="shared" si="115"/>
        <v>183017.04485629851</v>
      </c>
      <c r="J126" s="213">
        <f t="shared" si="115"/>
        <v>219620.45382755823</v>
      </c>
      <c r="K126" s="213">
        <f t="shared" si="115"/>
        <v>219620.45382755823</v>
      </c>
      <c r="L126" s="213">
        <f t="shared" si="115"/>
        <v>448391.75989793142</v>
      </c>
      <c r="M126" s="213">
        <f t="shared" si="115"/>
        <v>668012.21372548956</v>
      </c>
      <c r="N126" s="213">
        <f t="shared" si="115"/>
        <v>668012.21372548956</v>
      </c>
      <c r="O126" s="213">
        <f t="shared" si="115"/>
        <v>668012.21372548956</v>
      </c>
      <c r="P126" s="213">
        <f t="shared" si="115"/>
        <v>668012.21372548956</v>
      </c>
      <c r="Q126" s="213">
        <f t="shared" si="115"/>
        <v>668012.21372548956</v>
      </c>
      <c r="R126" s="213">
        <f t="shared" si="115"/>
        <v>668012.21372548956</v>
      </c>
      <c r="S126" s="213">
        <f t="shared" si="115"/>
        <v>668012.21372548956</v>
      </c>
      <c r="T126" s="213">
        <f t="shared" si="115"/>
        <v>668012.21372548956</v>
      </c>
      <c r="U126" s="213">
        <f t="shared" si="115"/>
        <v>668012.21372548956</v>
      </c>
      <c r="V126" s="213">
        <f t="shared" si="115"/>
        <v>668012.21372548956</v>
      </c>
      <c r="W126" s="213">
        <f t="shared" si="115"/>
        <v>668012.21372548956</v>
      </c>
      <c r="X126" s="213">
        <f t="shared" si="115"/>
        <v>668012.21372548956</v>
      </c>
      <c r="Y126" s="213">
        <f t="shared" si="115"/>
        <v>668012.21372548956</v>
      </c>
      <c r="Z126" s="213">
        <f t="shared" si="115"/>
        <v>668012.21372548956</v>
      </c>
      <c r="AA126" s="213">
        <f t="shared" si="115"/>
        <v>668012.21372548956</v>
      </c>
      <c r="AB126" s="213">
        <f t="shared" si="115"/>
        <v>448391.75989793142</v>
      </c>
      <c r="AC126" s="213">
        <f t="shared" si="115"/>
        <v>448391.75989793142</v>
      </c>
      <c r="AD126" s="213">
        <f t="shared" si="115"/>
        <v>448391.75989793142</v>
      </c>
      <c r="AE126" s="213">
        <f t="shared" si="115"/>
        <v>448391.75989793142</v>
      </c>
    </row>
    <row spans="1:31" r="127" x14ac:dyDescent="0.25">
      <c r="B127" s="8" t="s">
        <v>77</v>
      </c>
      <c r="E127" s="215"/>
      <c r="F127" s="215"/>
      <c r="G127" s="216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</row>
    <row spans="1:31" r="128" x14ac:dyDescent="0.25">
      <c r="E128" s="215"/>
      <c r="F128" s="215"/>
      <c r="G128" s="216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</row>
    <row spans="1:31" r="129" x14ac:dyDescent="0.25">
      <c r="B129" s="8" t="s">
        <v>78</v>
      </c>
      <c r="E129" s="213">
        <f>E123-E126</f>
        <v>-70296.678603713226</v>
      </c>
      <c r="F129" s="213">
        <f>F123-F126</f>
        <v>-61002.429980188812</v>
      </c>
      <c r="G129" s="214">
        <f ref="G129:AE129" t="shared" si="116">G123-G126</f>
        <v>-32136.834005382741</v>
      </c>
      <c r="H129" s="213">
        <f t="shared" si="116"/>
        <v>9810.8153883460036</v>
      </c>
      <c r="I129" s="213">
        <f t="shared" si="116"/>
        <v>-12749.946277440904</v>
      </c>
      <c r="J129" s="213">
        <f t="shared" si="116"/>
        <v>-49353.355248700624</v>
      </c>
      <c r="K129" s="213">
        <f t="shared" si="116"/>
        <v>38413.190410504292</v>
      </c>
      <c r="L129" s="213">
        <f t="shared" si="116"/>
        <v>-106102.23182703211</v>
      </c>
      <c r="M129" s="213">
        <f t="shared" si="116"/>
        <v>-325722.68565459026</v>
      </c>
      <c r="N129" s="213">
        <f t="shared" si="116"/>
        <v>-325722.68565459026</v>
      </c>
      <c r="O129" s="213">
        <f t="shared" si="116"/>
        <v>-325722.68565459026</v>
      </c>
      <c r="P129" s="213">
        <f t="shared" si="116"/>
        <v>-325722.68565459026</v>
      </c>
      <c r="Q129" s="213">
        <f t="shared" si="116"/>
        <v>-325722.68565459026</v>
      </c>
      <c r="R129" s="213">
        <f t="shared" si="116"/>
        <v>-325722.68565459026</v>
      </c>
      <c r="S129" s="213">
        <f t="shared" si="116"/>
        <v>-325722.68565459026</v>
      </c>
      <c r="T129" s="213">
        <f t="shared" si="116"/>
        <v>-325722.68565459026</v>
      </c>
      <c r="U129" s="213">
        <f t="shared" si="116"/>
        <v>-325722.68565459026</v>
      </c>
      <c r="V129" s="213">
        <f t="shared" si="116"/>
        <v>-325722.68565459026</v>
      </c>
      <c r="W129" s="213">
        <f t="shared" si="116"/>
        <v>-325722.68565459026</v>
      </c>
      <c r="X129" s="213">
        <f t="shared" si="116"/>
        <v>-325722.68565459026</v>
      </c>
      <c r="Y129" s="213">
        <f t="shared" si="116"/>
        <v>-325722.68565459026</v>
      </c>
      <c r="Z129" s="213">
        <f t="shared" si="116"/>
        <v>-325722.68565459026</v>
      </c>
      <c r="AA129" s="213">
        <f t="shared" si="116"/>
        <v>-495989.78423344786</v>
      </c>
      <c r="AB129" s="213">
        <f t="shared" si="116"/>
        <v>-276369.33040588972</v>
      </c>
      <c r="AC129" s="213">
        <f t="shared" si="116"/>
        <v>-276369.33040588972</v>
      </c>
      <c r="AD129" s="213">
        <f t="shared" si="116"/>
        <v>-276369.33040588972</v>
      </c>
      <c r="AE129" s="213">
        <f t="shared" si="116"/>
        <v>-448391.75989793142</v>
      </c>
    </row>
    <row spans="1:31" r="130" x14ac:dyDescent="0.25">
      <c r="B130" s="8" t="s">
        <v>79</v>
      </c>
      <c r="E130" s="215"/>
      <c r="F130" s="279">
        <f>F129-E129</f>
        <v>9294.2486235244141</v>
      </c>
      <c r="G130" s="280">
        <f ref="G130:AE130" t="shared" si="117">G129-F129</f>
        <v>28865.59597480607</v>
      </c>
      <c r="H130" s="281">
        <f t="shared" si="117"/>
        <v>41947.649393728745</v>
      </c>
      <c r="I130" s="281">
        <f t="shared" si="117"/>
        <v>-22560.761665786908</v>
      </c>
      <c r="J130" s="281">
        <f t="shared" si="117"/>
        <v>-36603.40897125972</v>
      </c>
      <c r="K130" s="281">
        <f t="shared" si="117"/>
        <v>87766.545659204916</v>
      </c>
      <c r="L130" s="281">
        <f t="shared" si="117"/>
        <v>-144515.4222375364</v>
      </c>
      <c r="M130" s="281">
        <f t="shared" si="117"/>
        <v>-219620.45382755814</v>
      </c>
      <c r="N130" s="282">
        <f t="shared" si="117"/>
        <v>0</v>
      </c>
      <c r="O130" s="282">
        <f t="shared" si="117"/>
        <v>0</v>
      </c>
      <c r="P130" s="282">
        <f t="shared" si="117"/>
        <v>0</v>
      </c>
      <c r="Q130" s="282">
        <f t="shared" si="117"/>
        <v>0</v>
      </c>
      <c r="R130" s="282">
        <f t="shared" si="117"/>
        <v>0</v>
      </c>
      <c r="S130" s="282">
        <f t="shared" si="117"/>
        <v>0</v>
      </c>
      <c r="T130" s="282">
        <f t="shared" si="117"/>
        <v>0</v>
      </c>
      <c r="U130" s="282">
        <f t="shared" si="117"/>
        <v>0</v>
      </c>
      <c r="V130" s="281">
        <f t="shared" si="117"/>
        <v>0</v>
      </c>
      <c r="W130" s="281">
        <f t="shared" si="117"/>
        <v>0</v>
      </c>
      <c r="X130" s="282">
        <f t="shared" si="117"/>
        <v>0</v>
      </c>
      <c r="Y130" s="282">
        <f t="shared" si="117"/>
        <v>0</v>
      </c>
      <c r="Z130" s="282">
        <f t="shared" si="117"/>
        <v>0</v>
      </c>
      <c r="AA130" s="281">
        <f t="shared" si="117"/>
        <v>-170267.09857885761</v>
      </c>
      <c r="AB130" s="281">
        <f t="shared" si="117"/>
        <v>219620.45382755814</v>
      </c>
      <c r="AC130" s="282">
        <f t="shared" si="117"/>
        <v>0</v>
      </c>
      <c r="AD130" s="282">
        <f t="shared" si="117"/>
        <v>0</v>
      </c>
      <c r="AE130" s="281">
        <f t="shared" si="117"/>
        <v>-172022.4294920417</v>
      </c>
    </row>
    <row spans="1:31" r="131" x14ac:dyDescent="0.25">
      <c r="F131" s="156"/>
    </row>
    <row spans="1:31" r="132" x14ac:dyDescent="0.25">
      <c r="B132" s="151" t="s">
        <v>80</v>
      </c>
      <c r="F132" s="156"/>
    </row>
    <row spans="1:31" r="133" x14ac:dyDescent="0.25">
      <c r="B133" s="151" t="s">
        <v>71</v>
      </c>
      <c r="F133" s="156"/>
    </row>
    <row spans="1:31" r="134" x14ac:dyDescent="0.25">
      <c r="B134" s="8" t="s">
        <v>81</v>
      </c>
      <c r="E134" s="174">
        <f>E121/D7</f>
        <v>8.6455089557319564E-2</v>
      </c>
      <c r="F134" s="174">
        <f>F121/E7</f>
        <v>0.28473431983442715</v>
      </c>
      <c r="G134" s="175">
        <f>AVERAGE($E$134:$F$134)</f>
        <v>0.18559470469587336</v>
      </c>
      <c r="H134" s="175">
        <f ref="H134:AE134" t="shared" si="118">AVERAGE($E$134:$F$134)</f>
        <v>0.18559470469587336</v>
      </c>
      <c r="I134" s="175">
        <f t="shared" si="118"/>
        <v>0.18559470469587336</v>
      </c>
      <c r="J134" s="175">
        <f t="shared" si="118"/>
        <v>0.18559470469587336</v>
      </c>
      <c r="K134" s="175">
        <f t="shared" si="118"/>
        <v>0.18559470469587336</v>
      </c>
      <c r="L134" s="175">
        <f t="shared" si="118"/>
        <v>0.18559470469587336</v>
      </c>
      <c r="M134" s="175">
        <f t="shared" si="118"/>
        <v>0.18559470469587336</v>
      </c>
      <c r="N134" s="175">
        <f t="shared" si="118"/>
        <v>0.18559470469587336</v>
      </c>
      <c r="O134" s="175">
        <f t="shared" si="118"/>
        <v>0.18559470469587336</v>
      </c>
      <c r="P134" s="175">
        <f t="shared" si="118"/>
        <v>0.18559470469587336</v>
      </c>
      <c r="Q134" s="175">
        <f t="shared" si="118"/>
        <v>0.18559470469587336</v>
      </c>
      <c r="R134" s="175">
        <f t="shared" si="118"/>
        <v>0.18559470469587336</v>
      </c>
      <c r="S134" s="175">
        <f t="shared" si="118"/>
        <v>0.18559470469587336</v>
      </c>
      <c r="T134" s="175">
        <f t="shared" si="118"/>
        <v>0.18559470469587336</v>
      </c>
      <c r="U134" s="175">
        <f t="shared" si="118"/>
        <v>0.18559470469587336</v>
      </c>
      <c r="V134" s="175">
        <f t="shared" si="118"/>
        <v>0.18559470469587336</v>
      </c>
      <c r="W134" s="175">
        <f t="shared" si="118"/>
        <v>0.18559470469587336</v>
      </c>
      <c r="X134" s="175">
        <f t="shared" si="118"/>
        <v>0.18559470469587336</v>
      </c>
      <c r="Y134" s="175">
        <f t="shared" si="118"/>
        <v>0.18559470469587336</v>
      </c>
      <c r="Z134" s="175">
        <f t="shared" si="118"/>
        <v>0.18559470469587336</v>
      </c>
      <c r="AA134" s="175">
        <f t="shared" si="118"/>
        <v>0.18559470469587336</v>
      </c>
      <c r="AB134" s="175">
        <f t="shared" si="118"/>
        <v>0.18559470469587336</v>
      </c>
      <c r="AC134" s="175">
        <f t="shared" si="118"/>
        <v>0.18559470469587336</v>
      </c>
      <c r="AD134" s="175">
        <f t="shared" si="118"/>
        <v>0.18559470469587336</v>
      </c>
      <c r="AE134" s="175">
        <f t="shared" si="118"/>
        <v>0.18559470469587336</v>
      </c>
    </row>
    <row spans="1:31" r="135" x14ac:dyDescent="0.25">
      <c r="B135" s="8" t="s">
        <v>82</v>
      </c>
      <c r="E135" s="174">
        <f>F84/E122</f>
        <v>214.12916611152841</v>
      </c>
      <c r="F135" s="174">
        <f>G84/F122</f>
        <v>239.83958452872213</v>
      </c>
      <c r="G135" s="175">
        <f>AVERAGE($E$135:$F$135)</f>
        <v>226.98437532012525</v>
      </c>
      <c r="H135" s="175">
        <f ref="H135:AE135" t="shared" si="119">AVERAGE($E$135:$F$135)</f>
        <v>226.98437532012525</v>
      </c>
      <c r="I135" s="175">
        <f t="shared" si="119"/>
        <v>226.98437532012525</v>
      </c>
      <c r="J135" s="175">
        <f t="shared" si="119"/>
        <v>226.98437532012525</v>
      </c>
      <c r="K135" s="175">
        <f t="shared" si="119"/>
        <v>226.98437532012525</v>
      </c>
      <c r="L135" s="175">
        <f t="shared" si="119"/>
        <v>226.98437532012525</v>
      </c>
      <c r="M135" s="175">
        <f t="shared" si="119"/>
        <v>226.98437532012525</v>
      </c>
      <c r="N135" s="175">
        <f t="shared" si="119"/>
        <v>226.98437532012525</v>
      </c>
      <c r="O135" s="175">
        <f t="shared" si="119"/>
        <v>226.98437532012525</v>
      </c>
      <c r="P135" s="175">
        <f t="shared" si="119"/>
        <v>226.98437532012525</v>
      </c>
      <c r="Q135" s="175">
        <f t="shared" si="119"/>
        <v>226.98437532012525</v>
      </c>
      <c r="R135" s="175">
        <f t="shared" si="119"/>
        <v>226.98437532012525</v>
      </c>
      <c r="S135" s="175">
        <f t="shared" si="119"/>
        <v>226.98437532012525</v>
      </c>
      <c r="T135" s="175">
        <f t="shared" si="119"/>
        <v>226.98437532012525</v>
      </c>
      <c r="U135" s="175">
        <f t="shared" si="119"/>
        <v>226.98437532012525</v>
      </c>
      <c r="V135" s="175">
        <f t="shared" si="119"/>
        <v>226.98437532012525</v>
      </c>
      <c r="W135" s="175">
        <f t="shared" si="119"/>
        <v>226.98437532012525</v>
      </c>
      <c r="X135" s="175">
        <f t="shared" si="119"/>
        <v>226.98437532012525</v>
      </c>
      <c r="Y135" s="175">
        <f t="shared" si="119"/>
        <v>226.98437532012525</v>
      </c>
      <c r="Z135" s="175">
        <f t="shared" si="119"/>
        <v>226.98437532012525</v>
      </c>
      <c r="AA135" s="175">
        <f t="shared" si="119"/>
        <v>226.98437532012525</v>
      </c>
      <c r="AB135" s="175">
        <f t="shared" si="119"/>
        <v>226.98437532012525</v>
      </c>
      <c r="AC135" s="175">
        <f t="shared" si="119"/>
        <v>226.98437532012525</v>
      </c>
      <c r="AD135" s="175">
        <f t="shared" si="119"/>
        <v>226.98437532012525</v>
      </c>
      <c r="AE135" s="175">
        <f t="shared" si="119"/>
        <v>226.98437532012525</v>
      </c>
    </row>
    <row spans="1:31" r="136" x14ac:dyDescent="0.25">
      <c r="B136" s="8" t="s">
        <v>83</v>
      </c>
      <c r="E136" s="176">
        <f>E135/365</f>
        <v>0.58665524962062576</v>
      </c>
      <c r="F136" s="176">
        <f>F135/365</f>
        <v>0.65709475213348523</v>
      </c>
      <c r="G136" s="176">
        <f ref="G136:AE136" t="shared" si="120">G135/365</f>
        <v>0.62187500087705549</v>
      </c>
      <c r="H136" s="176">
        <f t="shared" si="120"/>
        <v>0.62187500087705549</v>
      </c>
      <c r="I136" s="176">
        <f t="shared" si="120"/>
        <v>0.62187500087705549</v>
      </c>
      <c r="J136" s="176">
        <f t="shared" si="120"/>
        <v>0.62187500087705549</v>
      </c>
      <c r="K136" s="176">
        <f t="shared" si="120"/>
        <v>0.62187500087705549</v>
      </c>
      <c r="L136" s="176">
        <f t="shared" si="120"/>
        <v>0.62187500087705549</v>
      </c>
      <c r="M136" s="176">
        <f t="shared" si="120"/>
        <v>0.62187500087705549</v>
      </c>
      <c r="N136" s="176">
        <f t="shared" si="120"/>
        <v>0.62187500087705549</v>
      </c>
      <c r="O136" s="176">
        <f t="shared" si="120"/>
        <v>0.62187500087705549</v>
      </c>
      <c r="P136" s="176">
        <f t="shared" si="120"/>
        <v>0.62187500087705549</v>
      </c>
      <c r="Q136" s="176">
        <f t="shared" si="120"/>
        <v>0.62187500087705549</v>
      </c>
      <c r="R136" s="176">
        <f t="shared" si="120"/>
        <v>0.62187500087705549</v>
      </c>
      <c r="S136" s="176">
        <f t="shared" si="120"/>
        <v>0.62187500087705549</v>
      </c>
      <c r="T136" s="176">
        <f t="shared" si="120"/>
        <v>0.62187500087705549</v>
      </c>
      <c r="U136" s="176">
        <f t="shared" si="120"/>
        <v>0.62187500087705549</v>
      </c>
      <c r="V136" s="176">
        <f t="shared" si="120"/>
        <v>0.62187500087705549</v>
      </c>
      <c r="W136" s="176">
        <f t="shared" si="120"/>
        <v>0.62187500087705549</v>
      </c>
      <c r="X136" s="176">
        <f t="shared" si="120"/>
        <v>0.62187500087705549</v>
      </c>
      <c r="Y136" s="176">
        <f t="shared" si="120"/>
        <v>0.62187500087705549</v>
      </c>
      <c r="Z136" s="176">
        <f t="shared" si="120"/>
        <v>0.62187500087705549</v>
      </c>
      <c r="AA136" s="176">
        <f t="shared" si="120"/>
        <v>0.62187500087705549</v>
      </c>
      <c r="AB136" s="176">
        <f t="shared" si="120"/>
        <v>0.62187500087705549</v>
      </c>
      <c r="AC136" s="176">
        <f t="shared" si="120"/>
        <v>0.62187500087705549</v>
      </c>
      <c r="AD136" s="176">
        <f t="shared" si="120"/>
        <v>0.62187500087705549</v>
      </c>
      <c r="AE136" s="176">
        <f t="shared" si="120"/>
        <v>0.62187500087705549</v>
      </c>
    </row>
    <row spans="1:31" r="137" x14ac:dyDescent="0.25">
      <c r="B137" s="151" t="s">
        <v>75</v>
      </c>
      <c r="E137" s="174"/>
      <c r="F137" s="174"/>
    </row>
    <row spans="1:31" r="138" x14ac:dyDescent="0.25">
      <c r="B138" s="8" t="s">
        <v>84</v>
      </c>
      <c r="E138" s="174">
        <f>E125/E139</f>
        <v>1.7441324822954156</v>
      </c>
      <c r="F138" s="174">
        <f>F125/F139</f>
        <v>2.3491085897963506</v>
      </c>
      <c r="G138" s="175">
        <f>AVERAGE($E$138:$F$138)</f>
        <v>2.0466205360458831</v>
      </c>
      <c r="H138" s="175">
        <f ref="H138:AE138" t="shared" si="121">AVERAGE($E$138:$F$138)</f>
        <v>2.0466205360458831</v>
      </c>
      <c r="I138" s="175">
        <f t="shared" si="121"/>
        <v>2.0466205360458831</v>
      </c>
      <c r="J138" s="175">
        <f t="shared" si="121"/>
        <v>2.0466205360458831</v>
      </c>
      <c r="K138" s="175">
        <f t="shared" si="121"/>
        <v>2.0466205360458831</v>
      </c>
      <c r="L138" s="175">
        <f t="shared" si="121"/>
        <v>2.0466205360458831</v>
      </c>
      <c r="M138" s="175">
        <f t="shared" si="121"/>
        <v>2.0466205360458831</v>
      </c>
      <c r="N138" s="175">
        <f t="shared" si="121"/>
        <v>2.0466205360458831</v>
      </c>
      <c r="O138" s="175">
        <f t="shared" si="121"/>
        <v>2.0466205360458831</v>
      </c>
      <c r="P138" s="175">
        <f t="shared" si="121"/>
        <v>2.0466205360458831</v>
      </c>
      <c r="Q138" s="175">
        <f t="shared" si="121"/>
        <v>2.0466205360458831</v>
      </c>
      <c r="R138" s="175">
        <f t="shared" si="121"/>
        <v>2.0466205360458831</v>
      </c>
      <c r="S138" s="175">
        <f t="shared" si="121"/>
        <v>2.0466205360458831</v>
      </c>
      <c r="T138" s="175">
        <f t="shared" si="121"/>
        <v>2.0466205360458831</v>
      </c>
      <c r="U138" s="175">
        <f t="shared" si="121"/>
        <v>2.0466205360458831</v>
      </c>
      <c r="V138" s="175">
        <f t="shared" si="121"/>
        <v>2.0466205360458831</v>
      </c>
      <c r="W138" s="175">
        <f t="shared" si="121"/>
        <v>2.0466205360458831</v>
      </c>
      <c r="X138" s="175">
        <f t="shared" si="121"/>
        <v>2.0466205360458831</v>
      </c>
      <c r="Y138" s="175">
        <f t="shared" si="121"/>
        <v>2.0466205360458831</v>
      </c>
      <c r="Z138" s="175">
        <f t="shared" si="121"/>
        <v>2.0466205360458831</v>
      </c>
      <c r="AA138" s="175">
        <f t="shared" si="121"/>
        <v>2.0466205360458831</v>
      </c>
      <c r="AB138" s="175">
        <f t="shared" si="121"/>
        <v>2.0466205360458831</v>
      </c>
      <c r="AC138" s="175">
        <f t="shared" si="121"/>
        <v>2.0466205360458831</v>
      </c>
      <c r="AD138" s="175">
        <f t="shared" si="121"/>
        <v>2.0466205360458831</v>
      </c>
      <c r="AE138" s="175">
        <f t="shared" si="121"/>
        <v>2.0466205360458831</v>
      </c>
    </row>
    <row spans="1:31" r="139" x14ac:dyDescent="0.25">
      <c r="B139" s="8" t="s">
        <v>85</v>
      </c>
      <c r="E139" s="156">
        <f>D10+D69</f>
        <v>52104</v>
      </c>
      <c r="F139" s="156">
        <f ref="F139:AE139" t="shared" si="122">E10+E69</f>
        <v>53483.653510713877</v>
      </c>
      <c r="G139" s="156">
        <f t="shared" si="122"/>
        <v>53654.414670310573</v>
      </c>
      <c r="H139" s="156">
        <f t="shared" si="122"/>
        <v>71539.219560414087</v>
      </c>
      <c r="I139" s="156">
        <f t="shared" si="122"/>
        <v>89424.024450517609</v>
      </c>
      <c r="J139" s="156">
        <f t="shared" si="122"/>
        <v>107308.82934062115</v>
      </c>
      <c r="K139" s="156">
        <f t="shared" si="122"/>
        <v>107308.82934062115</v>
      </c>
      <c r="L139" s="156">
        <f t="shared" si="122"/>
        <v>219088.85990376817</v>
      </c>
      <c r="M139" s="156">
        <f t="shared" si="122"/>
        <v>326397.6892443893</v>
      </c>
      <c r="N139" s="156">
        <f t="shared" si="122"/>
        <v>326397.6892443893</v>
      </c>
      <c r="O139" s="156">
        <f t="shared" si="122"/>
        <v>326397.6892443893</v>
      </c>
      <c r="P139" s="156">
        <f t="shared" si="122"/>
        <v>326397.6892443893</v>
      </c>
      <c r="Q139" s="156">
        <f t="shared" si="122"/>
        <v>326397.6892443893</v>
      </c>
      <c r="R139" s="156">
        <f t="shared" si="122"/>
        <v>326397.6892443893</v>
      </c>
      <c r="S139" s="156">
        <f t="shared" si="122"/>
        <v>326397.6892443893</v>
      </c>
      <c r="T139" s="156">
        <f t="shared" si="122"/>
        <v>326397.6892443893</v>
      </c>
      <c r="U139" s="156">
        <f t="shared" si="122"/>
        <v>326397.6892443893</v>
      </c>
      <c r="V139" s="156">
        <f t="shared" si="122"/>
        <v>326397.6892443893</v>
      </c>
      <c r="W139" s="156">
        <f t="shared" si="122"/>
        <v>326397.6892443893</v>
      </c>
      <c r="X139" s="156">
        <f t="shared" si="122"/>
        <v>326397.6892443893</v>
      </c>
      <c r="Y139" s="156">
        <f t="shared" si="122"/>
        <v>326397.6892443893</v>
      </c>
      <c r="Z139" s="156">
        <f t="shared" si="122"/>
        <v>326397.6892443893</v>
      </c>
      <c r="AA139" s="156">
        <f t="shared" si="122"/>
        <v>326397.6892443893</v>
      </c>
      <c r="AB139" s="156">
        <f t="shared" si="122"/>
        <v>219088.85990376817</v>
      </c>
      <c r="AC139" s="156">
        <f t="shared" si="122"/>
        <v>219088.85990376817</v>
      </c>
      <c r="AD139" s="156">
        <f t="shared" si="122"/>
        <v>219088.85990376817</v>
      </c>
      <c r="AE139" s="156">
        <f t="shared" si="122"/>
        <v>219088.85990376817</v>
      </c>
    </row>
    <row spans="1:31" r="140" x14ac:dyDescent="0.25">
      <c r="E140" s="174"/>
      <c r="F140" s="174"/>
    </row>
    <row spans="1:31" r="143" x14ac:dyDescent="0.25">
      <c r="A143" s="8" t="s">
        <v>7</v>
      </c>
      <c r="B143" s="24" t="s">
        <v>86</v>
      </c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152"/>
    </row>
    <row spans="1:31" r="144" x14ac:dyDescent="0.25">
      <c r="B144" s="24" t="s">
        <v>87</v>
      </c>
      <c r="C144" s="24">
        <v>2022</v>
      </c>
      <c r="D144" s="24">
        <f>C144+1</f>
        <v>2023</v>
      </c>
      <c r="E144" s="24">
        <f ref="E144:AA144" t="shared" si="123">D144+1</f>
        <v>2024</v>
      </c>
      <c r="F144" s="24">
        <f t="shared" si="123"/>
        <v>2025</v>
      </c>
      <c r="G144" s="24">
        <f t="shared" si="123"/>
        <v>2026</v>
      </c>
      <c r="H144" s="24">
        <f t="shared" si="123"/>
        <v>2027</v>
      </c>
      <c r="I144" s="24">
        <f t="shared" si="123"/>
        <v>2028</v>
      </c>
      <c r="J144" s="24">
        <f t="shared" si="123"/>
        <v>2029</v>
      </c>
      <c r="K144" s="24">
        <f t="shared" si="123"/>
        <v>2030</v>
      </c>
      <c r="L144" s="24">
        <f t="shared" si="123"/>
        <v>2031</v>
      </c>
      <c r="M144" s="24">
        <f t="shared" si="123"/>
        <v>2032</v>
      </c>
      <c r="N144" s="24">
        <f t="shared" si="123"/>
        <v>2033</v>
      </c>
      <c r="O144" s="24">
        <f t="shared" si="123"/>
        <v>2034</v>
      </c>
      <c r="P144" s="24">
        <f t="shared" si="123"/>
        <v>2035</v>
      </c>
      <c r="Q144" s="24">
        <f t="shared" si="123"/>
        <v>2036</v>
      </c>
      <c r="R144" s="24">
        <f t="shared" si="123"/>
        <v>2037</v>
      </c>
      <c r="S144" s="24">
        <f t="shared" si="123"/>
        <v>2038</v>
      </c>
      <c r="T144" s="24">
        <f t="shared" si="123"/>
        <v>2039</v>
      </c>
      <c r="U144" s="24">
        <f t="shared" si="123"/>
        <v>2040</v>
      </c>
      <c r="V144" s="24">
        <f t="shared" si="123"/>
        <v>2041</v>
      </c>
      <c r="W144" s="24">
        <f t="shared" si="123"/>
        <v>2042</v>
      </c>
      <c r="X144" s="24">
        <f t="shared" si="123"/>
        <v>2043</v>
      </c>
      <c r="Y144" s="24">
        <f t="shared" si="123"/>
        <v>2044</v>
      </c>
      <c r="Z144" s="24">
        <f t="shared" si="123"/>
        <v>2045</v>
      </c>
      <c r="AA144" s="24">
        <f t="shared" si="123"/>
        <v>2046</v>
      </c>
      <c r="AB144" s="152"/>
    </row>
    <row spans="2:34" r="146" x14ac:dyDescent="0.25">
      <c r="B146" s="151" t="s">
        <v>88</v>
      </c>
      <c r="AB146" s="8" t="s">
        <v>89</v>
      </c>
    </row>
    <row spans="2:34" r="147" x14ac:dyDescent="0.25">
      <c r="B147" s="8" t="s">
        <v>90</v>
      </c>
      <c r="C147" s="156">
        <f>F84</f>
        <v>221725.66666666669</v>
      </c>
      <c r="D147" s="156">
        <f ref="D147:AA147" t="shared" si="124">G84</f>
        <v>408806.69791666674</v>
      </c>
      <c r="E147" s="156">
        <f t="shared" si="124"/>
        <v>822232.68055555574</v>
      </c>
      <c r="F147" s="156">
        <f t="shared" si="124"/>
        <v>896141.23611111124</v>
      </c>
      <c r="G147" s="156">
        <f t="shared" si="124"/>
        <v>896141.23611111124</v>
      </c>
      <c r="H147" s="156">
        <f t="shared" si="124"/>
        <v>1358069.7083333335</v>
      </c>
      <c r="I147" s="156">
        <f t="shared" si="124"/>
        <v>1801521.041666667</v>
      </c>
      <c r="J147" s="156">
        <f t="shared" si="124"/>
        <v>1801521.041666667</v>
      </c>
      <c r="K147" s="156">
        <f t="shared" si="124"/>
        <v>1801521.041666667</v>
      </c>
      <c r="L147" s="156">
        <f t="shared" si="124"/>
        <v>1801521.041666667</v>
      </c>
      <c r="M147" s="156">
        <f t="shared" si="124"/>
        <v>1801521.041666667</v>
      </c>
      <c r="N147" s="156">
        <f t="shared" si="124"/>
        <v>1801521.041666667</v>
      </c>
      <c r="O147" s="156">
        <f t="shared" si="124"/>
        <v>1801521.041666667</v>
      </c>
      <c r="P147" s="156">
        <f t="shared" si="124"/>
        <v>1801521.041666667</v>
      </c>
      <c r="Q147" s="156">
        <f t="shared" si="124"/>
        <v>1801521.041666667</v>
      </c>
      <c r="R147" s="156">
        <f t="shared" si="124"/>
        <v>1801521.041666667</v>
      </c>
      <c r="S147" s="156">
        <f t="shared" si="124"/>
        <v>1801521.041666667</v>
      </c>
      <c r="T147" s="156">
        <f t="shared" si="124"/>
        <v>1801521.041666667</v>
      </c>
      <c r="U147" s="156">
        <f t="shared" si="124"/>
        <v>1801521.041666667</v>
      </c>
      <c r="V147" s="156">
        <f t="shared" si="124"/>
        <v>1801521.041666667</v>
      </c>
      <c r="W147" s="156">
        <f t="shared" si="124"/>
        <v>1801521.041666667</v>
      </c>
      <c r="X147" s="156">
        <f t="shared" si="124"/>
        <v>905379.80555555574</v>
      </c>
      <c r="Y147" s="156">
        <f t="shared" si="124"/>
        <v>905379.80555555574</v>
      </c>
      <c r="Z147" s="156">
        <f t="shared" si="124"/>
        <v>905379.80555555574</v>
      </c>
      <c r="AA147" s="156">
        <f t="shared" si="124"/>
        <v>905379.80555555574</v>
      </c>
      <c r="AB147" s="8" t="s">
        <v>91</v>
      </c>
    </row>
    <row spans="2:34" r="148" x14ac:dyDescent="0.25">
      <c r="B148" s="8" t="s">
        <v>45</v>
      </c>
      <c r="C148" s="156">
        <f>F87</f>
        <v>337418.15214743541</v>
      </c>
      <c r="D148" s="156">
        <f ref="D148:AA148" t="shared" si="125">G87</f>
        <v>323429.28798670304</v>
      </c>
      <c r="E148" s="156">
        <f t="shared" si="125"/>
        <v>566146.9697210188</v>
      </c>
      <c r="F148" s="156">
        <f t="shared" si="125"/>
        <v>548144.62460349733</v>
      </c>
      <c r="G148" s="156">
        <f t="shared" si="125"/>
        <v>521144.62460349733</v>
      </c>
      <c r="H148" s="156">
        <f t="shared" si="125"/>
        <v>540976.08592587942</v>
      </c>
      <c r="I148" s="156">
        <f t="shared" si="125"/>
        <v>867962.01522075024</v>
      </c>
      <c r="J148" s="156">
        <f t="shared" si="125"/>
        <v>867962.01522075024</v>
      </c>
      <c r="K148" s="156">
        <f t="shared" si="125"/>
        <v>867962.01522075024</v>
      </c>
      <c r="L148" s="156">
        <f t="shared" si="125"/>
        <v>867962.01522075024</v>
      </c>
      <c r="M148" s="156">
        <f t="shared" si="125"/>
        <v>867962.01522075024</v>
      </c>
      <c r="N148" s="156">
        <f t="shared" si="125"/>
        <v>867962.01522075024</v>
      </c>
      <c r="O148" s="156">
        <f t="shared" si="125"/>
        <v>867962.01522075024</v>
      </c>
      <c r="P148" s="156">
        <f t="shared" si="125"/>
        <v>867962.01522075024</v>
      </c>
      <c r="Q148" s="156">
        <f t="shared" si="125"/>
        <v>867962.01522075024</v>
      </c>
      <c r="R148" s="156">
        <f t="shared" si="125"/>
        <v>867962.01522075024</v>
      </c>
      <c r="S148" s="156">
        <f t="shared" si="125"/>
        <v>867962.01522075024</v>
      </c>
      <c r="T148" s="156">
        <f t="shared" si="125"/>
        <v>867962.01522075024</v>
      </c>
      <c r="U148" s="156">
        <f t="shared" si="125"/>
        <v>867962.01522075024</v>
      </c>
      <c r="V148" s="156">
        <f t="shared" si="125"/>
        <v>867962.01522075024</v>
      </c>
      <c r="W148" s="156">
        <f t="shared" si="125"/>
        <v>867962.01522075024</v>
      </c>
      <c r="X148" s="156">
        <f t="shared" si="125"/>
        <v>387317.39061725291</v>
      </c>
      <c r="Y148" s="156">
        <f t="shared" si="125"/>
        <v>387317.39061725291</v>
      </c>
      <c r="Z148" s="156">
        <f t="shared" si="125"/>
        <v>387317.39061725291</v>
      </c>
      <c r="AA148" s="156">
        <f t="shared" si="125"/>
        <v>387317.39061725291</v>
      </c>
    </row>
    <row spans="2:34" r="149" x14ac:dyDescent="0.25">
      <c r="B149" s="8" t="s">
        <v>92</v>
      </c>
      <c r="C149" s="156">
        <f>F89</f>
        <v>34551.618779897384</v>
      </c>
      <c r="D149" s="156">
        <f ref="D149:AA149" t="shared" si="126">G89</f>
        <v>67920.15047720763</v>
      </c>
      <c r="E149" s="156">
        <f t="shared" si="126"/>
        <v>118890.86364141395</v>
      </c>
      <c r="F149" s="156">
        <f t="shared" si="126"/>
        <v>115110.37116673443</v>
      </c>
      <c r="G149" s="156">
        <f t="shared" si="126"/>
        <v>109440.37116673443</v>
      </c>
      <c r="H149" s="156">
        <f t="shared" si="126"/>
        <v>113604.97804443467</v>
      </c>
      <c r="I149" s="156">
        <f t="shared" si="126"/>
        <v>182272.02319635754</v>
      </c>
      <c r="J149" s="156">
        <f t="shared" si="126"/>
        <v>182272.02319635754</v>
      </c>
      <c r="K149" s="156">
        <f t="shared" si="126"/>
        <v>182272.02319635754</v>
      </c>
      <c r="L149" s="156">
        <f t="shared" si="126"/>
        <v>182272.02319635754</v>
      </c>
      <c r="M149" s="156">
        <f t="shared" si="126"/>
        <v>182272.02319635754</v>
      </c>
      <c r="N149" s="156">
        <f t="shared" si="126"/>
        <v>182272.02319635754</v>
      </c>
      <c r="O149" s="156">
        <f t="shared" si="126"/>
        <v>182272.02319635754</v>
      </c>
      <c r="P149" s="156">
        <f t="shared" si="126"/>
        <v>182272.02319635754</v>
      </c>
      <c r="Q149" s="156">
        <f t="shared" si="126"/>
        <v>182272.02319635754</v>
      </c>
      <c r="R149" s="156">
        <f t="shared" si="126"/>
        <v>182272.02319635754</v>
      </c>
      <c r="S149" s="156">
        <f t="shared" si="126"/>
        <v>182272.02319635754</v>
      </c>
      <c r="T149" s="156">
        <f t="shared" si="126"/>
        <v>182272.02319635754</v>
      </c>
      <c r="U149" s="156">
        <f t="shared" si="126"/>
        <v>182272.02319635754</v>
      </c>
      <c r="V149" s="156">
        <f t="shared" si="126"/>
        <v>182272.02319635754</v>
      </c>
      <c r="W149" s="156">
        <f t="shared" si="126"/>
        <v>182272.02319635754</v>
      </c>
      <c r="X149" s="156">
        <f t="shared" si="126"/>
        <v>81336.652029623103</v>
      </c>
      <c r="Y149" s="156">
        <f t="shared" si="126"/>
        <v>81336.652029623103</v>
      </c>
      <c r="Z149" s="156">
        <f t="shared" si="126"/>
        <v>81336.652029623103</v>
      </c>
      <c r="AA149" s="156">
        <f t="shared" si="126"/>
        <v>81336.652029623103</v>
      </c>
    </row>
    <row spans="2:34" r="150" x14ac:dyDescent="0.25">
      <c r="B150" s="8" t="s">
        <v>48</v>
      </c>
      <c r="C150" s="156">
        <f>F90</f>
        <v>302866.53336753801</v>
      </c>
      <c r="D150" s="156">
        <f ref="D150:AA150" t="shared" si="127">G90</f>
        <v>255509.13750949543</v>
      </c>
      <c r="E150" s="156">
        <f t="shared" si="127"/>
        <v>447256.10607960483</v>
      </c>
      <c r="F150" s="156">
        <f t="shared" si="127"/>
        <v>433034.2534367629</v>
      </c>
      <c r="G150" s="156">
        <f t="shared" si="127"/>
        <v>411704.2534367629</v>
      </c>
      <c r="H150" s="156">
        <f t="shared" si="127"/>
        <v>427371.10788144474</v>
      </c>
      <c r="I150" s="156">
        <f t="shared" si="127"/>
        <v>685689.9920243927</v>
      </c>
      <c r="J150" s="156">
        <f t="shared" si="127"/>
        <v>685689.9920243927</v>
      </c>
      <c r="K150" s="156">
        <f t="shared" si="127"/>
        <v>685689.9920243927</v>
      </c>
      <c r="L150" s="156">
        <f t="shared" si="127"/>
        <v>685689.9920243927</v>
      </c>
      <c r="M150" s="156">
        <f t="shared" si="127"/>
        <v>685689.9920243927</v>
      </c>
      <c r="N150" s="156">
        <f t="shared" si="127"/>
        <v>685689.9920243927</v>
      </c>
      <c r="O150" s="156">
        <f t="shared" si="127"/>
        <v>685689.9920243927</v>
      </c>
      <c r="P150" s="156">
        <f t="shared" si="127"/>
        <v>685689.9920243927</v>
      </c>
      <c r="Q150" s="156">
        <f t="shared" si="127"/>
        <v>685689.9920243927</v>
      </c>
      <c r="R150" s="156">
        <f t="shared" si="127"/>
        <v>685689.9920243927</v>
      </c>
      <c r="S150" s="156">
        <f t="shared" si="127"/>
        <v>685689.9920243927</v>
      </c>
      <c r="T150" s="156">
        <f t="shared" si="127"/>
        <v>685689.9920243927</v>
      </c>
      <c r="U150" s="156">
        <f t="shared" si="127"/>
        <v>685689.9920243927</v>
      </c>
      <c r="V150" s="156">
        <f t="shared" si="127"/>
        <v>685689.9920243927</v>
      </c>
      <c r="W150" s="156">
        <f t="shared" si="127"/>
        <v>685689.9920243927</v>
      </c>
      <c r="X150" s="156">
        <f t="shared" si="127"/>
        <v>305980.73858762981</v>
      </c>
      <c r="Y150" s="156">
        <f t="shared" si="127"/>
        <v>305980.73858762981</v>
      </c>
      <c r="Z150" s="156">
        <f t="shared" si="127"/>
        <v>305980.73858762981</v>
      </c>
      <c r="AA150" s="156">
        <f t="shared" si="127"/>
        <v>305980.73858762981</v>
      </c>
    </row>
    <row spans="2:34" r="152" x14ac:dyDescent="0.25">
      <c r="B152" s="8" t="s">
        <v>93</v>
      </c>
      <c r="C152" s="156">
        <f>F91</f>
        <v>40000</v>
      </c>
      <c r="D152" s="156">
        <f ref="D152:AA152" t="shared" si="128">G91</f>
        <v>80000</v>
      </c>
      <c r="E152" s="156">
        <f t="shared" si="128"/>
        <v>80000</v>
      </c>
      <c r="F152" s="156">
        <f t="shared" si="128"/>
        <v>80000</v>
      </c>
      <c r="G152" s="156">
        <f t="shared" si="128"/>
        <v>80000</v>
      </c>
      <c r="H152" s="156">
        <f t="shared" si="128"/>
        <v>160000</v>
      </c>
      <c r="I152" s="156">
        <f t="shared" si="128"/>
        <v>160000</v>
      </c>
      <c r="J152" s="156">
        <f t="shared" si="128"/>
        <v>160000</v>
      </c>
      <c r="K152" s="156">
        <f t="shared" si="128"/>
        <v>160000</v>
      </c>
      <c r="L152" s="156">
        <f t="shared" si="128"/>
        <v>160000</v>
      </c>
      <c r="M152" s="156">
        <f t="shared" si="128"/>
        <v>160000</v>
      </c>
      <c r="N152" s="156">
        <f t="shared" si="128"/>
        <v>160000</v>
      </c>
      <c r="O152" s="156">
        <f t="shared" si="128"/>
        <v>160000</v>
      </c>
      <c r="P152" s="156">
        <f t="shared" si="128"/>
        <v>160000</v>
      </c>
      <c r="Q152" s="156">
        <f t="shared" si="128"/>
        <v>160000</v>
      </c>
      <c r="R152" s="156">
        <f t="shared" si="128"/>
        <v>160000</v>
      </c>
      <c r="S152" s="156">
        <f t="shared" si="128"/>
        <v>160000</v>
      </c>
      <c r="T152" s="156">
        <f t="shared" si="128"/>
        <v>160000</v>
      </c>
      <c r="U152" s="156">
        <f t="shared" si="128"/>
        <v>160000</v>
      </c>
      <c r="V152" s="156">
        <f t="shared" si="128"/>
        <v>160000</v>
      </c>
      <c r="W152" s="156">
        <f t="shared" si="128"/>
        <v>160000</v>
      </c>
      <c r="X152" s="156">
        <f t="shared" si="128"/>
        <v>80000</v>
      </c>
      <c r="Y152" s="156">
        <f t="shared" si="128"/>
        <v>80000</v>
      </c>
      <c r="Z152" s="156">
        <f t="shared" si="128"/>
        <v>80000</v>
      </c>
      <c r="AA152" s="156">
        <f t="shared" si="128"/>
        <v>80000</v>
      </c>
    </row>
    <row spans="2:34" r="153" x14ac:dyDescent="0.25">
      <c r="B153" s="8" t="s">
        <v>53</v>
      </c>
      <c r="C153" s="156">
        <f>F92</f>
        <v>5543.1416666666673</v>
      </c>
      <c r="D153" s="156">
        <f ref="D153:AA153" t="shared" si="129">G92</f>
        <v>610220.1674479167</v>
      </c>
      <c r="E153" s="156">
        <f t="shared" si="129"/>
        <v>620555.81701388885</v>
      </c>
      <c r="F153" s="156">
        <f t="shared" si="129"/>
        <v>622403.5309027778</v>
      </c>
      <c r="G153" s="156">
        <f t="shared" si="129"/>
        <v>622403.5309027778</v>
      </c>
      <c r="H153" s="156">
        <f t="shared" si="129"/>
        <v>33951.742708333339</v>
      </c>
      <c r="I153" s="156">
        <f t="shared" si="129"/>
        <v>45038.026041666679</v>
      </c>
      <c r="J153" s="156">
        <f t="shared" si="129"/>
        <v>45038.026041666679</v>
      </c>
      <c r="K153" s="156">
        <f t="shared" si="129"/>
        <v>45038.026041666679</v>
      </c>
      <c r="L153" s="156">
        <f t="shared" si="129"/>
        <v>45038.026041666679</v>
      </c>
      <c r="M153" s="156">
        <f t="shared" si="129"/>
        <v>45038.026041666679</v>
      </c>
      <c r="N153" s="156">
        <f t="shared" si="129"/>
        <v>45038.026041666679</v>
      </c>
      <c r="O153" s="156">
        <f t="shared" si="129"/>
        <v>45038.026041666679</v>
      </c>
      <c r="P153" s="156">
        <f t="shared" si="129"/>
        <v>45038.026041666679</v>
      </c>
      <c r="Q153" s="156">
        <f t="shared" si="129"/>
        <v>45038.026041666679</v>
      </c>
      <c r="R153" s="156">
        <f t="shared" si="129"/>
        <v>45038.026041666679</v>
      </c>
      <c r="S153" s="156">
        <f t="shared" si="129"/>
        <v>45038.026041666679</v>
      </c>
      <c r="T153" s="156">
        <f t="shared" si="129"/>
        <v>45038.026041666679</v>
      </c>
      <c r="U153" s="156">
        <f t="shared" si="129"/>
        <v>45038.026041666679</v>
      </c>
      <c r="V153" s="156">
        <f t="shared" si="129"/>
        <v>45038.026041666679</v>
      </c>
      <c r="W153" s="156">
        <f t="shared" si="129"/>
        <v>45038.026041666679</v>
      </c>
      <c r="X153" s="156">
        <f t="shared" si="129"/>
        <v>22634.495138888895</v>
      </c>
      <c r="Y153" s="156">
        <f t="shared" si="129"/>
        <v>22634.495138888895</v>
      </c>
      <c r="Z153" s="156">
        <f t="shared" si="129"/>
        <v>22634.495138888895</v>
      </c>
      <c r="AA153" s="156">
        <f t="shared" si="129"/>
        <v>22634.495138888895</v>
      </c>
      <c r="AH153" s="156"/>
    </row>
    <row spans="2:34" r="154" s="2" x14ac:dyDescent="0.25" customFormat="1">
      <c r="B154" s="2" t="s">
        <v>79</v>
      </c>
      <c r="C154" s="2">
        <f>F93</f>
        <v>28865.59597480607</v>
      </c>
      <c r="D154" s="2">
        <f ref="D154:AA154" t="shared" si="130">G93</f>
        <v>41947.649393728745</v>
      </c>
      <c r="E154" s="2">
        <f t="shared" si="130"/>
        <v>-22560.761665786908</v>
      </c>
      <c r="F154" s="2">
        <f t="shared" si="130"/>
        <v>-36603.40897125972</v>
      </c>
      <c r="G154" s="2">
        <f t="shared" si="130"/>
        <v>87766.545659204916</v>
      </c>
      <c r="H154" s="2">
        <f t="shared" si="130"/>
        <v>-144515.4222375364</v>
      </c>
      <c r="I154" s="2">
        <f t="shared" si="130"/>
        <v>-219620.45382755814</v>
      </c>
      <c r="J154" s="208">
        <f t="shared" si="130"/>
        <v>0</v>
      </c>
      <c r="K154" s="208">
        <f t="shared" si="130"/>
        <v>0</v>
      </c>
      <c r="L154" s="208">
        <f t="shared" si="130"/>
        <v>0</v>
      </c>
      <c r="M154" s="208">
        <f t="shared" si="130"/>
        <v>0</v>
      </c>
      <c r="N154" s="208">
        <f t="shared" si="130"/>
        <v>0</v>
      </c>
      <c r="O154" s="208">
        <f t="shared" si="130"/>
        <v>0</v>
      </c>
      <c r="P154" s="208">
        <f t="shared" si="130"/>
        <v>0</v>
      </c>
      <c r="Q154" s="208">
        <f t="shared" si="130"/>
        <v>0</v>
      </c>
      <c r="R154" s="208">
        <f t="shared" si="130"/>
        <v>0</v>
      </c>
      <c r="S154" s="208">
        <f t="shared" si="130"/>
        <v>0</v>
      </c>
      <c r="T154" s="208">
        <f t="shared" si="130"/>
        <v>0</v>
      </c>
      <c r="U154" s="208">
        <f t="shared" si="130"/>
        <v>0</v>
      </c>
      <c r="V154" s="208">
        <f t="shared" si="130"/>
        <v>0</v>
      </c>
      <c r="W154" s="2">
        <f t="shared" si="130"/>
        <v>-170267.09857885761</v>
      </c>
      <c r="X154" s="2">
        <f t="shared" si="130"/>
        <v>219620.45382755814</v>
      </c>
      <c r="Y154" s="208">
        <f t="shared" si="130"/>
        <v>0</v>
      </c>
      <c r="Z154" s="208">
        <f t="shared" si="130"/>
        <v>0</v>
      </c>
      <c r="AA154" s="2">
        <f t="shared" si="130"/>
        <v>-172022.4294920417</v>
      </c>
      <c r="AH154" s="76"/>
    </row>
    <row spans="2:34" r="155" x14ac:dyDescent="0.25">
      <c r="B155" s="8" t="s">
        <v>94</v>
      </c>
      <c r="C155" s="156">
        <f>C150+C152-C153-C154</f>
        <v>308457.79572606529</v>
      </c>
      <c r="D155" s="156">
        <f ref="D155:AA155" t="shared" si="131">D150+D152-D153-D154</f>
        <v>-316658.67933215003</v>
      </c>
      <c r="E155" s="156">
        <f t="shared" si="131"/>
        <v>-70738.949268497119</v>
      </c>
      <c r="F155" s="156">
        <f t="shared" si="131"/>
        <v>-72765.868494755181</v>
      </c>
      <c r="G155" s="156">
        <f t="shared" si="131"/>
        <v>-218465.82312521982</v>
      </c>
      <c r="H155" s="156">
        <f t="shared" si="131"/>
        <v>697934.78741064784</v>
      </c>
      <c r="I155" s="156">
        <f t="shared" si="131"/>
        <v>1020272.4198102842</v>
      </c>
      <c r="J155" s="156">
        <f t="shared" si="131"/>
        <v>800651.96598272608</v>
      </c>
      <c r="K155" s="156">
        <f t="shared" si="131"/>
        <v>800651.96598272608</v>
      </c>
      <c r="L155" s="156">
        <f t="shared" si="131"/>
        <v>800651.96598272608</v>
      </c>
      <c r="M155" s="156">
        <f t="shared" si="131"/>
        <v>800651.96598272608</v>
      </c>
      <c r="N155" s="156">
        <f t="shared" si="131"/>
        <v>800651.96598272608</v>
      </c>
      <c r="O155" s="156">
        <f t="shared" si="131"/>
        <v>800651.96598272608</v>
      </c>
      <c r="P155" s="156">
        <f t="shared" si="131"/>
        <v>800651.96598272608</v>
      </c>
      <c r="Q155" s="156">
        <f t="shared" si="131"/>
        <v>800651.96598272608</v>
      </c>
      <c r="R155" s="156">
        <f t="shared" si="131"/>
        <v>800651.96598272608</v>
      </c>
      <c r="S155" s="156">
        <f t="shared" si="131"/>
        <v>800651.96598272608</v>
      </c>
      <c r="T155" s="156">
        <f t="shared" si="131"/>
        <v>800651.96598272608</v>
      </c>
      <c r="U155" s="156">
        <f t="shared" si="131"/>
        <v>800651.96598272608</v>
      </c>
      <c r="V155" s="156">
        <f t="shared" si="131"/>
        <v>800651.96598272608</v>
      </c>
      <c r="W155" s="156">
        <f t="shared" si="131"/>
        <v>970919.06456158368</v>
      </c>
      <c r="X155" s="156">
        <f t="shared" si="131"/>
        <v>143725.78962118278</v>
      </c>
      <c r="Y155" s="156">
        <f t="shared" si="131"/>
        <v>363346.24344874092</v>
      </c>
      <c r="Z155" s="156">
        <f t="shared" si="131"/>
        <v>363346.24344874092</v>
      </c>
      <c r="AA155" s="156">
        <f t="shared" si="131"/>
        <v>535368.67294078262</v>
      </c>
      <c r="AH155" s="162"/>
    </row>
    <row spans="2:34" r="156" x14ac:dyDescent="0.25">
      <c r="AH156" s="156"/>
    </row>
    <row spans="2:34" r="157" x14ac:dyDescent="0.25">
      <c r="B157" s="8" t="s">
        <v>95</v>
      </c>
      <c r="C157" s="8">
        <v>0.5</v>
      </c>
      <c r="D157" s="8">
        <f>C157+1</f>
        <v>1.5</v>
      </c>
      <c r="E157" s="8">
        <f ref="E157:AA157" t="shared" si="132">D157+1</f>
        <v>2.5</v>
      </c>
      <c r="F157" s="8">
        <f t="shared" si="132"/>
        <v>3.5</v>
      </c>
      <c r="G157" s="8">
        <f t="shared" si="132"/>
        <v>4.5</v>
      </c>
      <c r="H157" s="8">
        <f t="shared" si="132"/>
        <v>5.5</v>
      </c>
      <c r="I157" s="8">
        <f t="shared" si="132"/>
        <v>6.5</v>
      </c>
      <c r="J157" s="8">
        <f t="shared" si="132"/>
        <v>7.5</v>
      </c>
      <c r="K157" s="8">
        <f t="shared" si="132"/>
        <v>8.5</v>
      </c>
      <c r="L157" s="8">
        <f t="shared" si="132"/>
        <v>9.5</v>
      </c>
      <c r="M157" s="8">
        <f t="shared" si="132"/>
        <v>10.5</v>
      </c>
      <c r="N157" s="8">
        <f t="shared" si="132"/>
        <v>11.5</v>
      </c>
      <c r="O157" s="8">
        <f t="shared" si="132"/>
        <v>12.5</v>
      </c>
      <c r="P157" s="8">
        <f t="shared" si="132"/>
        <v>13.5</v>
      </c>
      <c r="Q157" s="8">
        <f t="shared" si="132"/>
        <v>14.5</v>
      </c>
      <c r="R157" s="8">
        <f t="shared" si="132"/>
        <v>15.5</v>
      </c>
      <c r="S157" s="8">
        <f t="shared" si="132"/>
        <v>16.5</v>
      </c>
      <c r="T157" s="8">
        <f t="shared" si="132"/>
        <v>17.5</v>
      </c>
      <c r="U157" s="8">
        <f t="shared" si="132"/>
        <v>18.5</v>
      </c>
      <c r="V157" s="8">
        <f t="shared" si="132"/>
        <v>19.5</v>
      </c>
      <c r="W157" s="8">
        <f t="shared" si="132"/>
        <v>20.5</v>
      </c>
      <c r="X157" s="8">
        <f t="shared" si="132"/>
        <v>21.5</v>
      </c>
      <c r="Y157" s="8">
        <f t="shared" si="132"/>
        <v>22.5</v>
      </c>
      <c r="Z157" s="8">
        <f t="shared" si="132"/>
        <v>23.5</v>
      </c>
      <c r="AA157" s="8">
        <f t="shared" si="132"/>
        <v>24.5</v>
      </c>
      <c r="AH157" s="156"/>
    </row>
    <row spans="2:34" r="158" x14ac:dyDescent="0.25">
      <c r="AH158" s="156"/>
    </row>
    <row spans="2:34" r="159" x14ac:dyDescent="0.25">
      <c r="B159" s="151" t="s">
        <v>96</v>
      </c>
      <c r="C159" s="156">
        <f>C155/(1+$G$164)^C157</f>
        <v>295079.4040539139</v>
      </c>
      <c r="D159" s="156">
        <f ref="D159:AA159" t="shared" si="133">D155/(1+$G$164)^D157</f>
        <v>-277217.62402711826</v>
      </c>
      <c r="E159" s="156">
        <f t="shared" si="133"/>
        <v>-56672.756838124013</v>
      </c>
      <c r="F159" s="156">
        <f t="shared" si="133"/>
        <v>-53349.425345319716</v>
      </c>
      <c r="G159" s="156">
        <f t="shared" si="133"/>
        <v>-146579.02475797845</v>
      </c>
      <c r="H159" s="156">
        <f t="shared" si="133"/>
        <v>428538.12180232746</v>
      </c>
      <c r="I159" s="156">
        <f t="shared" si="133"/>
        <v>573293.55184696673</v>
      </c>
      <c r="J159" s="156">
        <f t="shared" si="133"/>
        <v>411709.58548382908</v>
      </c>
      <c r="K159" s="156">
        <f t="shared" si="133"/>
        <v>376770.83036072348</v>
      </c>
      <c r="L159" s="156">
        <f t="shared" si="133"/>
        <v>344797.06962344871</v>
      </c>
      <c r="M159" s="156">
        <f t="shared" si="133"/>
        <v>315536.68607279367</v>
      </c>
      <c r="N159" s="156">
        <f t="shared" si="133"/>
        <v>288759.41540493199</v>
      </c>
      <c r="O159" s="156">
        <f t="shared" si="133"/>
        <v>264254.53414872359</v>
      </c>
      <c r="P159" s="156">
        <f t="shared" si="133"/>
        <v>241829.20137940615</v>
      </c>
      <c r="Q159" s="156">
        <f t="shared" si="133"/>
        <v>221306.94115881401</v>
      </c>
      <c r="R159" s="156">
        <f t="shared" si="133"/>
        <v>202526.25375969819</v>
      </c>
      <c r="S159" s="156">
        <f t="shared" si="133"/>
        <v>185339.34474519343</v>
      </c>
      <c r="T159" s="156">
        <f t="shared" si="133"/>
        <v>169610.96190193432</v>
      </c>
      <c r="U159" s="156">
        <f t="shared" si="133"/>
        <v>155217.33087407757</v>
      </c>
      <c r="V159" s="156">
        <f t="shared" si="133"/>
        <v>142045.18112221209</v>
      </c>
      <c r="W159" s="156">
        <f t="shared" si="133"/>
        <v>157634.78297154969</v>
      </c>
      <c r="X159" s="156">
        <f t="shared" si="133"/>
        <v>21354.530208428507</v>
      </c>
      <c r="Y159" s="156">
        <f t="shared" si="133"/>
        <v>49404.019742654586</v>
      </c>
      <c r="Z159" s="156">
        <f t="shared" si="133"/>
        <v>45211.465066383906</v>
      </c>
      <c r="AA159" s="156">
        <f t="shared" si="133"/>
        <v>60963.115691485764</v>
      </c>
    </row>
    <row spans="2:34" r="160" x14ac:dyDescent="0.25">
      <c r="B160" s="151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</row>
    <row spans="1:27" r="161" x14ac:dyDescent="0.25">
      <c r="B161" s="151"/>
      <c r="C161" s="156" t="s">
        <v>97</v>
      </c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</row>
    <row spans="1:27" r="162" x14ac:dyDescent="0.25">
      <c r="B162" s="151"/>
      <c r="C162" s="177">
        <f>SUM(C159:AA159)</f>
        <v>4417363.496450956</v>
      </c>
      <c r="D162" s="156"/>
      <c r="E162" s="156"/>
      <c r="F162" s="31" t="s">
        <v>98</v>
      </c>
      <c r="G162" s="32"/>
      <c r="H162" s="33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</row>
    <row spans="1:27" r="163" x14ac:dyDescent="0.25">
      <c r="F163" s="72" t="s">
        <v>99</v>
      </c>
      <c r="G163" s="24" t="s">
        <v>100</v>
      </c>
      <c r="H163" s="285" t="s">
        <v>101</v>
      </c>
    </row>
    <row spans="1:27" r="164" x14ac:dyDescent="0.25">
      <c r="A164" s="8" t="s">
        <v>40</v>
      </c>
      <c r="B164" s="31" t="s">
        <v>102</v>
      </c>
      <c r="C164" s="33"/>
      <c r="F164" s="286">
        <f>G164-0.005</f>
        <v>8.7732112753142258E-2</v>
      </c>
      <c r="G164" s="157">
        <f>WACC!C23</f>
        <v>9.2732112753142262E-2</v>
      </c>
      <c r="H164" s="287">
        <f>G164+0.005</f>
        <v>9.7732112753142267E-2</v>
      </c>
    </row>
    <row spans="1:27" r="165" x14ac:dyDescent="0.25">
      <c r="B165" s="159" t="s">
        <v>103</v>
      </c>
      <c r="C165" s="283">
        <f>C162</f>
        <v>4417363.496450956</v>
      </c>
      <c r="F165" s="159"/>
      <c r="H165" s="288"/>
    </row>
    <row spans="1:27" r="166" x14ac:dyDescent="0.25">
      <c r="B166" s="159" t="s">
        <v>104</v>
      </c>
      <c r="C166" s="283">
        <f>SUM('Liquidity Position'!E6:E7)</f>
        <v>510000</v>
      </c>
      <c r="F166" s="72" t="s">
        <v>101</v>
      </c>
      <c r="G166" s="24" t="s">
        <v>100</v>
      </c>
      <c r="H166" s="285" t="s">
        <v>99</v>
      </c>
    </row>
    <row spans="1:27" r="167" x14ac:dyDescent="0.25">
      <c r="B167" s="159" t="s">
        <v>105</v>
      </c>
      <c r="C167" s="283">
        <f>'Liquidity Position'!E8*1.3</f>
        <v>644155.20000000007</v>
      </c>
      <c r="F167" s="289">
        <v>39.36</v>
      </c>
      <c r="G167" s="290">
        <v>41.49</v>
      </c>
      <c r="H167" s="291">
        <v>43.78</v>
      </c>
    </row>
    <row spans="1:27" r="168" x14ac:dyDescent="0.25">
      <c r="B168" s="159" t="s">
        <v>106</v>
      </c>
      <c r="C168" s="283">
        <f>'Liquidity Position'!E9*1.3</f>
        <v>170992.12</v>
      </c>
    </row>
    <row spans="1:27" r="169" x14ac:dyDescent="0.25">
      <c r="B169" s="159" t="s">
        <v>107</v>
      </c>
      <c r="C169" s="283">
        <f>'Liquidity Position'!E10*1.3</f>
        <v>62400</v>
      </c>
    </row>
    <row spans="1:27" r="170" x14ac:dyDescent="0.25">
      <c r="B170" s="159" t="s">
        <v>108</v>
      </c>
      <c r="C170" s="283">
        <v>400000</v>
      </c>
    </row>
    <row spans="1:27" r="171" x14ac:dyDescent="0.25">
      <c r="B171" s="159" t="s">
        <v>109</v>
      </c>
      <c r="C171" s="283">
        <f>WACC!C20*1000</f>
        <v>1656000</v>
      </c>
    </row>
    <row spans="1:27" r="172" x14ac:dyDescent="0.25">
      <c r="B172" s="159" t="s">
        <v>110</v>
      </c>
      <c r="C172" s="283">
        <f>WACC!C18*1000</f>
        <v>108222.60400000001</v>
      </c>
    </row>
    <row spans="1:27" r="173" x14ac:dyDescent="0.25">
      <c r="B173" s="273" t="s">
        <v>111</v>
      </c>
      <c r="C173" s="284">
        <f>(SUM(C165:C170)-C171)/C172</f>
        <v>42.032908545158975</v>
      </c>
    </row>
    <row spans="1:27" r="176" x14ac:dyDescent="0.25">
      <c r="B176" s="24" t="str">
        <f>B164</f>
        <v>Sum of the Parts Valuation</v>
      </c>
      <c r="C176" s="24"/>
    </row>
    <row spans="2:10" r="177" x14ac:dyDescent="0.25">
      <c r="B177" s="8" t="str">
        <f>B165</f>
        <v>PV of FLNG Cash Flows</v>
      </c>
      <c r="C177" s="271">
        <f>C165/$C$172</f>
        <v>40.817383182268983</v>
      </c>
      <c r="F177" s="2"/>
      <c r="G177" s="2" t="s">
        <v>560</v>
      </c>
      <c r="H177" s="2" t="s">
        <v>561</v>
      </c>
      <c r="I177" s="2" t="s">
        <v>562</v>
      </c>
      <c r="J177" s="2" t="s">
        <v>563</v>
      </c>
    </row>
    <row spans="2:10" r="178" x14ac:dyDescent="0.25">
      <c r="B178" s="8" t="str">
        <f ref="B178:B185" t="shared" si="134">B166</f>
        <v>Cash</v>
      </c>
      <c r="C178" s="271">
        <f ref="C178:C183" t="shared" si="135">C166/$C$172</f>
        <v>4.7125090429352445</v>
      </c>
      <c r="F178" s="2" t="s">
        <v>163</v>
      </c>
      <c r="G178" s="2"/>
      <c r="H178" s="2"/>
      <c r="I178" s="2"/>
      <c r="J178" s="205">
        <f>C177</f>
        <v>40.817383182268983</v>
      </c>
    </row>
    <row spans="2:10" r="179" x14ac:dyDescent="0.25">
      <c r="B179" s="8" t="str">
        <f t="shared" si="134"/>
        <v>NFE Shares Appreciate 30%</v>
      </c>
      <c r="C179" s="271">
        <f t="shared" si="135"/>
        <v>5.9521317746152187</v>
      </c>
      <c r="F179" s="2" t="str">
        <f>B178</f>
        <v>Cash</v>
      </c>
      <c r="G179" s="2">
        <f>J178</f>
        <v>40.817383182268983</v>
      </c>
      <c r="H179" s="2"/>
      <c r="I179" s="205">
        <f>C178</f>
        <v>4.7125090429352445</v>
      </c>
      <c r="J179" s="2"/>
    </row>
    <row spans="2:10" r="180" x14ac:dyDescent="0.25">
      <c r="B180" s="8" t="str">
        <f t="shared" si="134"/>
        <v>CoolCo Shares Appreciate 30%</v>
      </c>
      <c r="C180" s="271">
        <f t="shared" si="135"/>
        <v>1.5800037485699381</v>
      </c>
      <c r="F180" s="2" t="str">
        <f ref="F180:F185" t="shared" si="136">B179</f>
        <v>NFE Shares Appreciate 30%</v>
      </c>
      <c r="G180" s="2">
        <f>SUM(G179:I179)</f>
        <v>45.529892225204229</v>
      </c>
      <c r="H180" s="2"/>
      <c r="I180" s="205">
        <f ref="I180:I184" t="shared" si="137">C179</f>
        <v>5.9521317746152187</v>
      </c>
      <c r="J180" s="2"/>
    </row>
    <row spans="2:10" r="181" x14ac:dyDescent="0.25">
      <c r="B181" s="8" t="str">
        <f t="shared" si="134"/>
        <v>Avenier LNG Shares Appreciate 30%</v>
      </c>
      <c r="C181" s="271">
        <f t="shared" si="135"/>
        <v>0.57658934172384169</v>
      </c>
      <c r="F181" s="2" t="str">
        <f t="shared" si="136"/>
        <v>CoolCo Shares Appreciate 30%</v>
      </c>
      <c r="G181" s="2">
        <f ref="G181:G183" t="shared" si="138">SUM(G180:I180)</f>
        <v>51.482023999819447</v>
      </c>
      <c r="H181" s="2"/>
      <c r="I181" s="205">
        <f t="shared" si="137"/>
        <v>1.5800037485699381</v>
      </c>
      <c r="J181" s="2"/>
    </row>
    <row spans="2:10" r="182" x14ac:dyDescent="0.25">
      <c r="B182" s="8" t="str">
        <f t="shared" si="134"/>
        <v>Golar Tundra FLNG Valued at 400m</v>
      </c>
      <c r="C182" s="271">
        <f t="shared" si="135"/>
        <v>3.6960855238707802</v>
      </c>
      <c r="F182" s="2" t="str">
        <f t="shared" si="136"/>
        <v>Avenier LNG Shares Appreciate 30%</v>
      </c>
      <c r="G182" s="2">
        <f t="shared" si="138"/>
        <v>53.062027748389383</v>
      </c>
      <c r="H182" s="2"/>
      <c r="I182" s="205">
        <f t="shared" si="137"/>
        <v>0.57658934172384169</v>
      </c>
      <c r="J182" s="2"/>
    </row>
    <row spans="2:10" r="183" x14ac:dyDescent="0.25">
      <c r="B183" s="8" t="str">
        <f t="shared" si="134"/>
        <v>Debt</v>
      </c>
      <c r="C183" s="271">
        <f t="shared" si="135"/>
        <v>15.30179406882503</v>
      </c>
      <c r="F183" s="2" t="str">
        <f t="shared" si="136"/>
        <v>Golar Tundra FLNG Valued at 400m</v>
      </c>
      <c r="G183" s="2">
        <f t="shared" si="138"/>
        <v>53.638617090113222</v>
      </c>
      <c r="H183" s="2"/>
      <c r="I183" s="205">
        <f t="shared" si="137"/>
        <v>3.6960855238707802</v>
      </c>
      <c r="J183" s="2"/>
    </row>
    <row spans="2:10" r="184" x14ac:dyDescent="0.25">
      <c r="B184" s="8" t="str">
        <f t="shared" si="134"/>
        <v>Shares Outstanding</v>
      </c>
      <c r="C184" s="156">
        <f>C172</f>
        <v>108222.60400000001</v>
      </c>
      <c r="F184" s="2" t="str">
        <f t="shared" si="136"/>
        <v>Debt</v>
      </c>
      <c r="G184" s="2">
        <v>15.30179406882503</v>
      </c>
      <c r="H184" s="2">
        <v>15.30179406882503</v>
      </c>
      <c r="I184" s="2">
        <v>15.30179406882503</v>
      </c>
      <c r="J184" s="2"/>
    </row>
    <row spans="2:10" r="185" x14ac:dyDescent="0.25">
      <c r="B185" s="8" t="str">
        <f t="shared" si="134"/>
        <v>Share Price - Bull Case</v>
      </c>
      <c r="F185" s="2" t="s">
        <v>712</v>
      </c>
      <c r="G185" s="2"/>
      <c r="H185" s="2"/>
      <c r="I185" s="205">
        <f>C173</f>
        <v>42.032908545158975</v>
      </c>
      <c r="J185" s="2"/>
    </row>
  </sheetData>
  <pageMargins top="0.75" left="0.7" footer="0.3" bottom="0.75" header="0.3" right="0.7"/>
  <pageSetup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EC42A-D51B-4941-8080-495A737CFA10}">
  <sheetPr>
    <tabColor rgb="FFFF0000"/>
  </sheetPr>
  <dimension ref="A1:AI236"/>
  <sheetViews>
    <sheetView workbookViewId="0" showGridLines="0" topLeftCell="A142">
      <selection activeCell="B168" sqref="B168"/>
    </sheetView>
  </sheetViews>
  <sheetFormatPr defaultColWidth="8.7109375" outlineLevelRow="1" defaultRowHeight="15" outlineLevelCol="1" x14ac:dyDescent="0.25"/>
  <cols>
    <col customWidth="1" min="1" max="1" width="2.140625" style="8" bestFit="1"/>
    <col customWidth="1" min="2" max="2" width="58.140625" style="8" bestFit="1"/>
    <col min="3" max="4" width="8.7109375" style="8"/>
    <col customWidth="1" min="5" max="5" width="10.140625" style="8" bestFit="1"/>
    <col min="6" max="12" width="8.7109375" style="8"/>
    <col outlineLevel="1" customWidth="1" min="13" hidden="1" max="27" width="8.7109375" style="8"/>
    <col min="28" max="28" collapsed="1" width="8.7109375" style="8"/>
    <col customWidth="1" min="29" max="29" width="25.140625" style="8" bestFit="1"/>
    <col customWidth="1" min="30" max="34" width="8.7109375" style="8"/>
    <col customWidth="1" min="35" max="35" width="9" style="8" bestFit="1"/>
    <col min="36" max="16384" width="8.7109375" style="8"/>
  </cols>
  <sheetData>
    <row spans="1:31" outlineLevel="1" r="1" hidden="1" x14ac:dyDescent="0.25"/>
    <row spans="1:31" outlineLevel="1" r="2" hidden="1" x14ac:dyDescent="0.25">
      <c r="A2" s="151" t="s">
        <v>6</v>
      </c>
    </row>
    <row spans="1:31" outlineLevel="1" r="3" hidden="1" x14ac:dyDescent="0.25"/>
    <row spans="1:31" outlineLevel="1" r="4" hidden="1" x14ac:dyDescent="0.25">
      <c r="B4" s="24" t="s">
        <v>8</v>
      </c>
      <c r="C4" s="24">
        <v>2019</v>
      </c>
      <c r="D4" s="24">
        <v>2020</v>
      </c>
      <c r="E4" s="24">
        <v>2021</v>
      </c>
      <c r="F4" s="24">
        <v>2022</v>
      </c>
      <c r="G4" s="24">
        <f>F4+1</f>
        <v>2023</v>
      </c>
      <c r="H4" s="24">
        <f ref="H4:Z4" t="shared" si="0">G4+1</f>
        <v>2024</v>
      </c>
      <c r="I4" s="24">
        <f t="shared" si="0"/>
        <v>2025</v>
      </c>
      <c r="J4" s="24">
        <f t="shared" si="0"/>
        <v>2026</v>
      </c>
      <c r="K4" s="24">
        <f t="shared" si="0"/>
        <v>2027</v>
      </c>
      <c r="L4" s="24">
        <f t="shared" si="0"/>
        <v>2028</v>
      </c>
      <c r="M4" s="24">
        <f>L4+1</f>
        <v>2029</v>
      </c>
      <c r="N4" s="24">
        <f t="shared" si="0"/>
        <v>2030</v>
      </c>
      <c r="O4" s="24">
        <f t="shared" si="0"/>
        <v>2031</v>
      </c>
      <c r="P4" s="24">
        <f t="shared" si="0"/>
        <v>2032</v>
      </c>
      <c r="Q4" s="24">
        <f t="shared" si="0"/>
        <v>2033</v>
      </c>
      <c r="R4" s="24">
        <f t="shared" si="0"/>
        <v>2034</v>
      </c>
      <c r="S4" s="24">
        <f t="shared" si="0"/>
        <v>2035</v>
      </c>
      <c r="T4" s="24">
        <f t="shared" si="0"/>
        <v>2036</v>
      </c>
      <c r="U4" s="24">
        <f t="shared" si="0"/>
        <v>2037</v>
      </c>
      <c r="V4" s="24">
        <f t="shared" si="0"/>
        <v>2038</v>
      </c>
      <c r="W4" s="24">
        <f t="shared" si="0"/>
        <v>2039</v>
      </c>
      <c r="X4" s="24">
        <f t="shared" si="0"/>
        <v>2040</v>
      </c>
      <c r="Y4" s="24">
        <f t="shared" si="0"/>
        <v>2041</v>
      </c>
      <c r="Z4" s="24">
        <f t="shared" si="0"/>
        <v>2042</v>
      </c>
      <c r="AA4" s="24"/>
      <c r="AB4" s="24"/>
      <c r="AC4" s="24"/>
      <c r="AD4" s="24"/>
      <c r="AE4" s="24"/>
    </row>
    <row spans="1:31" outlineLevel="1" r="5" hidden="1" x14ac:dyDescent="0.25">
      <c r="B5" s="2" t="s">
        <v>9</v>
      </c>
      <c r="C5" s="2">
        <v>2.4</v>
      </c>
      <c r="D5" s="2">
        <v>2.4</v>
      </c>
      <c r="E5" s="2">
        <v>2.4</v>
      </c>
      <c r="F5" s="2">
        <v>2.4</v>
      </c>
      <c r="G5" s="2">
        <v>2.4</v>
      </c>
      <c r="H5" s="2">
        <v>2.4</v>
      </c>
      <c r="I5" s="2">
        <v>2.4</v>
      </c>
      <c r="J5" s="2">
        <v>2.4</v>
      </c>
      <c r="K5" s="2">
        <v>2.4</v>
      </c>
      <c r="L5" s="2">
        <v>2.4</v>
      </c>
      <c r="M5" s="2">
        <v>2.4</v>
      </c>
      <c r="N5" s="2">
        <v>2.4</v>
      </c>
      <c r="O5" s="2">
        <v>2.4</v>
      </c>
      <c r="P5" s="2">
        <v>2.4</v>
      </c>
      <c r="Q5" s="2">
        <v>2.4</v>
      </c>
      <c r="R5" s="2">
        <v>2.4</v>
      </c>
      <c r="S5" s="2">
        <v>2.4</v>
      </c>
      <c r="T5" s="2">
        <v>2.4</v>
      </c>
      <c r="U5" s="2">
        <v>2.4</v>
      </c>
      <c r="V5" s="2">
        <v>2.4</v>
      </c>
      <c r="W5" s="2">
        <v>2.4</v>
      </c>
      <c r="X5" s="2">
        <v>2.4</v>
      </c>
      <c r="Y5" s="2">
        <v>2.4</v>
      </c>
      <c r="Z5" s="2">
        <v>2.4</v>
      </c>
      <c r="AA5" s="2"/>
      <c r="AB5" s="2"/>
      <c r="AC5" s="2"/>
      <c r="AD5" s="2"/>
      <c r="AE5" s="2"/>
    </row>
    <row spans="1:31" outlineLevel="1" r="6" hidden="1" x14ac:dyDescent="0.25">
      <c r="B6" s="2" t="s">
        <v>10</v>
      </c>
      <c r="C6" s="2">
        <v>1.2</v>
      </c>
      <c r="D6" s="2">
        <v>1.2</v>
      </c>
      <c r="E6" s="2">
        <v>1.2</v>
      </c>
      <c r="F6" s="2">
        <v>1.2</v>
      </c>
      <c r="G6" s="2">
        <v>1.6</v>
      </c>
      <c r="H6" s="2">
        <v>1.6</v>
      </c>
      <c r="I6" s="2">
        <v>1.6</v>
      </c>
      <c r="J6" s="2">
        <v>1.6</v>
      </c>
      <c r="K6" s="2">
        <v>0</v>
      </c>
      <c r="L6" s="2">
        <v>2.4</v>
      </c>
      <c r="M6" s="2">
        <v>2.4</v>
      </c>
      <c r="N6" s="2">
        <v>2.4</v>
      </c>
      <c r="O6" s="2">
        <v>2.4</v>
      </c>
      <c r="P6" s="2">
        <v>2.4</v>
      </c>
      <c r="Q6" s="2">
        <v>2.4</v>
      </c>
      <c r="R6" s="2">
        <v>2.4</v>
      </c>
      <c r="S6" s="2">
        <v>2.4</v>
      </c>
      <c r="T6" s="2">
        <v>2.4</v>
      </c>
      <c r="U6" s="2">
        <v>2.4</v>
      </c>
      <c r="V6" s="2">
        <v>2.4</v>
      </c>
      <c r="W6" s="2">
        <v>2.4</v>
      </c>
      <c r="X6" s="2">
        <v>2.4</v>
      </c>
      <c r="Y6" s="2">
        <v>2.4</v>
      </c>
      <c r="Z6" s="2">
        <v>2.4</v>
      </c>
      <c r="AA6" s="2"/>
      <c r="AB6" s="2"/>
      <c r="AC6" s="2"/>
      <c r="AD6" s="2"/>
      <c r="AE6" s="2"/>
    </row>
    <row spans="1:31" outlineLevel="1" r="7" hidden="1" x14ac:dyDescent="0.25">
      <c r="B7" s="2" t="s">
        <v>11</v>
      </c>
      <c r="C7" s="20">
        <v>218096</v>
      </c>
      <c r="D7" s="20">
        <v>226061</v>
      </c>
      <c r="E7" s="20">
        <v>221020</v>
      </c>
      <c r="F7" s="20">
        <f>F8*F6</f>
        <v>221725.66666666669</v>
      </c>
      <c r="G7" s="20">
        <f ref="G7:Z7" t="shared" si="1">G8*G6</f>
        <v>295634.22222222225</v>
      </c>
      <c r="H7" s="20">
        <f t="shared" si="1"/>
        <v>295634.22222222225</v>
      </c>
      <c r="I7" s="20">
        <f t="shared" si="1"/>
        <v>295634.22222222225</v>
      </c>
      <c r="J7" s="20">
        <f t="shared" si="1"/>
        <v>295634.22222222225</v>
      </c>
      <c r="K7" s="20">
        <f t="shared" si="1"/>
        <v>0</v>
      </c>
      <c r="L7" s="20">
        <f t="shared" si="1"/>
        <v>443451.33333333337</v>
      </c>
      <c r="M7" s="20">
        <f t="shared" si="1"/>
        <v>443451.33333333337</v>
      </c>
      <c r="N7" s="20">
        <f t="shared" si="1"/>
        <v>443451.33333333337</v>
      </c>
      <c r="O7" s="20">
        <f t="shared" si="1"/>
        <v>443451.33333333337</v>
      </c>
      <c r="P7" s="20">
        <f t="shared" si="1"/>
        <v>443451.33333333337</v>
      </c>
      <c r="Q7" s="20">
        <f t="shared" si="1"/>
        <v>443451.33333333337</v>
      </c>
      <c r="R7" s="20">
        <f t="shared" si="1"/>
        <v>443451.33333333337</v>
      </c>
      <c r="S7" s="20">
        <f t="shared" si="1"/>
        <v>443451.33333333337</v>
      </c>
      <c r="T7" s="20">
        <f t="shared" si="1"/>
        <v>443451.33333333337</v>
      </c>
      <c r="U7" s="20">
        <f t="shared" si="1"/>
        <v>443451.33333333337</v>
      </c>
      <c r="V7" s="20">
        <f t="shared" si="1"/>
        <v>443451.33333333337</v>
      </c>
      <c r="W7" s="20">
        <f t="shared" si="1"/>
        <v>443451.33333333337</v>
      </c>
      <c r="X7" s="20">
        <f t="shared" si="1"/>
        <v>443451.33333333337</v>
      </c>
      <c r="Y7" s="20">
        <f t="shared" si="1"/>
        <v>443451.33333333337</v>
      </c>
      <c r="Z7" s="20">
        <f t="shared" si="1"/>
        <v>443451.33333333337</v>
      </c>
      <c r="AA7" s="20"/>
      <c r="AB7" s="20"/>
      <c r="AC7" s="20"/>
      <c r="AD7" s="20"/>
      <c r="AE7" s="20"/>
    </row>
    <row spans="1:31" outlineLevel="1" r="8" hidden="1" x14ac:dyDescent="0.25">
      <c r="B8" s="18" t="s">
        <v>12</v>
      </c>
      <c r="C8" s="20">
        <f>C7/C6</f>
        <v>181746.66666666669</v>
      </c>
      <c r="D8" s="20">
        <f ref="D8:E8" t="shared" si="2">D7/D6</f>
        <v>188384.16666666669</v>
      </c>
      <c r="E8" s="20">
        <f t="shared" si="2"/>
        <v>184183.33333333334</v>
      </c>
      <c r="F8" s="20">
        <f>AVERAGE($C$8:$E$8)</f>
        <v>184771.38888888891</v>
      </c>
      <c r="G8" s="20">
        <f ref="G8:Z8" t="shared" si="3">AVERAGE($C$8:$E$8)</f>
        <v>184771.38888888891</v>
      </c>
      <c r="H8" s="20">
        <f t="shared" si="3"/>
        <v>184771.38888888891</v>
      </c>
      <c r="I8" s="20">
        <f t="shared" si="3"/>
        <v>184771.38888888891</v>
      </c>
      <c r="J8" s="20">
        <f t="shared" si="3"/>
        <v>184771.38888888891</v>
      </c>
      <c r="K8" s="20"/>
      <c r="L8" s="20">
        <f t="shared" si="3"/>
        <v>184771.38888888891</v>
      </c>
      <c r="M8" s="20">
        <f t="shared" si="3"/>
        <v>184771.38888888891</v>
      </c>
      <c r="N8" s="20">
        <f t="shared" si="3"/>
        <v>184771.38888888891</v>
      </c>
      <c r="O8" s="20">
        <f t="shared" si="3"/>
        <v>184771.38888888891</v>
      </c>
      <c r="P8" s="20">
        <f t="shared" si="3"/>
        <v>184771.38888888891</v>
      </c>
      <c r="Q8" s="20">
        <f t="shared" si="3"/>
        <v>184771.38888888891</v>
      </c>
      <c r="R8" s="20">
        <f t="shared" si="3"/>
        <v>184771.38888888891</v>
      </c>
      <c r="S8" s="20">
        <f t="shared" si="3"/>
        <v>184771.38888888891</v>
      </c>
      <c r="T8" s="20">
        <f t="shared" si="3"/>
        <v>184771.38888888891</v>
      </c>
      <c r="U8" s="20">
        <f t="shared" si="3"/>
        <v>184771.38888888891</v>
      </c>
      <c r="V8" s="20">
        <f t="shared" si="3"/>
        <v>184771.38888888891</v>
      </c>
      <c r="W8" s="20">
        <f t="shared" si="3"/>
        <v>184771.38888888891</v>
      </c>
      <c r="X8" s="20">
        <f t="shared" si="3"/>
        <v>184771.38888888891</v>
      </c>
      <c r="Y8" s="20">
        <f t="shared" si="3"/>
        <v>184771.38888888891</v>
      </c>
      <c r="Z8" s="20">
        <f t="shared" si="3"/>
        <v>184771.38888888891</v>
      </c>
      <c r="AA8" s="20"/>
      <c r="AB8" s="20"/>
      <c r="AC8" s="20"/>
      <c r="AD8" s="20"/>
      <c r="AE8" s="20"/>
    </row>
    <row spans="1:31" outlineLevel="1" r="9" hidden="1" x14ac:dyDescent="0.25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spans="1:31" outlineLevel="1" r="10" hidden="1" x14ac:dyDescent="0.25">
      <c r="B10" s="2" t="s">
        <v>13</v>
      </c>
      <c r="C10" s="20">
        <v>55284</v>
      </c>
      <c r="D10" s="20">
        <v>52104</v>
      </c>
      <c r="E10" s="20">
        <f>E7*E11</f>
        <v>53483.653510713877</v>
      </c>
      <c r="F10" s="20">
        <f>F7*F11</f>
        <v>53654.414670310573</v>
      </c>
      <c r="G10" s="20">
        <f ref="G10:Z10" t="shared" si="4">G7*G11</f>
        <v>71539.219560414087</v>
      </c>
      <c r="H10" s="20">
        <f t="shared" si="4"/>
        <v>71539.219560414087</v>
      </c>
      <c r="I10" s="20">
        <f t="shared" si="4"/>
        <v>71539.219560414087</v>
      </c>
      <c r="J10" s="20">
        <f t="shared" si="4"/>
        <v>71539.219560414087</v>
      </c>
      <c r="K10" s="20">
        <f t="shared" si="4"/>
        <v>0</v>
      </c>
      <c r="L10" s="20">
        <f t="shared" si="4"/>
        <v>107308.82934062115</v>
      </c>
      <c r="M10" s="20">
        <f t="shared" si="4"/>
        <v>107308.82934062115</v>
      </c>
      <c r="N10" s="20">
        <f t="shared" si="4"/>
        <v>107308.82934062115</v>
      </c>
      <c r="O10" s="20">
        <f t="shared" si="4"/>
        <v>107308.82934062115</v>
      </c>
      <c r="P10" s="20">
        <f t="shared" si="4"/>
        <v>107308.82934062115</v>
      </c>
      <c r="Q10" s="20">
        <f t="shared" si="4"/>
        <v>107308.82934062115</v>
      </c>
      <c r="R10" s="20">
        <f t="shared" si="4"/>
        <v>107308.82934062115</v>
      </c>
      <c r="S10" s="20">
        <f t="shared" si="4"/>
        <v>107308.82934062115</v>
      </c>
      <c r="T10" s="20">
        <f t="shared" si="4"/>
        <v>107308.82934062115</v>
      </c>
      <c r="U10" s="20">
        <f t="shared" si="4"/>
        <v>107308.82934062115</v>
      </c>
      <c r="V10" s="20">
        <f t="shared" si="4"/>
        <v>107308.82934062115</v>
      </c>
      <c r="W10" s="20">
        <f t="shared" si="4"/>
        <v>107308.82934062115</v>
      </c>
      <c r="X10" s="20">
        <f t="shared" si="4"/>
        <v>107308.82934062115</v>
      </c>
      <c r="Y10" s="20">
        <f t="shared" si="4"/>
        <v>107308.82934062115</v>
      </c>
      <c r="Z10" s="20">
        <f t="shared" si="4"/>
        <v>107308.82934062115</v>
      </c>
      <c r="AA10" s="20"/>
      <c r="AB10" s="20"/>
      <c r="AC10" s="20"/>
      <c r="AD10" s="20"/>
      <c r="AE10" s="20"/>
    </row>
    <row spans="1:31" outlineLevel="1" r="11" hidden="1" x14ac:dyDescent="0.25">
      <c r="B11" s="18" t="s">
        <v>14</v>
      </c>
      <c r="C11" s="74">
        <f>C10/C7</f>
        <v>0.25348470398356687</v>
      </c>
      <c r="D11" s="74">
        <f ref="D11" t="shared" si="5">D10/D7</f>
        <v>0.23048646161876662</v>
      </c>
      <c r="E11" s="74">
        <f>AVERAGE($C$11:$D$11)</f>
        <v>0.24198558280116675</v>
      </c>
      <c r="F11" s="74">
        <f>AVERAGE($C$11:$E$11)</f>
        <v>0.24198558280116675</v>
      </c>
      <c r="G11" s="76">
        <f ref="G11:Z11" t="shared" si="6">AVERAGE($C$11:$E$11)</f>
        <v>0.24198558280116675</v>
      </c>
      <c r="H11" s="76">
        <f t="shared" si="6"/>
        <v>0.24198558280116675</v>
      </c>
      <c r="I11" s="76">
        <f t="shared" si="6"/>
        <v>0.24198558280116675</v>
      </c>
      <c r="J11" s="76">
        <f t="shared" si="6"/>
        <v>0.24198558280116675</v>
      </c>
      <c r="K11" s="76"/>
      <c r="L11" s="76">
        <f t="shared" si="6"/>
        <v>0.24198558280116675</v>
      </c>
      <c r="M11" s="76">
        <f t="shared" si="6"/>
        <v>0.24198558280116675</v>
      </c>
      <c r="N11" s="76">
        <f t="shared" si="6"/>
        <v>0.24198558280116675</v>
      </c>
      <c r="O11" s="76">
        <f t="shared" si="6"/>
        <v>0.24198558280116675</v>
      </c>
      <c r="P11" s="76">
        <f t="shared" si="6"/>
        <v>0.24198558280116675</v>
      </c>
      <c r="Q11" s="76">
        <f t="shared" si="6"/>
        <v>0.24198558280116675</v>
      </c>
      <c r="R11" s="76">
        <f t="shared" si="6"/>
        <v>0.24198558280116675</v>
      </c>
      <c r="S11" s="76">
        <f t="shared" si="6"/>
        <v>0.24198558280116675</v>
      </c>
      <c r="T11" s="76">
        <f t="shared" si="6"/>
        <v>0.24198558280116675</v>
      </c>
      <c r="U11" s="76">
        <f t="shared" si="6"/>
        <v>0.24198558280116675</v>
      </c>
      <c r="V11" s="76">
        <f t="shared" si="6"/>
        <v>0.24198558280116675</v>
      </c>
      <c r="W11" s="76">
        <f t="shared" si="6"/>
        <v>0.24198558280116675</v>
      </c>
      <c r="X11" s="76">
        <f t="shared" si="6"/>
        <v>0.24198558280116675</v>
      </c>
      <c r="Y11" s="76">
        <f t="shared" si="6"/>
        <v>0.24198558280116675</v>
      </c>
      <c r="Z11" s="76">
        <f t="shared" si="6"/>
        <v>0.24198558280116675</v>
      </c>
      <c r="AA11" s="76"/>
      <c r="AB11" s="76"/>
      <c r="AC11" s="76"/>
      <c r="AD11" s="76"/>
      <c r="AE11" s="76"/>
    </row>
    <row spans="1:31" outlineLevel="1" r="12" hidden="1" x14ac:dyDescent="0.25">
      <c r="B12" s="18"/>
      <c r="C12" s="74"/>
      <c r="D12" s="74"/>
      <c r="E12" s="74"/>
      <c r="F12" s="74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</row>
    <row spans="1:31" outlineLevel="1" r="13" hidden="1" x14ac:dyDescent="0.25">
      <c r="B13" s="2" t="s">
        <v>15</v>
      </c>
      <c r="C13" s="20"/>
      <c r="D13" s="20"/>
      <c r="E13" s="20"/>
      <c r="F13" s="20">
        <f>F20+F26</f>
        <v>173425.1875</v>
      </c>
      <c r="G13" s="20">
        <f ref="G13:J13" t="shared" si="7">G20+G26</f>
        <v>130335.00000000003</v>
      </c>
      <c r="H13" s="20">
        <f t="shared" si="7"/>
        <v>99500</v>
      </c>
      <c r="I13" s="20">
        <f t="shared" si="7"/>
        <v>27000</v>
      </c>
      <c r="J13" s="20">
        <f t="shared" si="7"/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/>
      <c r="AB13" s="20"/>
      <c r="AC13" s="20"/>
      <c r="AD13" s="20"/>
      <c r="AE13" s="20"/>
    </row>
    <row spans="1:31" outlineLevel="1" r="14" hidden="1" x14ac:dyDescent="0.25">
      <c r="B14" s="2"/>
      <c r="C14" s="2"/>
      <c r="D14" s="2"/>
      <c r="E14" s="65"/>
      <c r="F14" s="65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spans="1:31" outlineLevel="1" r="15" hidden="1" x14ac:dyDescent="0.25">
      <c r="B15" s="2" t="s">
        <v>16</v>
      </c>
      <c r="C15" s="2"/>
      <c r="D15" s="2"/>
      <c r="E15" s="65"/>
      <c r="F15" s="6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spans="1:31" outlineLevel="1" r="16" hidden="1" x14ac:dyDescent="0.25">
      <c r="B16" s="69" t="s">
        <v>17</v>
      </c>
      <c r="C16" s="69"/>
      <c r="D16" s="69"/>
      <c r="E16" s="77"/>
      <c r="F16" s="77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</row>
    <row spans="2:31" outlineLevel="1" r="17" hidden="1" x14ac:dyDescent="0.25">
      <c r="B17" s="2" t="s">
        <v>18</v>
      </c>
      <c r="C17" s="2"/>
      <c r="D17" s="2"/>
      <c r="E17" s="65"/>
      <c r="F17" s="65">
        <v>100</v>
      </c>
      <c r="G17" s="20">
        <v>90</v>
      </c>
      <c r="H17" s="20">
        <v>80</v>
      </c>
      <c r="I17" s="20">
        <v>70</v>
      </c>
      <c r="J17" s="20">
        <v>60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spans="2:31" outlineLevel="1" r="18" hidden="1" x14ac:dyDescent="0.25">
      <c r="B18" s="2" t="s">
        <v>19</v>
      </c>
      <c r="C18" s="2"/>
      <c r="D18" s="2"/>
      <c r="E18" s="65"/>
      <c r="F18" s="65">
        <f>F17-60</f>
        <v>40</v>
      </c>
      <c r="G18" s="20">
        <f ref="G18:J18" t="shared" si="8">G17-60</f>
        <v>30</v>
      </c>
      <c r="H18" s="20">
        <f t="shared" si="8"/>
        <v>20</v>
      </c>
      <c r="I18" s="20">
        <f t="shared" si="8"/>
        <v>10</v>
      </c>
      <c r="J18" s="20">
        <f t="shared" si="8"/>
        <v>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spans="2:31" outlineLevel="1" r="19" hidden="1" x14ac:dyDescent="0.25">
      <c r="B19" s="2" t="s">
        <v>20</v>
      </c>
      <c r="C19" s="2"/>
      <c r="D19" s="2"/>
      <c r="E19" s="2"/>
      <c r="F19" s="2">
        <f ref="F19:J19" t="shared" si="9">2.7*1000</f>
        <v>2700</v>
      </c>
      <c r="G19" s="20">
        <f t="shared" si="9"/>
        <v>2700</v>
      </c>
      <c r="H19" s="20">
        <f t="shared" si="9"/>
        <v>2700</v>
      </c>
      <c r="I19" s="20">
        <f t="shared" si="9"/>
        <v>2700</v>
      </c>
      <c r="J19" s="20">
        <f t="shared" si="9"/>
        <v>2700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spans="2:31" outlineLevel="1" r="20" hidden="1" x14ac:dyDescent="0.25">
      <c r="B20" s="2" t="s">
        <v>21</v>
      </c>
      <c r="C20" s="2"/>
      <c r="D20" s="2"/>
      <c r="E20" s="2"/>
      <c r="F20" s="2">
        <f>F19*F18</f>
        <v>108000</v>
      </c>
      <c r="G20" s="20">
        <f ref="G20:J20" t="shared" si="10">G19*G18</f>
        <v>81000</v>
      </c>
      <c r="H20" s="20">
        <f t="shared" si="10"/>
        <v>54000</v>
      </c>
      <c r="I20" s="20">
        <f t="shared" si="10"/>
        <v>27000</v>
      </c>
      <c r="J20" s="20">
        <f t="shared" si="10"/>
        <v>0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spans="2:31" outlineLevel="1" r="21" hidden="1" x14ac:dyDescent="0.25">
      <c r="B21" s="69" t="s">
        <v>22</v>
      </c>
      <c r="C21" s="69"/>
      <c r="D21" s="69"/>
      <c r="E21" s="77"/>
      <c r="F21" s="77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spans="2:31" outlineLevel="1" r="22" hidden="1" x14ac:dyDescent="0.25">
      <c r="B22" s="2" t="s">
        <v>23</v>
      </c>
      <c r="C22" s="2"/>
      <c r="D22" s="2"/>
      <c r="E22" s="2"/>
      <c r="F22" s="2">
        <v>61000</v>
      </c>
      <c r="G22" s="20"/>
      <c r="H22" s="20"/>
      <c r="I22" s="20"/>
      <c r="J22" s="2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spans="2:31" outlineLevel="1" r="23" hidden="1" x14ac:dyDescent="0.25">
      <c r="B23" s="2" t="s">
        <v>24</v>
      </c>
      <c r="C23" s="2"/>
      <c r="D23" s="2"/>
      <c r="E23" s="2"/>
      <c r="F23" s="2">
        <f>'TTF and brentForward Curve'!H4</f>
        <v>34.667499999999997</v>
      </c>
      <c r="G23" s="20">
        <f>'TTF and brentForward Curve'!I4</f>
        <v>22.590000000000003</v>
      </c>
      <c r="H23" s="20">
        <v>22</v>
      </c>
      <c r="I23" s="20">
        <v>15</v>
      </c>
      <c r="J23" s="20">
        <v>15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spans="2:31" outlineLevel="1" r="24" hidden="1" x14ac:dyDescent="0.25">
      <c r="B24" s="2" t="s">
        <v>25</v>
      </c>
      <c r="C24" s="2"/>
      <c r="D24" s="2"/>
      <c r="E24" s="2"/>
      <c r="F24" s="2">
        <f>F23-15</f>
        <v>19.667499999999997</v>
      </c>
      <c r="G24" s="20">
        <f ref="G24:J24" t="shared" si="11">G23-15</f>
        <v>7.5900000000000034</v>
      </c>
      <c r="H24" s="20">
        <f t="shared" si="11"/>
        <v>7</v>
      </c>
      <c r="I24" s="20">
        <f t="shared" si="11"/>
        <v>0</v>
      </c>
      <c r="J24" s="20">
        <f t="shared" si="11"/>
        <v>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spans="2:31" outlineLevel="1" r="25" hidden="1" x14ac:dyDescent="0.25">
      <c r="B25" s="2" t="s">
        <v>26</v>
      </c>
      <c r="C25" s="2"/>
      <c r="D25" s="2"/>
      <c r="E25" s="2"/>
      <c r="F25" s="2">
        <v>900</v>
      </c>
      <c r="G25" s="20">
        <v>6500</v>
      </c>
      <c r="H25" s="20">
        <v>6500</v>
      </c>
      <c r="I25" s="20">
        <v>6500</v>
      </c>
      <c r="J25" s="20">
        <v>6500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spans="2:31" outlineLevel="1" r="26" hidden="1" x14ac:dyDescent="0.25">
      <c r="B26" s="2" t="s">
        <v>27</v>
      </c>
      <c r="C26" s="2"/>
      <c r="D26" s="2"/>
      <c r="E26" s="2"/>
      <c r="F26" s="2">
        <f>F24*F25*0.25+F22</f>
        <v>65425.1875</v>
      </c>
      <c r="G26" s="20">
        <f>G24*G25</f>
        <v>49335.000000000022</v>
      </c>
      <c r="H26" s="20">
        <f ref="H26:J26" t="shared" si="12">H24*H25</f>
        <v>45500</v>
      </c>
      <c r="I26" s="20">
        <f t="shared" si="12"/>
        <v>0</v>
      </c>
      <c r="J26" s="20">
        <f t="shared" si="12"/>
        <v>0</v>
      </c>
      <c r="K26" s="20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spans="2:31" outlineLevel="1" r="27" hidden="1" x14ac:dyDescent="0.2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spans="2:31" outlineLevel="1" r="28" hidden="1" x14ac:dyDescent="0.25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spans="2:31" outlineLevel="1" r="29" hidden="1" x14ac:dyDescent="0.25">
      <c r="B29" s="2" t="s">
        <v>29</v>
      </c>
      <c r="C29" s="20">
        <v>1526</v>
      </c>
      <c r="D29" s="20">
        <v>1672</v>
      </c>
      <c r="E29" s="20">
        <f ref="E29:Z29" t="shared" si="13">E30*E7</f>
        <v>1590.5872880762745</v>
      </c>
      <c r="F29" s="20">
        <f t="shared" si="13"/>
        <v>1595.6656720669505</v>
      </c>
      <c r="G29" s="20">
        <f t="shared" si="13"/>
        <v>2127.5542294226007</v>
      </c>
      <c r="H29" s="20">
        <f t="shared" si="13"/>
        <v>2127.5542294226007</v>
      </c>
      <c r="I29" s="20">
        <f t="shared" si="13"/>
        <v>2127.5542294226007</v>
      </c>
      <c r="J29" s="20">
        <f t="shared" si="13"/>
        <v>2127.5542294226007</v>
      </c>
      <c r="K29" s="20">
        <f t="shared" si="13"/>
        <v>0</v>
      </c>
      <c r="L29" s="20">
        <f t="shared" si="13"/>
        <v>3191.331344133901</v>
      </c>
      <c r="M29" s="20">
        <f t="shared" si="13"/>
        <v>3191.331344133901</v>
      </c>
      <c r="N29" s="20">
        <f t="shared" si="13"/>
        <v>3191.331344133901</v>
      </c>
      <c r="O29" s="20">
        <f t="shared" si="13"/>
        <v>3191.331344133901</v>
      </c>
      <c r="P29" s="20">
        <f t="shared" si="13"/>
        <v>3191.331344133901</v>
      </c>
      <c r="Q29" s="20">
        <f t="shared" si="13"/>
        <v>3191.331344133901</v>
      </c>
      <c r="R29" s="20">
        <f t="shared" si="13"/>
        <v>3191.331344133901</v>
      </c>
      <c r="S29" s="20">
        <f t="shared" si="13"/>
        <v>3191.331344133901</v>
      </c>
      <c r="T29" s="20">
        <f t="shared" si="13"/>
        <v>3191.331344133901</v>
      </c>
      <c r="U29" s="20">
        <f t="shared" si="13"/>
        <v>3191.331344133901</v>
      </c>
      <c r="V29" s="20">
        <f t="shared" si="13"/>
        <v>3191.331344133901</v>
      </c>
      <c r="W29" s="20">
        <f t="shared" si="13"/>
        <v>3191.331344133901</v>
      </c>
      <c r="X29" s="20">
        <f t="shared" si="13"/>
        <v>3191.331344133901</v>
      </c>
      <c r="Y29" s="20">
        <f t="shared" si="13"/>
        <v>3191.331344133901</v>
      </c>
      <c r="Z29" s="20">
        <f t="shared" si="13"/>
        <v>3191.331344133901</v>
      </c>
      <c r="AA29" s="20"/>
      <c r="AB29" s="20"/>
      <c r="AC29" s="20"/>
      <c r="AD29" s="20"/>
      <c r="AE29" s="20"/>
    </row>
    <row spans="2:31" outlineLevel="1" r="30" hidden="1" x14ac:dyDescent="0.25">
      <c r="B30" s="18" t="s">
        <v>14</v>
      </c>
      <c r="C30" s="74">
        <f>C29/C7</f>
        <v>6.996918788056636E-3</v>
      </c>
      <c r="D30" s="74">
        <f>D29/D7</f>
        <v>7.3962337599143592E-3</v>
      </c>
      <c r="E30" s="74">
        <f>AVERAGE($C$30:$D$30)</f>
        <v>7.1965762739854972E-3</v>
      </c>
      <c r="F30" s="74">
        <f>AVERAGE($C$30:$E$30)</f>
        <v>7.1965762739854972E-3</v>
      </c>
      <c r="G30" s="76">
        <f>AVERAGE($C$30:$E$30)</f>
        <v>7.1965762739854972E-3</v>
      </c>
      <c r="H30" s="76">
        <f>AVERAGE($C$30:$E$30)</f>
        <v>7.1965762739854972E-3</v>
      </c>
      <c r="I30" s="76">
        <f>AVERAGE($C$30:$E$30)</f>
        <v>7.1965762739854972E-3</v>
      </c>
      <c r="J30" s="76">
        <f>AVERAGE($C$30:$E$30)</f>
        <v>7.1965762739854972E-3</v>
      </c>
      <c r="K30" s="76"/>
      <c r="L30" s="76">
        <f>AVERAGE($C$30:$E$30)</f>
        <v>7.1965762739854972E-3</v>
      </c>
      <c r="M30" s="76">
        <f ref="M30:Z30" t="shared" si="14">AVERAGE($C$30:$E$30)</f>
        <v>7.1965762739854972E-3</v>
      </c>
      <c r="N30" s="76">
        <f t="shared" si="14"/>
        <v>7.1965762739854972E-3</v>
      </c>
      <c r="O30" s="76">
        <f t="shared" si="14"/>
        <v>7.1965762739854972E-3</v>
      </c>
      <c r="P30" s="76">
        <f t="shared" si="14"/>
        <v>7.1965762739854972E-3</v>
      </c>
      <c r="Q30" s="76">
        <f t="shared" si="14"/>
        <v>7.1965762739854972E-3</v>
      </c>
      <c r="R30" s="76">
        <f t="shared" si="14"/>
        <v>7.1965762739854972E-3</v>
      </c>
      <c r="S30" s="76">
        <f t="shared" si="14"/>
        <v>7.1965762739854972E-3</v>
      </c>
      <c r="T30" s="76">
        <f t="shared" si="14"/>
        <v>7.1965762739854972E-3</v>
      </c>
      <c r="U30" s="76">
        <f t="shared" si="14"/>
        <v>7.1965762739854972E-3</v>
      </c>
      <c r="V30" s="76">
        <f t="shared" si="14"/>
        <v>7.1965762739854972E-3</v>
      </c>
      <c r="W30" s="76">
        <f t="shared" si="14"/>
        <v>7.1965762739854972E-3</v>
      </c>
      <c r="X30" s="76">
        <f t="shared" si="14"/>
        <v>7.1965762739854972E-3</v>
      </c>
      <c r="Y30" s="76">
        <f t="shared" si="14"/>
        <v>7.1965762739854972E-3</v>
      </c>
      <c r="Z30" s="76">
        <f t="shared" si="14"/>
        <v>7.1965762739854972E-3</v>
      </c>
      <c r="AA30" s="76"/>
      <c r="AB30" s="76"/>
      <c r="AC30" s="76"/>
      <c r="AD30" s="76"/>
      <c r="AE30" s="76"/>
    </row>
    <row spans="2:31" outlineLevel="1" r="31" hidden="1" x14ac:dyDescent="0.25">
      <c r="B31" s="2" t="s">
        <v>30</v>
      </c>
      <c r="C31" s="20">
        <v>3173</v>
      </c>
      <c r="D31" s="20">
        <v>2793</v>
      </c>
      <c r="E31" s="20">
        <f ref="E31:Z31" t="shared" si="15">E32*E7</f>
        <v>2973.12915066914</v>
      </c>
      <c r="F31" s="20">
        <f t="shared" si="15"/>
        <v>2982.6216768537488</v>
      </c>
      <c r="G31" s="20">
        <f t="shared" si="15"/>
        <v>3976.8289024716651</v>
      </c>
      <c r="H31" s="20">
        <f t="shared" si="15"/>
        <v>3976.8289024716651</v>
      </c>
      <c r="I31" s="20">
        <f t="shared" si="15"/>
        <v>3976.8289024716651</v>
      </c>
      <c r="J31" s="20">
        <f t="shared" si="15"/>
        <v>3976.8289024716651</v>
      </c>
      <c r="K31" s="20">
        <f t="shared" si="15"/>
        <v>0</v>
      </c>
      <c r="L31" s="20">
        <f t="shared" si="15"/>
        <v>5965.2433537074976</v>
      </c>
      <c r="M31" s="20">
        <f t="shared" si="15"/>
        <v>5965.2433537074976</v>
      </c>
      <c r="N31" s="20">
        <f t="shared" si="15"/>
        <v>5965.2433537074976</v>
      </c>
      <c r="O31" s="20">
        <f t="shared" si="15"/>
        <v>5965.2433537074976</v>
      </c>
      <c r="P31" s="20">
        <f t="shared" si="15"/>
        <v>5965.2433537074976</v>
      </c>
      <c r="Q31" s="20">
        <f t="shared" si="15"/>
        <v>5965.2433537074976</v>
      </c>
      <c r="R31" s="20">
        <f t="shared" si="15"/>
        <v>5965.2433537074976</v>
      </c>
      <c r="S31" s="20">
        <f t="shared" si="15"/>
        <v>5965.2433537074976</v>
      </c>
      <c r="T31" s="20">
        <f t="shared" si="15"/>
        <v>5965.2433537074976</v>
      </c>
      <c r="U31" s="20">
        <f t="shared" si="15"/>
        <v>5965.2433537074976</v>
      </c>
      <c r="V31" s="20">
        <f t="shared" si="15"/>
        <v>5965.2433537074976</v>
      </c>
      <c r="W31" s="20">
        <f t="shared" si="15"/>
        <v>5965.2433537074976</v>
      </c>
      <c r="X31" s="20">
        <f t="shared" si="15"/>
        <v>5965.2433537074976</v>
      </c>
      <c r="Y31" s="20">
        <f t="shared" si="15"/>
        <v>5965.2433537074976</v>
      </c>
      <c r="Z31" s="20">
        <f t="shared" si="15"/>
        <v>5965.2433537074976</v>
      </c>
      <c r="AA31" s="20"/>
      <c r="AB31" s="20"/>
      <c r="AC31" s="20"/>
      <c r="AD31" s="20"/>
      <c r="AE31" s="20"/>
    </row>
    <row spans="2:31" outlineLevel="1" r="32" hidden="1" x14ac:dyDescent="0.25">
      <c r="B32" s="18" t="s">
        <v>14</v>
      </c>
      <c r="C32" s="74">
        <f>C31/C7</f>
        <v>1.4548639131391681E-2</v>
      </c>
      <c r="D32" s="74">
        <f>D31/D7</f>
        <v>1.2355072303493305E-2</v>
      </c>
      <c r="E32" s="74">
        <f>AVERAGE(C32:D32)</f>
        <v>1.3451855717442493E-2</v>
      </c>
      <c r="F32" s="74">
        <f>AVERAGE($C$32:$E$32)</f>
        <v>1.3451855717442493E-2</v>
      </c>
      <c r="G32" s="76">
        <f>AVERAGE($C$32:$E$32)</f>
        <v>1.3451855717442493E-2</v>
      </c>
      <c r="H32" s="76">
        <f>AVERAGE($C$32:$E$32)</f>
        <v>1.3451855717442493E-2</v>
      </c>
      <c r="I32" s="76">
        <f>AVERAGE($C$32:$E$32)</f>
        <v>1.3451855717442493E-2</v>
      </c>
      <c r="J32" s="76">
        <f>AVERAGE($C$32:$E$32)</f>
        <v>1.3451855717442493E-2</v>
      </c>
      <c r="K32" s="76"/>
      <c r="L32" s="76">
        <f>AVERAGE($C$32:$E$32)</f>
        <v>1.3451855717442493E-2</v>
      </c>
      <c r="M32" s="76">
        <f ref="M32:Z32" t="shared" si="16">AVERAGE($C$32:$E$32)</f>
        <v>1.3451855717442493E-2</v>
      </c>
      <c r="N32" s="76">
        <f t="shared" si="16"/>
        <v>1.3451855717442493E-2</v>
      </c>
      <c r="O32" s="76">
        <f t="shared" si="16"/>
        <v>1.3451855717442493E-2</v>
      </c>
      <c r="P32" s="76">
        <f t="shared" si="16"/>
        <v>1.3451855717442493E-2</v>
      </c>
      <c r="Q32" s="76">
        <f t="shared" si="16"/>
        <v>1.3451855717442493E-2</v>
      </c>
      <c r="R32" s="76">
        <f t="shared" si="16"/>
        <v>1.3451855717442493E-2</v>
      </c>
      <c r="S32" s="76">
        <f t="shared" si="16"/>
        <v>1.3451855717442493E-2</v>
      </c>
      <c r="T32" s="76">
        <f t="shared" si="16"/>
        <v>1.3451855717442493E-2</v>
      </c>
      <c r="U32" s="76">
        <f t="shared" si="16"/>
        <v>1.3451855717442493E-2</v>
      </c>
      <c r="V32" s="76">
        <f t="shared" si="16"/>
        <v>1.3451855717442493E-2</v>
      </c>
      <c r="W32" s="76">
        <f t="shared" si="16"/>
        <v>1.3451855717442493E-2</v>
      </c>
      <c r="X32" s="76">
        <f t="shared" si="16"/>
        <v>1.3451855717442493E-2</v>
      </c>
      <c r="Y32" s="76">
        <f t="shared" si="16"/>
        <v>1.3451855717442493E-2</v>
      </c>
      <c r="Z32" s="76">
        <f t="shared" si="16"/>
        <v>1.3451855717442493E-2</v>
      </c>
      <c r="AA32" s="76"/>
      <c r="AB32" s="76"/>
      <c r="AC32" s="76"/>
      <c r="AD32" s="76"/>
      <c r="AE32" s="76"/>
    </row>
    <row spans="2:32" outlineLevel="1" r="33" hidden="1" x14ac:dyDescent="0.25">
      <c r="B33" s="2" t="s">
        <v>31</v>
      </c>
      <c r="C33" s="2">
        <v>-2962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/>
      <c r="AB33" s="2"/>
      <c r="AC33" s="2"/>
      <c r="AD33" s="2"/>
      <c r="AE33" s="2"/>
    </row>
    <row spans="2:32" outlineLevel="1" r="34" hidden="1" x14ac:dyDescent="0.25">
      <c r="B34" s="18"/>
      <c r="C34" s="74"/>
      <c r="D34" s="74"/>
      <c r="E34" s="74"/>
      <c r="F34" s="74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spans="2:32" outlineLevel="1" r="35" hidden="1" x14ac:dyDescent="0.25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spans="2:32" outlineLevel="1" r="36" hidden="1" x14ac:dyDescent="0.25">
      <c r="B36" s="2" t="s">
        <v>32</v>
      </c>
      <c r="C36" s="20"/>
      <c r="D36" s="20"/>
      <c r="E36" s="20"/>
      <c r="F36" s="20">
        <f ref="F36:Z36" t="shared" si="17">F7-F10+F13-F29-F31</f>
        <v>336918.15214743541</v>
      </c>
      <c r="G36" s="20">
        <f t="shared" si="17"/>
        <v>348325.61952991388</v>
      </c>
      <c r="H36" s="20">
        <f t="shared" si="17"/>
        <v>317490.61952991388</v>
      </c>
      <c r="I36" s="20">
        <f t="shared" si="17"/>
        <v>244990.61952991391</v>
      </c>
      <c r="J36" s="20">
        <f t="shared" si="17"/>
        <v>217990.61952991391</v>
      </c>
      <c r="K36" s="20">
        <f t="shared" si="17"/>
        <v>0</v>
      </c>
      <c r="L36" s="20">
        <f t="shared" si="17"/>
        <v>326985.92929487088</v>
      </c>
      <c r="M36" s="20">
        <f t="shared" si="17"/>
        <v>326985.92929487088</v>
      </c>
      <c r="N36" s="20">
        <f t="shared" si="17"/>
        <v>326985.92929487088</v>
      </c>
      <c r="O36" s="20">
        <f t="shared" si="17"/>
        <v>326985.92929487088</v>
      </c>
      <c r="P36" s="20">
        <f t="shared" si="17"/>
        <v>326985.92929487088</v>
      </c>
      <c r="Q36" s="20">
        <f t="shared" si="17"/>
        <v>326985.92929487088</v>
      </c>
      <c r="R36" s="20">
        <f t="shared" si="17"/>
        <v>326985.92929487088</v>
      </c>
      <c r="S36" s="20">
        <f t="shared" si="17"/>
        <v>326985.92929487088</v>
      </c>
      <c r="T36" s="20">
        <f t="shared" si="17"/>
        <v>326985.92929487088</v>
      </c>
      <c r="U36" s="20">
        <f t="shared" si="17"/>
        <v>326985.92929487088</v>
      </c>
      <c r="V36" s="20">
        <f t="shared" si="17"/>
        <v>326985.92929487088</v>
      </c>
      <c r="W36" s="20">
        <f t="shared" si="17"/>
        <v>326985.92929487088</v>
      </c>
      <c r="X36" s="20">
        <f t="shared" si="17"/>
        <v>326985.92929487088</v>
      </c>
      <c r="Y36" s="20">
        <f t="shared" si="17"/>
        <v>326985.92929487088</v>
      </c>
      <c r="Z36" s="20">
        <f t="shared" si="17"/>
        <v>326985.92929487088</v>
      </c>
      <c r="AA36" s="20"/>
      <c r="AB36" s="20"/>
      <c r="AC36" s="20"/>
      <c r="AD36" s="20"/>
      <c r="AE36" s="20"/>
    </row>
    <row spans="2:32" outlineLevel="1" r="37" hidden="1" x14ac:dyDescent="0.25">
      <c r="B37" s="2"/>
      <c r="C37" s="68"/>
      <c r="D37" s="68"/>
      <c r="E37" s="68"/>
      <c r="F37" s="68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spans="2:32" outlineLevel="1" r="38" hidden="1" x14ac:dyDescent="0.2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spans="2:32" outlineLevel="1" r="39" hidden="1" x14ac:dyDescent="0.25"/>
    <row spans="2:32" outlineLevel="1" r="40" hidden="1" x14ac:dyDescent="0.25"/>
    <row spans="2:32" outlineLevel="1" r="41" s="2" hidden="1" x14ac:dyDescent="0.25" customFormat="1">
      <c r="B41" s="24" t="s">
        <v>33</v>
      </c>
      <c r="C41" s="24">
        <v>2019</v>
      </c>
      <c r="D41" s="24">
        <v>2020</v>
      </c>
      <c r="E41" s="24">
        <v>2021</v>
      </c>
      <c r="F41" s="24">
        <v>2022</v>
      </c>
      <c r="G41" s="24">
        <f>F41+1</f>
        <v>2023</v>
      </c>
      <c r="H41" s="24">
        <f ref="H41:Z41" t="shared" si="18">G41+1</f>
        <v>2024</v>
      </c>
      <c r="I41" s="24">
        <f t="shared" si="18"/>
        <v>2025</v>
      </c>
      <c r="J41" s="24">
        <f t="shared" si="18"/>
        <v>2026</v>
      </c>
      <c r="K41" s="24">
        <f t="shared" si="18"/>
        <v>2027</v>
      </c>
      <c r="L41" s="24">
        <f t="shared" si="18"/>
        <v>2028</v>
      </c>
      <c r="M41" s="24">
        <f>L41+1</f>
        <v>2029</v>
      </c>
      <c r="N41" s="24">
        <f t="shared" si="18"/>
        <v>2030</v>
      </c>
      <c r="O41" s="24">
        <f t="shared" si="18"/>
        <v>2031</v>
      </c>
      <c r="P41" s="24">
        <f t="shared" si="18"/>
        <v>2032</v>
      </c>
      <c r="Q41" s="24">
        <f t="shared" si="18"/>
        <v>2033</v>
      </c>
      <c r="R41" s="24">
        <f t="shared" si="18"/>
        <v>2034</v>
      </c>
      <c r="S41" s="24">
        <f t="shared" si="18"/>
        <v>2035</v>
      </c>
      <c r="T41" s="24">
        <f t="shared" si="18"/>
        <v>2036</v>
      </c>
      <c r="U41" s="24">
        <f t="shared" si="18"/>
        <v>2037</v>
      </c>
      <c r="V41" s="24">
        <f t="shared" si="18"/>
        <v>2038</v>
      </c>
      <c r="W41" s="24">
        <f t="shared" si="18"/>
        <v>2039</v>
      </c>
      <c r="X41" s="24">
        <f t="shared" si="18"/>
        <v>2040</v>
      </c>
      <c r="Y41" s="24">
        <f t="shared" si="18"/>
        <v>2041</v>
      </c>
      <c r="Z41" s="24">
        <f t="shared" si="18"/>
        <v>2042</v>
      </c>
      <c r="AA41" s="24"/>
      <c r="AB41" s="24"/>
      <c r="AC41" s="24"/>
      <c r="AD41" s="24"/>
      <c r="AE41" s="24"/>
      <c r="AF41" s="24"/>
    </row>
    <row spans="2:32" outlineLevel="1" r="42" s="2" hidden="1" x14ac:dyDescent="0.25" customFormat="1">
      <c r="B42" s="2" t="s">
        <v>9</v>
      </c>
      <c r="G42" s="2">
        <v>2.4500000000000002</v>
      </c>
      <c r="H42" s="2">
        <v>2.4500000000000002</v>
      </c>
      <c r="I42" s="2">
        <v>2.4500000000000002</v>
      </c>
      <c r="J42" s="2">
        <v>2.4500000000000002</v>
      </c>
      <c r="K42" s="2">
        <v>2.4500000000000002</v>
      </c>
      <c r="L42" s="2">
        <v>2.4500000000000002</v>
      </c>
      <c r="M42" s="2">
        <v>2.4500000000000002</v>
      </c>
      <c r="N42" s="2">
        <v>2.4500000000000002</v>
      </c>
      <c r="O42" s="2">
        <v>2.4500000000000002</v>
      </c>
      <c r="P42" s="2">
        <v>2.4500000000000002</v>
      </c>
      <c r="Q42" s="2">
        <v>2.4500000000000002</v>
      </c>
      <c r="R42" s="2">
        <v>2.4500000000000002</v>
      </c>
      <c r="S42" s="2">
        <v>2.4500000000000002</v>
      </c>
      <c r="T42" s="2">
        <v>2.4500000000000002</v>
      </c>
      <c r="U42" s="2">
        <v>2.4500000000000002</v>
      </c>
      <c r="V42" s="2">
        <v>2.4500000000000002</v>
      </c>
      <c r="W42" s="2">
        <v>2.4500000000000002</v>
      </c>
      <c r="X42" s="2">
        <v>2.4500000000000002</v>
      </c>
      <c r="Y42" s="2">
        <v>2.4500000000000002</v>
      </c>
      <c r="Z42" s="2">
        <v>2.4500000000000002</v>
      </c>
    </row>
    <row spans="2:32" outlineLevel="1" r="43" s="2" hidden="1" x14ac:dyDescent="0.25" customFormat="1">
      <c r="B43" s="2" t="s">
        <v>10</v>
      </c>
      <c r="G43" s="2">
        <v>2.4500000000000002</v>
      </c>
      <c r="H43" s="2">
        <v>2.4500000000000002</v>
      </c>
      <c r="I43" s="2">
        <v>2.4500000000000002</v>
      </c>
      <c r="J43" s="2">
        <v>2.4500000000000002</v>
      </c>
      <c r="K43" s="2">
        <v>2.4500000000000002</v>
      </c>
      <c r="L43" s="2">
        <v>2.4500000000000002</v>
      </c>
      <c r="M43" s="2">
        <v>2.4500000000000002</v>
      </c>
      <c r="N43" s="2">
        <v>2.4500000000000002</v>
      </c>
      <c r="O43" s="2">
        <v>2.4500000000000002</v>
      </c>
      <c r="P43" s="2">
        <v>2.4500000000000002</v>
      </c>
      <c r="Q43" s="2">
        <v>2.4500000000000002</v>
      </c>
      <c r="R43" s="2">
        <v>2.4500000000000002</v>
      </c>
      <c r="S43" s="2">
        <v>2.4500000000000002</v>
      </c>
      <c r="T43" s="2">
        <v>2.4500000000000002</v>
      </c>
      <c r="U43" s="2">
        <v>2.4500000000000002</v>
      </c>
      <c r="V43" s="2">
        <v>2.4500000000000002</v>
      </c>
      <c r="W43" s="2">
        <v>2.4500000000000002</v>
      </c>
      <c r="X43" s="2">
        <v>2.4500000000000002</v>
      </c>
      <c r="Y43" s="2">
        <v>2.4500000000000002</v>
      </c>
      <c r="Z43" s="2">
        <v>2.4500000000000002</v>
      </c>
    </row>
    <row spans="2:32" outlineLevel="1" r="44" s="2" hidden="1" x14ac:dyDescent="0.25" customFormat="1">
      <c r="B44" s="2" t="s">
        <v>11</v>
      </c>
      <c r="C44" s="20"/>
      <c r="D44" s="20"/>
      <c r="E44" s="20"/>
      <c r="F44" s="20"/>
      <c r="G44" s="20">
        <f>(G45*G43)/4</f>
        <v>113172.47569444447</v>
      </c>
      <c r="H44" s="20">
        <f ref="H44:Z44" t="shared" si="19">H45*H43</f>
        <v>452689.90277777787</v>
      </c>
      <c r="I44" s="20">
        <f t="shared" si="19"/>
        <v>452689.90277777787</v>
      </c>
      <c r="J44" s="20">
        <f t="shared" si="19"/>
        <v>452689.90277777787</v>
      </c>
      <c r="K44" s="20">
        <f t="shared" si="19"/>
        <v>452689.90277777787</v>
      </c>
      <c r="L44" s="20">
        <f t="shared" si="19"/>
        <v>452689.90277777787</v>
      </c>
      <c r="M44" s="20">
        <f t="shared" si="19"/>
        <v>452689.90277777787</v>
      </c>
      <c r="N44" s="20">
        <f t="shared" si="19"/>
        <v>452689.90277777787</v>
      </c>
      <c r="O44" s="20">
        <f t="shared" si="19"/>
        <v>452689.90277777787</v>
      </c>
      <c r="P44" s="20">
        <f t="shared" si="19"/>
        <v>452689.90277777787</v>
      </c>
      <c r="Q44" s="20">
        <f t="shared" si="19"/>
        <v>452689.90277777787</v>
      </c>
      <c r="R44" s="20">
        <f t="shared" si="19"/>
        <v>452689.90277777787</v>
      </c>
      <c r="S44" s="20">
        <f t="shared" si="19"/>
        <v>452689.90277777787</v>
      </c>
      <c r="T44" s="20">
        <f t="shared" si="19"/>
        <v>452689.90277777787</v>
      </c>
      <c r="U44" s="20">
        <f t="shared" si="19"/>
        <v>452689.90277777787</v>
      </c>
      <c r="V44" s="20">
        <f t="shared" si="19"/>
        <v>452689.90277777787</v>
      </c>
      <c r="W44" s="20">
        <f t="shared" si="19"/>
        <v>452689.90277777787</v>
      </c>
      <c r="X44" s="20">
        <f t="shared" si="19"/>
        <v>452689.90277777787</v>
      </c>
      <c r="Y44" s="20">
        <f t="shared" si="19"/>
        <v>452689.90277777787</v>
      </c>
      <c r="Z44" s="20">
        <f t="shared" si="19"/>
        <v>452689.90277777787</v>
      </c>
      <c r="AA44" s="20"/>
      <c r="AB44" s="20"/>
      <c r="AC44" s="20"/>
      <c r="AD44" s="20"/>
      <c r="AE44" s="20"/>
      <c r="AF44" s="20"/>
    </row>
    <row spans="2:32" outlineLevel="1" r="45" s="2" hidden="1" x14ac:dyDescent="0.25" customFormat="1">
      <c r="B45" s="18" t="s">
        <v>12</v>
      </c>
      <c r="C45" s="20"/>
      <c r="D45" s="20"/>
      <c r="E45" s="20"/>
      <c r="F45" s="20"/>
      <c r="G45" s="20">
        <f>AVERAGE($C$8:$E$8)</f>
        <v>184771.38888888891</v>
      </c>
      <c r="H45" s="20">
        <f ref="H45:Z45" t="shared" si="20">AVERAGE($C$8:$E$8)</f>
        <v>184771.38888888891</v>
      </c>
      <c r="I45" s="20">
        <f t="shared" si="20"/>
        <v>184771.38888888891</v>
      </c>
      <c r="J45" s="20">
        <f t="shared" si="20"/>
        <v>184771.38888888891</v>
      </c>
      <c r="K45" s="20">
        <f t="shared" si="20"/>
        <v>184771.38888888891</v>
      </c>
      <c r="L45" s="20">
        <f t="shared" si="20"/>
        <v>184771.38888888891</v>
      </c>
      <c r="M45" s="20">
        <f t="shared" si="20"/>
        <v>184771.38888888891</v>
      </c>
      <c r="N45" s="20">
        <f t="shared" si="20"/>
        <v>184771.38888888891</v>
      </c>
      <c r="O45" s="20">
        <f t="shared" si="20"/>
        <v>184771.38888888891</v>
      </c>
      <c r="P45" s="20">
        <f t="shared" si="20"/>
        <v>184771.38888888891</v>
      </c>
      <c r="Q45" s="20">
        <f t="shared" si="20"/>
        <v>184771.38888888891</v>
      </c>
      <c r="R45" s="20">
        <f t="shared" si="20"/>
        <v>184771.38888888891</v>
      </c>
      <c r="S45" s="20">
        <f t="shared" si="20"/>
        <v>184771.38888888891</v>
      </c>
      <c r="T45" s="20">
        <f t="shared" si="20"/>
        <v>184771.38888888891</v>
      </c>
      <c r="U45" s="20">
        <f t="shared" si="20"/>
        <v>184771.38888888891</v>
      </c>
      <c r="V45" s="20">
        <f t="shared" si="20"/>
        <v>184771.38888888891</v>
      </c>
      <c r="W45" s="20">
        <f t="shared" si="20"/>
        <v>184771.38888888891</v>
      </c>
      <c r="X45" s="20">
        <f t="shared" si="20"/>
        <v>184771.38888888891</v>
      </c>
      <c r="Y45" s="20">
        <f t="shared" si="20"/>
        <v>184771.38888888891</v>
      </c>
      <c r="Z45" s="20">
        <f t="shared" si="20"/>
        <v>184771.38888888891</v>
      </c>
      <c r="AA45" s="20"/>
      <c r="AB45" s="20"/>
      <c r="AC45" s="20"/>
      <c r="AD45" s="20"/>
      <c r="AE45" s="20"/>
      <c r="AF45" s="20"/>
    </row>
    <row spans="2:32" outlineLevel="1" r="46" s="2" hidden="1" x14ac:dyDescent="0.25" customFormat="1"/>
    <row spans="2:32" outlineLevel="1" r="47" s="2" hidden="1" x14ac:dyDescent="0.25" customFormat="1">
      <c r="B47" s="2" t="s">
        <v>13</v>
      </c>
      <c r="C47" s="20"/>
      <c r="D47" s="20"/>
      <c r="E47" s="20"/>
      <c r="F47" s="20"/>
      <c r="G47" s="20">
        <f ref="G47:Z47" t="shared" si="21">G44*G48</f>
        <v>27386.107487971021</v>
      </c>
      <c r="H47" s="20">
        <f t="shared" si="21"/>
        <v>109544.42995188409</v>
      </c>
      <c r="I47" s="20">
        <f t="shared" si="21"/>
        <v>109544.42995188409</v>
      </c>
      <c r="J47" s="20">
        <f t="shared" si="21"/>
        <v>109544.42995188409</v>
      </c>
      <c r="K47" s="20">
        <f t="shared" si="21"/>
        <v>109544.42995188409</v>
      </c>
      <c r="L47" s="20">
        <f t="shared" si="21"/>
        <v>109544.42995188409</v>
      </c>
      <c r="M47" s="20">
        <f t="shared" si="21"/>
        <v>109544.42995188409</v>
      </c>
      <c r="N47" s="20">
        <f t="shared" si="21"/>
        <v>109544.42995188409</v>
      </c>
      <c r="O47" s="20">
        <f t="shared" si="21"/>
        <v>109544.42995188409</v>
      </c>
      <c r="P47" s="20">
        <f t="shared" si="21"/>
        <v>109544.42995188409</v>
      </c>
      <c r="Q47" s="20">
        <f t="shared" si="21"/>
        <v>109544.42995188409</v>
      </c>
      <c r="R47" s="20">
        <f t="shared" si="21"/>
        <v>109544.42995188409</v>
      </c>
      <c r="S47" s="20">
        <f t="shared" si="21"/>
        <v>109544.42995188409</v>
      </c>
      <c r="T47" s="20">
        <f t="shared" si="21"/>
        <v>109544.42995188409</v>
      </c>
      <c r="U47" s="20">
        <f t="shared" si="21"/>
        <v>109544.42995188409</v>
      </c>
      <c r="V47" s="20">
        <f t="shared" si="21"/>
        <v>109544.42995188409</v>
      </c>
      <c r="W47" s="20">
        <f t="shared" si="21"/>
        <v>109544.42995188409</v>
      </c>
      <c r="X47" s="20">
        <f t="shared" si="21"/>
        <v>109544.42995188409</v>
      </c>
      <c r="Y47" s="20">
        <f t="shared" si="21"/>
        <v>109544.42995188409</v>
      </c>
      <c r="Z47" s="20">
        <f t="shared" si="21"/>
        <v>109544.42995188409</v>
      </c>
      <c r="AA47" s="20"/>
      <c r="AB47" s="20"/>
      <c r="AC47" s="20"/>
      <c r="AD47" s="20"/>
      <c r="AE47" s="20"/>
      <c r="AF47" s="20"/>
    </row>
    <row spans="2:32" outlineLevel="1" r="48" s="2" hidden="1" x14ac:dyDescent="0.25" customFormat="1">
      <c r="B48" s="18" t="s">
        <v>14</v>
      </c>
      <c r="C48" s="74"/>
      <c r="D48" s="74"/>
      <c r="E48" s="74"/>
      <c r="F48" s="74"/>
      <c r="G48" s="76">
        <f ref="G48:Z48" t="shared" si="22">AVERAGE($C$11:$E$11)</f>
        <v>0.24198558280116675</v>
      </c>
      <c r="H48" s="76">
        <f t="shared" si="22"/>
        <v>0.24198558280116675</v>
      </c>
      <c r="I48" s="76">
        <f t="shared" si="22"/>
        <v>0.24198558280116675</v>
      </c>
      <c r="J48" s="76">
        <f t="shared" si="22"/>
        <v>0.24198558280116675</v>
      </c>
      <c r="K48" s="76">
        <f t="shared" si="22"/>
        <v>0.24198558280116675</v>
      </c>
      <c r="L48" s="76">
        <f t="shared" si="22"/>
        <v>0.24198558280116675</v>
      </c>
      <c r="M48" s="76">
        <f t="shared" si="22"/>
        <v>0.24198558280116675</v>
      </c>
      <c r="N48" s="76">
        <f t="shared" si="22"/>
        <v>0.24198558280116675</v>
      </c>
      <c r="O48" s="76">
        <f t="shared" si="22"/>
        <v>0.24198558280116675</v>
      </c>
      <c r="P48" s="76">
        <f t="shared" si="22"/>
        <v>0.24198558280116675</v>
      </c>
      <c r="Q48" s="76">
        <f t="shared" si="22"/>
        <v>0.24198558280116675</v>
      </c>
      <c r="R48" s="76">
        <f t="shared" si="22"/>
        <v>0.24198558280116675</v>
      </c>
      <c r="S48" s="76">
        <f t="shared" si="22"/>
        <v>0.24198558280116675</v>
      </c>
      <c r="T48" s="76">
        <f t="shared" si="22"/>
        <v>0.24198558280116675</v>
      </c>
      <c r="U48" s="76">
        <f t="shared" si="22"/>
        <v>0.24198558280116675</v>
      </c>
      <c r="V48" s="76">
        <f t="shared" si="22"/>
        <v>0.24198558280116675</v>
      </c>
      <c r="W48" s="76">
        <f t="shared" si="22"/>
        <v>0.24198558280116675</v>
      </c>
      <c r="X48" s="76">
        <f t="shared" si="22"/>
        <v>0.24198558280116675</v>
      </c>
      <c r="Y48" s="76">
        <f t="shared" si="22"/>
        <v>0.24198558280116675</v>
      </c>
      <c r="Z48" s="76">
        <f t="shared" si="22"/>
        <v>0.24198558280116675</v>
      </c>
      <c r="AA48" s="76"/>
      <c r="AB48" s="76"/>
      <c r="AC48" s="76"/>
      <c r="AD48" s="76"/>
      <c r="AE48" s="76"/>
      <c r="AF48" s="76"/>
    </row>
    <row spans="2:32" outlineLevel="1" r="49" s="2" hidden="1" x14ac:dyDescent="0.25" customFormat="1"/>
    <row spans="2:32" outlineLevel="1" r="50" s="2" hidden="1" x14ac:dyDescent="0.25" customFormat="1">
      <c r="B50" s="2" t="s">
        <v>29</v>
      </c>
      <c r="C50" s="20"/>
      <c r="D50" s="20"/>
      <c r="E50" s="20"/>
      <c r="F50" s="20"/>
      <c r="G50" s="20">
        <f>G51*G44</f>
        <v>814.45435345083945</v>
      </c>
      <c r="H50" s="20">
        <f ref="H50:Z50" t="shared" si="23">H51*H44</f>
        <v>3257.8174138033578</v>
      </c>
      <c r="I50" s="20">
        <f t="shared" si="23"/>
        <v>3257.8174138033578</v>
      </c>
      <c r="J50" s="20">
        <f t="shared" si="23"/>
        <v>3257.8174138033578</v>
      </c>
      <c r="K50" s="20">
        <f t="shared" si="23"/>
        <v>3257.8174138033578</v>
      </c>
      <c r="L50" s="20">
        <f t="shared" si="23"/>
        <v>3257.8174138033578</v>
      </c>
      <c r="M50" s="20">
        <f t="shared" si="23"/>
        <v>3257.8174138033578</v>
      </c>
      <c r="N50" s="20">
        <f t="shared" si="23"/>
        <v>3257.8174138033578</v>
      </c>
      <c r="O50" s="20">
        <f t="shared" si="23"/>
        <v>3257.8174138033578</v>
      </c>
      <c r="P50" s="20">
        <f t="shared" si="23"/>
        <v>3257.8174138033578</v>
      </c>
      <c r="Q50" s="20">
        <f t="shared" si="23"/>
        <v>3257.8174138033578</v>
      </c>
      <c r="R50" s="20">
        <f t="shared" si="23"/>
        <v>3257.8174138033578</v>
      </c>
      <c r="S50" s="20">
        <f t="shared" si="23"/>
        <v>3257.8174138033578</v>
      </c>
      <c r="T50" s="20">
        <f t="shared" si="23"/>
        <v>3257.8174138033578</v>
      </c>
      <c r="U50" s="20">
        <f t="shared" si="23"/>
        <v>3257.8174138033578</v>
      </c>
      <c r="V50" s="20">
        <f t="shared" si="23"/>
        <v>3257.8174138033578</v>
      </c>
      <c r="W50" s="20">
        <f t="shared" si="23"/>
        <v>3257.8174138033578</v>
      </c>
      <c r="X50" s="20">
        <f t="shared" si="23"/>
        <v>3257.8174138033578</v>
      </c>
      <c r="Y50" s="20">
        <f t="shared" si="23"/>
        <v>3257.8174138033578</v>
      </c>
      <c r="Z50" s="20">
        <f t="shared" si="23"/>
        <v>3257.8174138033578</v>
      </c>
      <c r="AA50" s="20"/>
      <c r="AB50" s="20"/>
      <c r="AC50" s="20"/>
      <c r="AD50" s="20"/>
      <c r="AE50" s="20"/>
      <c r="AF50" s="20"/>
    </row>
    <row spans="2:32" outlineLevel="1" r="51" s="2" hidden="1" x14ac:dyDescent="0.25" customFormat="1">
      <c r="B51" s="18" t="s">
        <v>14</v>
      </c>
      <c r="C51" s="74"/>
      <c r="D51" s="74"/>
      <c r="E51" s="74"/>
      <c r="F51" s="74"/>
      <c r="G51" s="76">
        <f ref="G51:Z51" t="shared" si="24">AVERAGE($C$30:$E$30)</f>
        <v>7.1965762739854972E-3</v>
      </c>
      <c r="H51" s="76">
        <f t="shared" si="24"/>
        <v>7.1965762739854972E-3</v>
      </c>
      <c r="I51" s="76">
        <f t="shared" si="24"/>
        <v>7.1965762739854972E-3</v>
      </c>
      <c r="J51" s="76">
        <f t="shared" si="24"/>
        <v>7.1965762739854972E-3</v>
      </c>
      <c r="K51" s="76">
        <f t="shared" si="24"/>
        <v>7.1965762739854972E-3</v>
      </c>
      <c r="L51" s="76">
        <f t="shared" si="24"/>
        <v>7.1965762739854972E-3</v>
      </c>
      <c r="M51" s="76">
        <f t="shared" si="24"/>
        <v>7.1965762739854972E-3</v>
      </c>
      <c r="N51" s="76">
        <f t="shared" si="24"/>
        <v>7.1965762739854972E-3</v>
      </c>
      <c r="O51" s="76">
        <f t="shared" si="24"/>
        <v>7.1965762739854972E-3</v>
      </c>
      <c r="P51" s="76">
        <f t="shared" si="24"/>
        <v>7.1965762739854972E-3</v>
      </c>
      <c r="Q51" s="76">
        <f t="shared" si="24"/>
        <v>7.1965762739854972E-3</v>
      </c>
      <c r="R51" s="76">
        <f t="shared" si="24"/>
        <v>7.1965762739854972E-3</v>
      </c>
      <c r="S51" s="76">
        <f t="shared" si="24"/>
        <v>7.1965762739854972E-3</v>
      </c>
      <c r="T51" s="76">
        <f t="shared" si="24"/>
        <v>7.1965762739854972E-3</v>
      </c>
      <c r="U51" s="76">
        <f t="shared" si="24"/>
        <v>7.1965762739854972E-3</v>
      </c>
      <c r="V51" s="76">
        <f t="shared" si="24"/>
        <v>7.1965762739854972E-3</v>
      </c>
      <c r="W51" s="76">
        <f t="shared" si="24"/>
        <v>7.1965762739854972E-3</v>
      </c>
      <c r="X51" s="76">
        <f t="shared" si="24"/>
        <v>7.1965762739854972E-3</v>
      </c>
      <c r="Y51" s="76">
        <f t="shared" si="24"/>
        <v>7.1965762739854972E-3</v>
      </c>
      <c r="Z51" s="76">
        <f t="shared" si="24"/>
        <v>7.1965762739854972E-3</v>
      </c>
      <c r="AA51" s="76"/>
      <c r="AB51" s="76"/>
      <c r="AC51" s="76"/>
      <c r="AD51" s="76"/>
      <c r="AE51" s="76"/>
      <c r="AF51" s="76"/>
    </row>
    <row spans="2:32" outlineLevel="1" r="52" s="2" hidden="1" x14ac:dyDescent="0.25" customFormat="1">
      <c r="B52" s="2" t="s">
        <v>30</v>
      </c>
      <c r="C52" s="20"/>
      <c r="D52" s="20"/>
      <c r="E52" s="20"/>
      <c r="F52" s="20"/>
      <c r="G52" s="20">
        <f>G53*G44</f>
        <v>1522.3798142274343</v>
      </c>
      <c r="H52" s="20">
        <f ref="H52:Z52" t="shared" si="25">H53*H44</f>
        <v>6089.5192569097371</v>
      </c>
      <c r="I52" s="20">
        <f t="shared" si="25"/>
        <v>6089.5192569097371</v>
      </c>
      <c r="J52" s="20">
        <f t="shared" si="25"/>
        <v>6089.5192569097371</v>
      </c>
      <c r="K52" s="20">
        <f t="shared" si="25"/>
        <v>6089.5192569097371</v>
      </c>
      <c r="L52" s="20">
        <f t="shared" si="25"/>
        <v>6089.5192569097371</v>
      </c>
      <c r="M52" s="20">
        <f t="shared" si="25"/>
        <v>6089.5192569097371</v>
      </c>
      <c r="N52" s="20">
        <f t="shared" si="25"/>
        <v>6089.5192569097371</v>
      </c>
      <c r="O52" s="20">
        <f t="shared" si="25"/>
        <v>6089.5192569097371</v>
      </c>
      <c r="P52" s="20">
        <f t="shared" si="25"/>
        <v>6089.5192569097371</v>
      </c>
      <c r="Q52" s="20">
        <f t="shared" si="25"/>
        <v>6089.5192569097371</v>
      </c>
      <c r="R52" s="20">
        <f t="shared" si="25"/>
        <v>6089.5192569097371</v>
      </c>
      <c r="S52" s="20">
        <f t="shared" si="25"/>
        <v>6089.5192569097371</v>
      </c>
      <c r="T52" s="20">
        <f t="shared" si="25"/>
        <v>6089.5192569097371</v>
      </c>
      <c r="U52" s="20">
        <f t="shared" si="25"/>
        <v>6089.5192569097371</v>
      </c>
      <c r="V52" s="20">
        <f t="shared" si="25"/>
        <v>6089.5192569097371</v>
      </c>
      <c r="W52" s="20">
        <f t="shared" si="25"/>
        <v>6089.5192569097371</v>
      </c>
      <c r="X52" s="20">
        <f t="shared" si="25"/>
        <v>6089.5192569097371</v>
      </c>
      <c r="Y52" s="20">
        <f t="shared" si="25"/>
        <v>6089.5192569097371</v>
      </c>
      <c r="Z52" s="20">
        <f t="shared" si="25"/>
        <v>6089.5192569097371</v>
      </c>
      <c r="AA52" s="20"/>
      <c r="AB52" s="20"/>
      <c r="AC52" s="20"/>
      <c r="AD52" s="20"/>
      <c r="AE52" s="20"/>
      <c r="AF52" s="20"/>
    </row>
    <row spans="2:32" outlineLevel="1" r="53" s="2" hidden="1" x14ac:dyDescent="0.25" customFormat="1">
      <c r="B53" s="18" t="s">
        <v>14</v>
      </c>
      <c r="C53" s="74"/>
      <c r="D53" s="74"/>
      <c r="E53" s="74"/>
      <c r="F53" s="74"/>
      <c r="G53" s="76">
        <f ref="G53:Z53" t="shared" si="26">AVERAGE($C$32:$E$32)</f>
        <v>1.3451855717442493E-2</v>
      </c>
      <c r="H53" s="76">
        <f t="shared" si="26"/>
        <v>1.3451855717442493E-2</v>
      </c>
      <c r="I53" s="76">
        <f t="shared" si="26"/>
        <v>1.3451855717442493E-2</v>
      </c>
      <c r="J53" s="76">
        <f t="shared" si="26"/>
        <v>1.3451855717442493E-2</v>
      </c>
      <c r="K53" s="76">
        <f t="shared" si="26"/>
        <v>1.3451855717442493E-2</v>
      </c>
      <c r="L53" s="76">
        <f t="shared" si="26"/>
        <v>1.3451855717442493E-2</v>
      </c>
      <c r="M53" s="76">
        <f t="shared" si="26"/>
        <v>1.3451855717442493E-2</v>
      </c>
      <c r="N53" s="76">
        <f t="shared" si="26"/>
        <v>1.3451855717442493E-2</v>
      </c>
      <c r="O53" s="76">
        <f t="shared" si="26"/>
        <v>1.3451855717442493E-2</v>
      </c>
      <c r="P53" s="76">
        <f t="shared" si="26"/>
        <v>1.3451855717442493E-2</v>
      </c>
      <c r="Q53" s="76">
        <f t="shared" si="26"/>
        <v>1.3451855717442493E-2</v>
      </c>
      <c r="R53" s="76">
        <f t="shared" si="26"/>
        <v>1.3451855717442493E-2</v>
      </c>
      <c r="S53" s="76">
        <f t="shared" si="26"/>
        <v>1.3451855717442493E-2</v>
      </c>
      <c r="T53" s="76">
        <f t="shared" si="26"/>
        <v>1.3451855717442493E-2</v>
      </c>
      <c r="U53" s="76">
        <f t="shared" si="26"/>
        <v>1.3451855717442493E-2</v>
      </c>
      <c r="V53" s="76">
        <f t="shared" si="26"/>
        <v>1.3451855717442493E-2</v>
      </c>
      <c r="W53" s="76">
        <f t="shared" si="26"/>
        <v>1.3451855717442493E-2</v>
      </c>
      <c r="X53" s="76">
        <f t="shared" si="26"/>
        <v>1.3451855717442493E-2</v>
      </c>
      <c r="Y53" s="76">
        <f t="shared" si="26"/>
        <v>1.3451855717442493E-2</v>
      </c>
      <c r="Z53" s="76">
        <f t="shared" si="26"/>
        <v>1.3451855717442493E-2</v>
      </c>
      <c r="AA53" s="76"/>
      <c r="AB53" s="76"/>
      <c r="AC53" s="76"/>
      <c r="AD53" s="76"/>
      <c r="AE53" s="76"/>
      <c r="AF53" s="76"/>
    </row>
    <row spans="2:32" outlineLevel="1" r="54" s="2" hidden="1" x14ac:dyDescent="0.25" customFormat="1">
      <c r="B54" s="2" t="s">
        <v>31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</row>
    <row spans="2:32" outlineLevel="1" r="55" s="2" hidden="1" x14ac:dyDescent="0.25" customFormat="1"/>
    <row spans="2:32" outlineLevel="1" r="56" s="2" hidden="1" x14ac:dyDescent="0.25" customFormat="1">
      <c r="B56" s="2" t="s">
        <v>34</v>
      </c>
      <c r="G56" s="20">
        <f>(G44-G47-G50-G52)*0.25</f>
        <v>20862.383509698793</v>
      </c>
      <c r="H56" s="20">
        <f ref="H56:Z56" t="shared" si="27">H44-H47-H50-H52</f>
        <v>333798.13615518069</v>
      </c>
      <c r="I56" s="20">
        <f t="shared" si="27"/>
        <v>333798.13615518069</v>
      </c>
      <c r="J56" s="20">
        <f t="shared" si="27"/>
        <v>333798.13615518069</v>
      </c>
      <c r="K56" s="20">
        <f t="shared" si="27"/>
        <v>333798.13615518069</v>
      </c>
      <c r="L56" s="20">
        <f t="shared" si="27"/>
        <v>333798.13615518069</v>
      </c>
      <c r="M56" s="20">
        <f t="shared" si="27"/>
        <v>333798.13615518069</v>
      </c>
      <c r="N56" s="20">
        <f t="shared" si="27"/>
        <v>333798.13615518069</v>
      </c>
      <c r="O56" s="20">
        <f t="shared" si="27"/>
        <v>333798.13615518069</v>
      </c>
      <c r="P56" s="20">
        <f t="shared" si="27"/>
        <v>333798.13615518069</v>
      </c>
      <c r="Q56" s="20">
        <f t="shared" si="27"/>
        <v>333798.13615518069</v>
      </c>
      <c r="R56" s="20">
        <f t="shared" si="27"/>
        <v>333798.13615518069</v>
      </c>
      <c r="S56" s="20">
        <f t="shared" si="27"/>
        <v>333798.13615518069</v>
      </c>
      <c r="T56" s="20">
        <f t="shared" si="27"/>
        <v>333798.13615518069</v>
      </c>
      <c r="U56" s="20">
        <f t="shared" si="27"/>
        <v>333798.13615518069</v>
      </c>
      <c r="V56" s="20">
        <f t="shared" si="27"/>
        <v>333798.13615518069</v>
      </c>
      <c r="W56" s="20">
        <f t="shared" si="27"/>
        <v>333798.13615518069</v>
      </c>
      <c r="X56" s="20">
        <f t="shared" si="27"/>
        <v>333798.13615518069</v>
      </c>
      <c r="Y56" s="20">
        <f t="shared" si="27"/>
        <v>333798.13615518069</v>
      </c>
      <c r="Z56" s="20">
        <f t="shared" si="27"/>
        <v>333798.13615518069</v>
      </c>
      <c r="AA56" s="20"/>
      <c r="AB56" s="20"/>
      <c r="AC56" s="20"/>
      <c r="AD56" s="20"/>
      <c r="AE56" s="20"/>
      <c r="AF56" s="20"/>
    </row>
    <row spans="2:32" outlineLevel="1" r="57" s="2" hidden="1" x14ac:dyDescent="0.25" customFormat="1">
      <c r="B57" s="2" t="s">
        <v>35</v>
      </c>
      <c r="G57" s="73">
        <v>0.7</v>
      </c>
      <c r="H57" s="73">
        <v>0.7</v>
      </c>
      <c r="I57" s="73">
        <v>0.7</v>
      </c>
      <c r="J57" s="73">
        <v>0.7</v>
      </c>
      <c r="K57" s="73">
        <v>0.7</v>
      </c>
      <c r="L57" s="73">
        <v>0.7</v>
      </c>
      <c r="M57" s="73">
        <v>0.7</v>
      </c>
      <c r="N57" s="73">
        <v>0.7</v>
      </c>
      <c r="O57" s="73">
        <v>0.7</v>
      </c>
      <c r="P57" s="73">
        <v>0.7</v>
      </c>
      <c r="Q57" s="73">
        <v>0.7</v>
      </c>
      <c r="R57" s="73">
        <v>0.7</v>
      </c>
      <c r="S57" s="73">
        <v>0.7</v>
      </c>
      <c r="T57" s="73">
        <v>0.7</v>
      </c>
      <c r="U57" s="73">
        <v>0.7</v>
      </c>
      <c r="V57" s="73">
        <v>0.7</v>
      </c>
      <c r="W57" s="73">
        <v>0.7</v>
      </c>
      <c r="X57" s="73">
        <v>0.7</v>
      </c>
      <c r="Y57" s="73">
        <v>0.7</v>
      </c>
      <c r="Z57" s="73">
        <v>0.7</v>
      </c>
      <c r="AA57" s="73"/>
      <c r="AB57" s="73"/>
      <c r="AC57" s="73"/>
      <c r="AD57" s="73"/>
      <c r="AE57" s="73"/>
      <c r="AF57" s="73"/>
    </row>
    <row spans="2:32" outlineLevel="1" r="58" s="2" hidden="1" x14ac:dyDescent="0.25" customFormat="1">
      <c r="B58" s="2" t="s">
        <v>36</v>
      </c>
      <c r="G58" s="20">
        <f>G56*G57</f>
        <v>14603.668456789153</v>
      </c>
      <c r="H58" s="20">
        <f ref="H58:Z58" t="shared" si="28">H56*H57</f>
        <v>233658.69530862645</v>
      </c>
      <c r="I58" s="20">
        <f t="shared" si="28"/>
        <v>233658.69530862645</v>
      </c>
      <c r="J58" s="20">
        <f t="shared" si="28"/>
        <v>233658.69530862645</v>
      </c>
      <c r="K58" s="20">
        <f t="shared" si="28"/>
        <v>233658.69530862645</v>
      </c>
      <c r="L58" s="20">
        <f t="shared" si="28"/>
        <v>233658.69530862645</v>
      </c>
      <c r="M58" s="20">
        <f t="shared" si="28"/>
        <v>233658.69530862645</v>
      </c>
      <c r="N58" s="20">
        <f t="shared" si="28"/>
        <v>233658.69530862645</v>
      </c>
      <c r="O58" s="20">
        <f t="shared" si="28"/>
        <v>233658.69530862645</v>
      </c>
      <c r="P58" s="20">
        <f t="shared" si="28"/>
        <v>233658.69530862645</v>
      </c>
      <c r="Q58" s="20">
        <f t="shared" si="28"/>
        <v>233658.69530862645</v>
      </c>
      <c r="R58" s="20">
        <f t="shared" si="28"/>
        <v>233658.69530862645</v>
      </c>
      <c r="S58" s="20">
        <f t="shared" si="28"/>
        <v>233658.69530862645</v>
      </c>
      <c r="T58" s="20">
        <f t="shared" si="28"/>
        <v>233658.69530862645</v>
      </c>
      <c r="U58" s="20">
        <f t="shared" si="28"/>
        <v>233658.69530862645</v>
      </c>
      <c r="V58" s="20">
        <f t="shared" si="28"/>
        <v>233658.69530862645</v>
      </c>
      <c r="W58" s="20">
        <f t="shared" si="28"/>
        <v>233658.69530862645</v>
      </c>
      <c r="X58" s="20">
        <f t="shared" si="28"/>
        <v>233658.69530862645</v>
      </c>
      <c r="Y58" s="20">
        <f t="shared" si="28"/>
        <v>233658.69530862645</v>
      </c>
      <c r="Z58" s="20">
        <f t="shared" si="28"/>
        <v>233658.69530862645</v>
      </c>
      <c r="AA58" s="20"/>
      <c r="AB58" s="20"/>
      <c r="AC58" s="20"/>
      <c r="AD58" s="20"/>
      <c r="AE58" s="20"/>
      <c r="AF58" s="20"/>
    </row>
    <row spans="2:32" outlineLevel="1" r="59" hidden="1" x14ac:dyDescent="0.25"/>
    <row spans="2:32" outlineLevel="1" r="60" hidden="1" x14ac:dyDescent="0.25"/>
    <row spans="2:32" outlineLevel="1" r="61" hidden="1" x14ac:dyDescent="0.25"/>
    <row spans="2:32" outlineLevel="1" r="62" s="2" hidden="1" x14ac:dyDescent="0.25" customFormat="1">
      <c r="B62" s="24" t="s">
        <v>37</v>
      </c>
      <c r="C62" s="24">
        <v>2019</v>
      </c>
      <c r="D62" s="24">
        <v>2020</v>
      </c>
      <c r="E62" s="24">
        <v>2021</v>
      </c>
      <c r="F62" s="24">
        <v>2022</v>
      </c>
      <c r="G62" s="24">
        <f>F62+1</f>
        <v>2023</v>
      </c>
      <c r="H62" s="24">
        <f ref="H62:AB62" t="shared" si="29">G62+1</f>
        <v>2024</v>
      </c>
      <c r="I62" s="24">
        <f t="shared" si="29"/>
        <v>2025</v>
      </c>
      <c r="J62" s="24">
        <f t="shared" si="29"/>
        <v>2026</v>
      </c>
      <c r="K62" s="24">
        <f t="shared" si="29"/>
        <v>2027</v>
      </c>
      <c r="L62" s="24">
        <f t="shared" si="29"/>
        <v>2028</v>
      </c>
      <c r="M62" s="24">
        <f>L62+1</f>
        <v>2029</v>
      </c>
      <c r="N62" s="24">
        <f t="shared" si="29"/>
        <v>2030</v>
      </c>
      <c r="O62" s="24">
        <f t="shared" si="29"/>
        <v>2031</v>
      </c>
      <c r="P62" s="24">
        <f t="shared" si="29"/>
        <v>2032</v>
      </c>
      <c r="Q62" s="24">
        <f t="shared" si="29"/>
        <v>2033</v>
      </c>
      <c r="R62" s="24">
        <f t="shared" si="29"/>
        <v>2034</v>
      </c>
      <c r="S62" s="24">
        <f t="shared" si="29"/>
        <v>2035</v>
      </c>
      <c r="T62" s="24">
        <f t="shared" si="29"/>
        <v>2036</v>
      </c>
      <c r="U62" s="24">
        <f t="shared" si="29"/>
        <v>2037</v>
      </c>
      <c r="V62" s="24">
        <f t="shared" si="29"/>
        <v>2038</v>
      </c>
      <c r="W62" s="24">
        <f t="shared" si="29"/>
        <v>2039</v>
      </c>
      <c r="X62" s="24">
        <f t="shared" si="29"/>
        <v>2040</v>
      </c>
      <c r="Y62" s="24">
        <f t="shared" si="29"/>
        <v>2041</v>
      </c>
      <c r="Z62" s="24">
        <f t="shared" si="29"/>
        <v>2042</v>
      </c>
      <c r="AA62" s="24">
        <f t="shared" si="29"/>
        <v>2043</v>
      </c>
      <c r="AB62" s="24">
        <f t="shared" si="29"/>
        <v>2044</v>
      </c>
      <c r="AC62" s="24"/>
      <c r="AD62" s="24"/>
      <c r="AE62" s="24"/>
      <c r="AF62" s="24"/>
    </row>
    <row spans="2:32" outlineLevel="1" r="63" s="153" hidden="1" x14ac:dyDescent="0.25" customFormat="1">
      <c r="B63" s="154" t="s">
        <v>38</v>
      </c>
      <c r="C63" s="154"/>
      <c r="D63" s="154"/>
      <c r="E63" s="154"/>
      <c r="F63" s="154"/>
      <c r="G63" s="154"/>
      <c r="H63" s="154"/>
      <c r="I63" s="154"/>
      <c r="J63" s="154"/>
      <c r="K63" s="153">
        <v>2</v>
      </c>
      <c r="L63" s="153">
        <v>2</v>
      </c>
      <c r="M63" s="153">
        <v>2</v>
      </c>
      <c r="N63" s="153">
        <v>2</v>
      </c>
      <c r="O63" s="153">
        <v>2</v>
      </c>
      <c r="P63" s="153">
        <v>2</v>
      </c>
      <c r="Q63" s="153">
        <v>2</v>
      </c>
      <c r="R63" s="153">
        <v>2</v>
      </c>
      <c r="S63" s="153">
        <v>2</v>
      </c>
      <c r="T63" s="153">
        <v>2</v>
      </c>
      <c r="U63" s="153">
        <v>2</v>
      </c>
      <c r="V63" s="153">
        <v>2</v>
      </c>
      <c r="W63" s="153">
        <v>2</v>
      </c>
      <c r="X63" s="153">
        <v>2</v>
      </c>
      <c r="Y63" s="153">
        <v>2</v>
      </c>
      <c r="Z63" s="153">
        <v>2</v>
      </c>
      <c r="AA63" s="153">
        <v>2</v>
      </c>
      <c r="AB63" s="153">
        <v>2</v>
      </c>
      <c r="AC63" s="154"/>
      <c r="AD63" s="154"/>
      <c r="AE63" s="154"/>
      <c r="AF63" s="154"/>
    </row>
    <row spans="2:32" outlineLevel="1" r="64" s="2" hidden="1" x14ac:dyDescent="0.25" customFormat="1">
      <c r="B64" s="2" t="s">
        <v>9</v>
      </c>
      <c r="K64" s="2">
        <v>2.4500000000000002</v>
      </c>
      <c r="L64" s="2">
        <v>2.4500000000000002</v>
      </c>
      <c r="M64" s="2">
        <v>2.4500000000000002</v>
      </c>
      <c r="N64" s="2">
        <v>2.4500000000000002</v>
      </c>
      <c r="O64" s="2">
        <v>2.4500000000000002</v>
      </c>
      <c r="P64" s="2">
        <v>2.4500000000000002</v>
      </c>
      <c r="Q64" s="2">
        <v>2.4500000000000002</v>
      </c>
      <c r="R64" s="2">
        <v>2.4500000000000002</v>
      </c>
      <c r="S64" s="2">
        <v>2.4500000000000002</v>
      </c>
      <c r="T64" s="2">
        <v>2.4500000000000002</v>
      </c>
      <c r="U64" s="2">
        <v>2.4500000000000002</v>
      </c>
      <c r="V64" s="2">
        <v>2.4500000000000002</v>
      </c>
      <c r="W64" s="2">
        <v>2.4500000000000002</v>
      </c>
      <c r="X64" s="2">
        <v>2.4500000000000002</v>
      </c>
      <c r="Y64" s="2">
        <v>2.4500000000000002</v>
      </c>
      <c r="Z64" s="2">
        <v>2.4500000000000002</v>
      </c>
      <c r="AA64" s="2">
        <v>2.4500000000000002</v>
      </c>
      <c r="AB64" s="2">
        <v>2.4500000000000002</v>
      </c>
    </row>
    <row spans="2:28" outlineLevel="1" r="65" s="2" hidden="1" x14ac:dyDescent="0.25" customFormat="1">
      <c r="B65" s="2" t="s">
        <v>39</v>
      </c>
      <c r="K65" s="155">
        <f>K63*K64</f>
        <v>4.9000000000000004</v>
      </c>
      <c r="L65" s="155">
        <f ref="L65:AB65" t="shared" si="30">L63*L64</f>
        <v>4.9000000000000004</v>
      </c>
      <c r="M65" s="155">
        <f t="shared" si="30"/>
        <v>4.9000000000000004</v>
      </c>
      <c r="N65" s="155">
        <f t="shared" si="30"/>
        <v>4.9000000000000004</v>
      </c>
      <c r="O65" s="155">
        <f t="shared" si="30"/>
        <v>4.9000000000000004</v>
      </c>
      <c r="P65" s="155">
        <f t="shared" si="30"/>
        <v>4.9000000000000004</v>
      </c>
      <c r="Q65" s="155">
        <f t="shared" si="30"/>
        <v>4.9000000000000004</v>
      </c>
      <c r="R65" s="155">
        <f t="shared" si="30"/>
        <v>4.9000000000000004</v>
      </c>
      <c r="S65" s="155">
        <f t="shared" si="30"/>
        <v>4.9000000000000004</v>
      </c>
      <c r="T65" s="155">
        <f t="shared" si="30"/>
        <v>4.9000000000000004</v>
      </c>
      <c r="U65" s="155">
        <f t="shared" si="30"/>
        <v>4.9000000000000004</v>
      </c>
      <c r="V65" s="155">
        <f t="shared" si="30"/>
        <v>4.9000000000000004</v>
      </c>
      <c r="W65" s="155">
        <f t="shared" si="30"/>
        <v>4.9000000000000004</v>
      </c>
      <c r="X65" s="155">
        <f t="shared" si="30"/>
        <v>4.9000000000000004</v>
      </c>
      <c r="Y65" s="155">
        <f t="shared" si="30"/>
        <v>4.9000000000000004</v>
      </c>
      <c r="Z65" s="155">
        <f t="shared" si="30"/>
        <v>4.9000000000000004</v>
      </c>
      <c r="AA65" s="155">
        <f t="shared" si="30"/>
        <v>4.9000000000000004</v>
      </c>
      <c r="AB65" s="155">
        <f t="shared" si="30"/>
        <v>4.9000000000000004</v>
      </c>
    </row>
    <row spans="2:28" outlineLevel="1" r="66" s="2" hidden="1" x14ac:dyDescent="0.25" customFormat="1">
      <c r="B66" s="2" t="s">
        <v>11</v>
      </c>
      <c r="C66" s="20"/>
      <c r="D66" s="20"/>
      <c r="E66" s="20"/>
      <c r="F66" s="20"/>
      <c r="G66" s="20"/>
      <c r="H66" s="20"/>
      <c r="I66" s="20"/>
      <c r="J66" s="20"/>
      <c r="K66" s="20">
        <f ref="K66:AB66" t="shared" si="31">K67*K65</f>
        <v>905379.80555555574</v>
      </c>
      <c r="L66" s="20">
        <f t="shared" si="31"/>
        <v>905379.80555555574</v>
      </c>
      <c r="M66" s="20">
        <f t="shared" si="31"/>
        <v>905379.80555555574</v>
      </c>
      <c r="N66" s="20">
        <f t="shared" si="31"/>
        <v>905379.80555555574</v>
      </c>
      <c r="O66" s="20">
        <f t="shared" si="31"/>
        <v>905379.80555555574</v>
      </c>
      <c r="P66" s="20">
        <f t="shared" si="31"/>
        <v>905379.80555555574</v>
      </c>
      <c r="Q66" s="20">
        <f t="shared" si="31"/>
        <v>905379.80555555574</v>
      </c>
      <c r="R66" s="20">
        <f t="shared" si="31"/>
        <v>905379.80555555574</v>
      </c>
      <c r="S66" s="20">
        <f t="shared" si="31"/>
        <v>905379.80555555574</v>
      </c>
      <c r="T66" s="20">
        <f t="shared" si="31"/>
        <v>905379.80555555574</v>
      </c>
      <c r="U66" s="20">
        <f t="shared" si="31"/>
        <v>905379.80555555574</v>
      </c>
      <c r="V66" s="20">
        <f t="shared" si="31"/>
        <v>905379.80555555574</v>
      </c>
      <c r="W66" s="20">
        <f t="shared" si="31"/>
        <v>905379.80555555574</v>
      </c>
      <c r="X66" s="20">
        <f t="shared" si="31"/>
        <v>905379.80555555574</v>
      </c>
      <c r="Y66" s="20">
        <f t="shared" si="31"/>
        <v>905379.80555555574</v>
      </c>
      <c r="Z66" s="20">
        <f t="shared" si="31"/>
        <v>905379.80555555574</v>
      </c>
      <c r="AA66" s="20">
        <f t="shared" si="31"/>
        <v>905379.80555555574</v>
      </c>
      <c r="AB66" s="20">
        <f t="shared" si="31"/>
        <v>905379.80555555574</v>
      </c>
    </row>
    <row spans="2:28" outlineLevel="1" r="67" s="2" hidden="1" x14ac:dyDescent="0.25" customFormat="1">
      <c r="B67" s="18" t="s">
        <v>12</v>
      </c>
      <c r="C67" s="20"/>
      <c r="D67" s="20"/>
      <c r="E67" s="20"/>
      <c r="F67" s="20"/>
      <c r="G67" s="20"/>
      <c r="H67" s="20"/>
      <c r="I67" s="20"/>
      <c r="J67" s="20"/>
      <c r="K67" s="20">
        <f ref="K67:AB67" t="shared" si="32">AVERAGE($C$8:$E$8)</f>
        <v>184771.38888888891</v>
      </c>
      <c r="L67" s="20">
        <f t="shared" si="32"/>
        <v>184771.38888888891</v>
      </c>
      <c r="M67" s="20">
        <f t="shared" si="32"/>
        <v>184771.38888888891</v>
      </c>
      <c r="N67" s="20">
        <f t="shared" si="32"/>
        <v>184771.38888888891</v>
      </c>
      <c r="O67" s="20">
        <f t="shared" si="32"/>
        <v>184771.38888888891</v>
      </c>
      <c r="P67" s="20">
        <f t="shared" si="32"/>
        <v>184771.38888888891</v>
      </c>
      <c r="Q67" s="20">
        <f t="shared" si="32"/>
        <v>184771.38888888891</v>
      </c>
      <c r="R67" s="20">
        <f t="shared" si="32"/>
        <v>184771.38888888891</v>
      </c>
      <c r="S67" s="20">
        <f t="shared" si="32"/>
        <v>184771.38888888891</v>
      </c>
      <c r="T67" s="20">
        <f t="shared" si="32"/>
        <v>184771.38888888891</v>
      </c>
      <c r="U67" s="20">
        <f t="shared" si="32"/>
        <v>184771.38888888891</v>
      </c>
      <c r="V67" s="20">
        <f t="shared" si="32"/>
        <v>184771.38888888891</v>
      </c>
      <c r="W67" s="20">
        <f t="shared" si="32"/>
        <v>184771.38888888891</v>
      </c>
      <c r="X67" s="20">
        <f t="shared" si="32"/>
        <v>184771.38888888891</v>
      </c>
      <c r="Y67" s="20">
        <f t="shared" si="32"/>
        <v>184771.38888888891</v>
      </c>
      <c r="Z67" s="20">
        <f t="shared" si="32"/>
        <v>184771.38888888891</v>
      </c>
      <c r="AA67" s="20">
        <f t="shared" si="32"/>
        <v>184771.38888888891</v>
      </c>
      <c r="AB67" s="20">
        <f t="shared" si="32"/>
        <v>184771.38888888891</v>
      </c>
    </row>
    <row spans="2:28" outlineLevel="1" r="68" s="2" hidden="1" x14ac:dyDescent="0.25" customFormat="1"/>
    <row spans="2:28" outlineLevel="1" r="69" s="2" hidden="1" x14ac:dyDescent="0.25" customFormat="1">
      <c r="B69" s="2" t="s">
        <v>13</v>
      </c>
      <c r="C69" s="20"/>
      <c r="D69" s="20"/>
      <c r="E69" s="20"/>
      <c r="F69" s="20"/>
      <c r="G69" s="20"/>
      <c r="H69" s="20"/>
      <c r="I69" s="20"/>
      <c r="J69" s="20"/>
      <c r="K69" s="20">
        <f ref="K69:AB69" t="shared" si="33">K66*K70</f>
        <v>219088.85990376817</v>
      </c>
      <c r="L69" s="20">
        <f t="shared" si="33"/>
        <v>219088.85990376817</v>
      </c>
      <c r="M69" s="20">
        <f t="shared" si="33"/>
        <v>219088.85990376817</v>
      </c>
      <c r="N69" s="20">
        <f t="shared" si="33"/>
        <v>219088.85990376817</v>
      </c>
      <c r="O69" s="20">
        <f t="shared" si="33"/>
        <v>219088.85990376817</v>
      </c>
      <c r="P69" s="20">
        <f t="shared" si="33"/>
        <v>219088.85990376817</v>
      </c>
      <c r="Q69" s="20">
        <f t="shared" si="33"/>
        <v>219088.85990376817</v>
      </c>
      <c r="R69" s="20">
        <f t="shared" si="33"/>
        <v>219088.85990376817</v>
      </c>
      <c r="S69" s="20">
        <f t="shared" si="33"/>
        <v>219088.85990376817</v>
      </c>
      <c r="T69" s="20">
        <f t="shared" si="33"/>
        <v>219088.85990376817</v>
      </c>
      <c r="U69" s="20">
        <f t="shared" si="33"/>
        <v>219088.85990376817</v>
      </c>
      <c r="V69" s="20">
        <f t="shared" si="33"/>
        <v>219088.85990376817</v>
      </c>
      <c r="W69" s="20">
        <f t="shared" si="33"/>
        <v>219088.85990376817</v>
      </c>
      <c r="X69" s="20">
        <f t="shared" si="33"/>
        <v>219088.85990376817</v>
      </c>
      <c r="Y69" s="20">
        <f t="shared" si="33"/>
        <v>219088.85990376817</v>
      </c>
      <c r="Z69" s="20">
        <f t="shared" si="33"/>
        <v>219088.85990376817</v>
      </c>
      <c r="AA69" s="20">
        <f t="shared" si="33"/>
        <v>219088.85990376817</v>
      </c>
      <c r="AB69" s="20">
        <f t="shared" si="33"/>
        <v>219088.85990376817</v>
      </c>
    </row>
    <row spans="2:28" outlineLevel="1" r="70" s="2" hidden="1" x14ac:dyDescent="0.25" customFormat="1">
      <c r="B70" s="18" t="s">
        <v>14</v>
      </c>
      <c r="C70" s="74"/>
      <c r="D70" s="74"/>
      <c r="E70" s="74"/>
      <c r="F70" s="74"/>
      <c r="G70" s="76"/>
      <c r="H70" s="76"/>
      <c r="I70" s="76"/>
      <c r="J70" s="76"/>
      <c r="K70" s="76">
        <f ref="K70:AB70" t="shared" si="34">AVERAGE($C$11:$E$11)</f>
        <v>0.24198558280116675</v>
      </c>
      <c r="L70" s="76">
        <f t="shared" si="34"/>
        <v>0.24198558280116675</v>
      </c>
      <c r="M70" s="76">
        <f t="shared" si="34"/>
        <v>0.24198558280116675</v>
      </c>
      <c r="N70" s="76">
        <f t="shared" si="34"/>
        <v>0.24198558280116675</v>
      </c>
      <c r="O70" s="76">
        <f t="shared" si="34"/>
        <v>0.24198558280116675</v>
      </c>
      <c r="P70" s="76">
        <f t="shared" si="34"/>
        <v>0.24198558280116675</v>
      </c>
      <c r="Q70" s="76">
        <f t="shared" si="34"/>
        <v>0.24198558280116675</v>
      </c>
      <c r="R70" s="76">
        <f t="shared" si="34"/>
        <v>0.24198558280116675</v>
      </c>
      <c r="S70" s="76">
        <f t="shared" si="34"/>
        <v>0.24198558280116675</v>
      </c>
      <c r="T70" s="76">
        <f t="shared" si="34"/>
        <v>0.24198558280116675</v>
      </c>
      <c r="U70" s="76">
        <f t="shared" si="34"/>
        <v>0.24198558280116675</v>
      </c>
      <c r="V70" s="76">
        <f t="shared" si="34"/>
        <v>0.24198558280116675</v>
      </c>
      <c r="W70" s="76">
        <f t="shared" si="34"/>
        <v>0.24198558280116675</v>
      </c>
      <c r="X70" s="76">
        <f t="shared" si="34"/>
        <v>0.24198558280116675</v>
      </c>
      <c r="Y70" s="76">
        <f t="shared" si="34"/>
        <v>0.24198558280116675</v>
      </c>
      <c r="Z70" s="76">
        <f t="shared" si="34"/>
        <v>0.24198558280116675</v>
      </c>
      <c r="AA70" s="76">
        <f t="shared" si="34"/>
        <v>0.24198558280116675</v>
      </c>
      <c r="AB70" s="76">
        <f t="shared" si="34"/>
        <v>0.24198558280116675</v>
      </c>
    </row>
    <row spans="2:28" outlineLevel="1" r="71" s="2" hidden="1" x14ac:dyDescent="0.25" customFormat="1"/>
    <row spans="2:28" outlineLevel="1" r="72" s="2" hidden="1" x14ac:dyDescent="0.25" customFormat="1">
      <c r="B72" s="2" t="s">
        <v>29</v>
      </c>
      <c r="C72" s="20"/>
      <c r="D72" s="20"/>
      <c r="E72" s="20"/>
      <c r="F72" s="20"/>
      <c r="G72" s="20"/>
      <c r="H72" s="20"/>
      <c r="I72" s="20"/>
      <c r="J72" s="20"/>
      <c r="K72" s="20">
        <f ref="K72:AB72" t="shared" si="35">K73*K66</f>
        <v>6515.6348276067156</v>
      </c>
      <c r="L72" s="20">
        <f t="shared" si="35"/>
        <v>6515.6348276067156</v>
      </c>
      <c r="M72" s="20">
        <f t="shared" si="35"/>
        <v>6515.6348276067156</v>
      </c>
      <c r="N72" s="20">
        <f t="shared" si="35"/>
        <v>6515.6348276067156</v>
      </c>
      <c r="O72" s="20">
        <f t="shared" si="35"/>
        <v>6515.6348276067156</v>
      </c>
      <c r="P72" s="20">
        <f t="shared" si="35"/>
        <v>6515.6348276067156</v>
      </c>
      <c r="Q72" s="20">
        <f t="shared" si="35"/>
        <v>6515.6348276067156</v>
      </c>
      <c r="R72" s="20">
        <f t="shared" si="35"/>
        <v>6515.6348276067156</v>
      </c>
      <c r="S72" s="20">
        <f t="shared" si="35"/>
        <v>6515.6348276067156</v>
      </c>
      <c r="T72" s="20">
        <f t="shared" si="35"/>
        <v>6515.6348276067156</v>
      </c>
      <c r="U72" s="20">
        <f t="shared" si="35"/>
        <v>6515.6348276067156</v>
      </c>
      <c r="V72" s="20">
        <f t="shared" si="35"/>
        <v>6515.6348276067156</v>
      </c>
      <c r="W72" s="20">
        <f t="shared" si="35"/>
        <v>6515.6348276067156</v>
      </c>
      <c r="X72" s="20">
        <f t="shared" si="35"/>
        <v>6515.6348276067156</v>
      </c>
      <c r="Y72" s="20">
        <f t="shared" si="35"/>
        <v>6515.6348276067156</v>
      </c>
      <c r="Z72" s="20">
        <f t="shared" si="35"/>
        <v>6515.6348276067156</v>
      </c>
      <c r="AA72" s="20">
        <f t="shared" si="35"/>
        <v>6515.6348276067156</v>
      </c>
      <c r="AB72" s="20">
        <f t="shared" si="35"/>
        <v>6515.6348276067156</v>
      </c>
    </row>
    <row spans="2:28" outlineLevel="1" r="73" s="2" hidden="1" x14ac:dyDescent="0.25" customFormat="1">
      <c r="B73" s="18" t="s">
        <v>14</v>
      </c>
      <c r="C73" s="74"/>
      <c r="D73" s="74"/>
      <c r="E73" s="74"/>
      <c r="F73" s="74"/>
      <c r="G73" s="76"/>
      <c r="H73" s="76"/>
      <c r="I73" s="76"/>
      <c r="J73" s="76"/>
      <c r="K73" s="76">
        <f ref="K73:AB73" t="shared" si="36">AVERAGE($C$30:$E$30)</f>
        <v>7.1965762739854972E-3</v>
      </c>
      <c r="L73" s="76">
        <f t="shared" si="36"/>
        <v>7.1965762739854972E-3</v>
      </c>
      <c r="M73" s="76">
        <f t="shared" si="36"/>
        <v>7.1965762739854972E-3</v>
      </c>
      <c r="N73" s="76">
        <f t="shared" si="36"/>
        <v>7.1965762739854972E-3</v>
      </c>
      <c r="O73" s="76">
        <f t="shared" si="36"/>
        <v>7.1965762739854972E-3</v>
      </c>
      <c r="P73" s="76">
        <f t="shared" si="36"/>
        <v>7.1965762739854972E-3</v>
      </c>
      <c r="Q73" s="76">
        <f t="shared" si="36"/>
        <v>7.1965762739854972E-3</v>
      </c>
      <c r="R73" s="76">
        <f t="shared" si="36"/>
        <v>7.1965762739854972E-3</v>
      </c>
      <c r="S73" s="76">
        <f t="shared" si="36"/>
        <v>7.1965762739854972E-3</v>
      </c>
      <c r="T73" s="76">
        <f t="shared" si="36"/>
        <v>7.1965762739854972E-3</v>
      </c>
      <c r="U73" s="76">
        <f t="shared" si="36"/>
        <v>7.1965762739854972E-3</v>
      </c>
      <c r="V73" s="76">
        <f t="shared" si="36"/>
        <v>7.1965762739854972E-3</v>
      </c>
      <c r="W73" s="76">
        <f t="shared" si="36"/>
        <v>7.1965762739854972E-3</v>
      </c>
      <c r="X73" s="76">
        <f t="shared" si="36"/>
        <v>7.1965762739854972E-3</v>
      </c>
      <c r="Y73" s="76">
        <f t="shared" si="36"/>
        <v>7.1965762739854972E-3</v>
      </c>
      <c r="Z73" s="76">
        <f t="shared" si="36"/>
        <v>7.1965762739854972E-3</v>
      </c>
      <c r="AA73" s="76">
        <f t="shared" si="36"/>
        <v>7.1965762739854972E-3</v>
      </c>
      <c r="AB73" s="76">
        <f t="shared" si="36"/>
        <v>7.1965762739854972E-3</v>
      </c>
    </row>
    <row spans="2:28" outlineLevel="1" r="74" s="2" hidden="1" x14ac:dyDescent="0.25" customFormat="1">
      <c r="B74" s="2" t="s">
        <v>30</v>
      </c>
      <c r="C74" s="20"/>
      <c r="D74" s="20"/>
      <c r="E74" s="20"/>
      <c r="F74" s="20"/>
      <c r="G74" s="20"/>
      <c r="H74" s="20"/>
      <c r="I74" s="20"/>
      <c r="J74" s="20"/>
      <c r="K74" s="20">
        <f ref="K74:AB74" t="shared" si="37">K75*K66</f>
        <v>12179.038513819474</v>
      </c>
      <c r="L74" s="20">
        <f t="shared" si="37"/>
        <v>12179.038513819474</v>
      </c>
      <c r="M74" s="20">
        <f t="shared" si="37"/>
        <v>12179.038513819474</v>
      </c>
      <c r="N74" s="20">
        <f t="shared" si="37"/>
        <v>12179.038513819474</v>
      </c>
      <c r="O74" s="20">
        <f t="shared" si="37"/>
        <v>12179.038513819474</v>
      </c>
      <c r="P74" s="20">
        <f t="shared" si="37"/>
        <v>12179.038513819474</v>
      </c>
      <c r="Q74" s="20">
        <f t="shared" si="37"/>
        <v>12179.038513819474</v>
      </c>
      <c r="R74" s="20">
        <f t="shared" si="37"/>
        <v>12179.038513819474</v>
      </c>
      <c r="S74" s="20">
        <f t="shared" si="37"/>
        <v>12179.038513819474</v>
      </c>
      <c r="T74" s="20">
        <f t="shared" si="37"/>
        <v>12179.038513819474</v>
      </c>
      <c r="U74" s="20">
        <f t="shared" si="37"/>
        <v>12179.038513819474</v>
      </c>
      <c r="V74" s="20">
        <f t="shared" si="37"/>
        <v>12179.038513819474</v>
      </c>
      <c r="W74" s="20">
        <f t="shared" si="37"/>
        <v>12179.038513819474</v>
      </c>
      <c r="X74" s="20">
        <f t="shared" si="37"/>
        <v>12179.038513819474</v>
      </c>
      <c r="Y74" s="20">
        <f t="shared" si="37"/>
        <v>12179.038513819474</v>
      </c>
      <c r="Z74" s="20">
        <f t="shared" si="37"/>
        <v>12179.038513819474</v>
      </c>
      <c r="AA74" s="20">
        <f t="shared" si="37"/>
        <v>12179.038513819474</v>
      </c>
      <c r="AB74" s="20">
        <f t="shared" si="37"/>
        <v>12179.038513819474</v>
      </c>
    </row>
    <row spans="2:28" outlineLevel="1" r="75" s="2" hidden="1" x14ac:dyDescent="0.25" customFormat="1">
      <c r="B75" s="18" t="s">
        <v>14</v>
      </c>
      <c r="C75" s="74"/>
      <c r="D75" s="74"/>
      <c r="E75" s="74"/>
      <c r="F75" s="74"/>
      <c r="G75" s="76"/>
      <c r="H75" s="76"/>
      <c r="I75" s="76"/>
      <c r="J75" s="76"/>
      <c r="K75" s="76">
        <f ref="K75:AB75" t="shared" si="38">AVERAGE($C$32:$E$32)</f>
        <v>1.3451855717442493E-2</v>
      </c>
      <c r="L75" s="76">
        <f t="shared" si="38"/>
        <v>1.3451855717442493E-2</v>
      </c>
      <c r="M75" s="76">
        <f t="shared" si="38"/>
        <v>1.3451855717442493E-2</v>
      </c>
      <c r="N75" s="76">
        <f t="shared" si="38"/>
        <v>1.3451855717442493E-2</v>
      </c>
      <c r="O75" s="76">
        <f t="shared" si="38"/>
        <v>1.3451855717442493E-2</v>
      </c>
      <c r="P75" s="76">
        <f t="shared" si="38"/>
        <v>1.3451855717442493E-2</v>
      </c>
      <c r="Q75" s="76">
        <f t="shared" si="38"/>
        <v>1.3451855717442493E-2</v>
      </c>
      <c r="R75" s="76">
        <f t="shared" si="38"/>
        <v>1.3451855717442493E-2</v>
      </c>
      <c r="S75" s="76">
        <f t="shared" si="38"/>
        <v>1.3451855717442493E-2</v>
      </c>
      <c r="T75" s="76">
        <f t="shared" si="38"/>
        <v>1.3451855717442493E-2</v>
      </c>
      <c r="U75" s="76">
        <f t="shared" si="38"/>
        <v>1.3451855717442493E-2</v>
      </c>
      <c r="V75" s="76">
        <f t="shared" si="38"/>
        <v>1.3451855717442493E-2</v>
      </c>
      <c r="W75" s="76">
        <f t="shared" si="38"/>
        <v>1.3451855717442493E-2</v>
      </c>
      <c r="X75" s="76">
        <f t="shared" si="38"/>
        <v>1.3451855717442493E-2</v>
      </c>
      <c r="Y75" s="76">
        <f t="shared" si="38"/>
        <v>1.3451855717442493E-2</v>
      </c>
      <c r="Z75" s="76">
        <f t="shared" si="38"/>
        <v>1.3451855717442493E-2</v>
      </c>
      <c r="AA75" s="76">
        <f t="shared" si="38"/>
        <v>1.3451855717442493E-2</v>
      </c>
      <c r="AB75" s="76">
        <f t="shared" si="38"/>
        <v>1.3451855717442493E-2</v>
      </c>
    </row>
    <row spans="2:28" outlineLevel="1" r="76" s="2" hidden="1" x14ac:dyDescent="0.25" customFormat="1">
      <c r="B76" s="2" t="s">
        <v>31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</row>
    <row spans="2:28" outlineLevel="1" r="77" s="2" hidden="1" x14ac:dyDescent="0.25" customFormat="1"/>
    <row spans="2:28" outlineLevel="1" r="78" s="2" hidden="1" x14ac:dyDescent="0.25" customFormat="1">
      <c r="B78" s="2" t="s">
        <v>32</v>
      </c>
      <c r="G78" s="20"/>
      <c r="H78" s="20"/>
      <c r="I78" s="20"/>
      <c r="J78" s="20"/>
      <c r="K78" s="20">
        <f ref="K78:AB78" t="shared" si="39">K66-K69-K72-K74</f>
        <v>667596.27231036138</v>
      </c>
      <c r="L78" s="20">
        <f t="shared" si="39"/>
        <v>667596.27231036138</v>
      </c>
      <c r="M78" s="20">
        <f t="shared" si="39"/>
        <v>667596.27231036138</v>
      </c>
      <c r="N78" s="20">
        <f t="shared" si="39"/>
        <v>667596.27231036138</v>
      </c>
      <c r="O78" s="20">
        <f t="shared" si="39"/>
        <v>667596.27231036138</v>
      </c>
      <c r="P78" s="20">
        <f t="shared" si="39"/>
        <v>667596.27231036138</v>
      </c>
      <c r="Q78" s="20">
        <f t="shared" si="39"/>
        <v>667596.27231036138</v>
      </c>
      <c r="R78" s="20">
        <f t="shared" si="39"/>
        <v>667596.27231036138</v>
      </c>
      <c r="S78" s="20">
        <f t="shared" si="39"/>
        <v>667596.27231036138</v>
      </c>
      <c r="T78" s="20">
        <f t="shared" si="39"/>
        <v>667596.27231036138</v>
      </c>
      <c r="U78" s="20">
        <f t="shared" si="39"/>
        <v>667596.27231036138</v>
      </c>
      <c r="V78" s="20">
        <f t="shared" si="39"/>
        <v>667596.27231036138</v>
      </c>
      <c r="W78" s="20">
        <f t="shared" si="39"/>
        <v>667596.27231036138</v>
      </c>
      <c r="X78" s="20">
        <f t="shared" si="39"/>
        <v>667596.27231036138</v>
      </c>
      <c r="Y78" s="20">
        <f t="shared" si="39"/>
        <v>667596.27231036138</v>
      </c>
      <c r="Z78" s="20">
        <f t="shared" si="39"/>
        <v>667596.27231036138</v>
      </c>
      <c r="AA78" s="20">
        <f t="shared" si="39"/>
        <v>667596.27231036138</v>
      </c>
      <c r="AB78" s="20">
        <f t="shared" si="39"/>
        <v>667596.27231036138</v>
      </c>
    </row>
    <row spans="2:28" outlineLevel="1" r="79" s="2" hidden="1" x14ac:dyDescent="0.25" customFormat="1">
      <c r="B79" s="2" t="s">
        <v>34</v>
      </c>
      <c r="G79" s="73"/>
      <c r="H79" s="73"/>
      <c r="I79" s="73"/>
      <c r="J79" s="73"/>
      <c r="K79" s="73">
        <v>0.7</v>
      </c>
      <c r="L79" s="73">
        <v>0.7</v>
      </c>
      <c r="M79" s="73">
        <v>0.7</v>
      </c>
      <c r="N79" s="73">
        <v>0.7</v>
      </c>
      <c r="O79" s="73">
        <v>0.7</v>
      </c>
      <c r="P79" s="73">
        <v>0.7</v>
      </c>
      <c r="Q79" s="73">
        <v>0.7</v>
      </c>
      <c r="R79" s="73">
        <v>0.7</v>
      </c>
      <c r="S79" s="73">
        <v>0.7</v>
      </c>
      <c r="T79" s="73">
        <v>0.7</v>
      </c>
      <c r="U79" s="73">
        <v>0.7</v>
      </c>
      <c r="V79" s="73">
        <v>0.7</v>
      </c>
      <c r="W79" s="73">
        <v>0.7</v>
      </c>
      <c r="X79" s="73">
        <v>0.7</v>
      </c>
      <c r="Y79" s="73">
        <v>0.7</v>
      </c>
      <c r="Z79" s="73">
        <v>0.7</v>
      </c>
      <c r="AA79" s="73">
        <v>0.7</v>
      </c>
      <c r="AB79" s="73">
        <v>0.7</v>
      </c>
    </row>
    <row spans="2:28" outlineLevel="1" r="80" s="2" hidden="1" x14ac:dyDescent="0.25" customFormat="1">
      <c r="B80" s="2" t="s">
        <v>32</v>
      </c>
      <c r="G80" s="20"/>
      <c r="H80" s="20"/>
      <c r="I80" s="20"/>
      <c r="J80" s="20"/>
      <c r="K80" s="20">
        <f ref="K80:AB80" t="shared" si="40">K78*K79</f>
        <v>467317.39061725291</v>
      </c>
      <c r="L80" s="20">
        <f t="shared" si="40"/>
        <v>467317.39061725291</v>
      </c>
      <c r="M80" s="20">
        <f t="shared" si="40"/>
        <v>467317.39061725291</v>
      </c>
      <c r="N80" s="20">
        <f t="shared" si="40"/>
        <v>467317.39061725291</v>
      </c>
      <c r="O80" s="20">
        <f t="shared" si="40"/>
        <v>467317.39061725291</v>
      </c>
      <c r="P80" s="20">
        <f t="shared" si="40"/>
        <v>467317.39061725291</v>
      </c>
      <c r="Q80" s="20">
        <f t="shared" si="40"/>
        <v>467317.39061725291</v>
      </c>
      <c r="R80" s="20">
        <f t="shared" si="40"/>
        <v>467317.39061725291</v>
      </c>
      <c r="S80" s="20">
        <f t="shared" si="40"/>
        <v>467317.39061725291</v>
      </c>
      <c r="T80" s="20">
        <f t="shared" si="40"/>
        <v>467317.39061725291</v>
      </c>
      <c r="U80" s="20">
        <f t="shared" si="40"/>
        <v>467317.39061725291</v>
      </c>
      <c r="V80" s="20">
        <f t="shared" si="40"/>
        <v>467317.39061725291</v>
      </c>
      <c r="W80" s="20">
        <f t="shared" si="40"/>
        <v>467317.39061725291</v>
      </c>
      <c r="X80" s="20">
        <f t="shared" si="40"/>
        <v>467317.39061725291</v>
      </c>
      <c r="Y80" s="20">
        <f t="shared" si="40"/>
        <v>467317.39061725291</v>
      </c>
      <c r="Z80" s="20">
        <f t="shared" si="40"/>
        <v>467317.39061725291</v>
      </c>
      <c r="AA80" s="20">
        <f t="shared" si="40"/>
        <v>467317.39061725291</v>
      </c>
      <c r="AB80" s="20">
        <f t="shared" si="40"/>
        <v>467317.39061725291</v>
      </c>
    </row>
    <row spans="1:28" outlineLevel="1" r="81" hidden="1" x14ac:dyDescent="0.25"/>
    <row spans="1:28" outlineLevel="1" r="82" hidden="1" x14ac:dyDescent="0.25"/>
    <row spans="1:28" outlineLevel="1" r="83" hidden="1" x14ac:dyDescent="0.25">
      <c r="A83" s="8" t="s">
        <v>40</v>
      </c>
      <c r="B83" s="8" t="s">
        <v>41</v>
      </c>
      <c r="F83" s="8">
        <v>2022</v>
      </c>
      <c r="G83" s="8">
        <v>2023</v>
      </c>
      <c r="H83" s="8">
        <v>2024</v>
      </c>
      <c r="I83" s="8">
        <v>2025</v>
      </c>
      <c r="J83" s="8">
        <v>2026</v>
      </c>
      <c r="K83" s="8">
        <v>2027</v>
      </c>
      <c r="L83" s="8">
        <v>2028</v>
      </c>
      <c r="M83" s="8">
        <v>2029</v>
      </c>
      <c r="N83" s="8">
        <v>2030</v>
      </c>
      <c r="O83" s="8">
        <v>2031</v>
      </c>
      <c r="P83" s="8">
        <v>2032</v>
      </c>
      <c r="Q83" s="8">
        <v>2033</v>
      </c>
      <c r="R83" s="8">
        <v>2034</v>
      </c>
      <c r="S83" s="8">
        <v>2035</v>
      </c>
      <c r="T83" s="8">
        <v>2036</v>
      </c>
      <c r="U83" s="8">
        <v>2037</v>
      </c>
      <c r="V83" s="8">
        <v>2038</v>
      </c>
      <c r="W83" s="8">
        <v>2039</v>
      </c>
      <c r="X83" s="8">
        <v>2040</v>
      </c>
      <c r="Y83" s="8">
        <v>2041</v>
      </c>
      <c r="Z83" s="8">
        <v>2042</v>
      </c>
      <c r="AA83" s="8">
        <v>2043</v>
      </c>
      <c r="AB83" s="8">
        <v>2044</v>
      </c>
    </row>
    <row spans="1:28" outlineLevel="1" r="84" hidden="1" x14ac:dyDescent="0.25">
      <c r="B84" s="8" t="s">
        <v>42</v>
      </c>
      <c r="F84" s="8">
        <f>F7+F44+F66</f>
        <v>221725.66666666669</v>
      </c>
      <c r="G84" s="156">
        <f ref="G84:AB84" t="shared" si="41">G7+G44+G66</f>
        <v>408806.69791666674</v>
      </c>
      <c r="H84" s="156">
        <f t="shared" si="41"/>
        <v>748324.12500000012</v>
      </c>
      <c r="I84" s="156">
        <f t="shared" si="41"/>
        <v>748324.12500000012</v>
      </c>
      <c r="J84" s="156">
        <f t="shared" si="41"/>
        <v>748324.12500000012</v>
      </c>
      <c r="K84" s="156">
        <f t="shared" si="41"/>
        <v>1358069.7083333335</v>
      </c>
      <c r="L84" s="156">
        <f t="shared" si="41"/>
        <v>1801521.041666667</v>
      </c>
      <c r="M84" s="156">
        <f t="shared" si="41"/>
        <v>1801521.041666667</v>
      </c>
      <c r="N84" s="156">
        <f t="shared" si="41"/>
        <v>1801521.041666667</v>
      </c>
      <c r="O84" s="156">
        <f t="shared" si="41"/>
        <v>1801521.041666667</v>
      </c>
      <c r="P84" s="156">
        <f t="shared" si="41"/>
        <v>1801521.041666667</v>
      </c>
      <c r="Q84" s="156">
        <f t="shared" si="41"/>
        <v>1801521.041666667</v>
      </c>
      <c r="R84" s="156">
        <f t="shared" si="41"/>
        <v>1801521.041666667</v>
      </c>
      <c r="S84" s="156">
        <f t="shared" si="41"/>
        <v>1801521.041666667</v>
      </c>
      <c r="T84" s="156">
        <f t="shared" si="41"/>
        <v>1801521.041666667</v>
      </c>
      <c r="U84" s="156">
        <f t="shared" si="41"/>
        <v>1801521.041666667</v>
      </c>
      <c r="V84" s="156">
        <f t="shared" si="41"/>
        <v>1801521.041666667</v>
      </c>
      <c r="W84" s="156">
        <f t="shared" si="41"/>
        <v>1801521.041666667</v>
      </c>
      <c r="X84" s="156">
        <f t="shared" si="41"/>
        <v>1801521.041666667</v>
      </c>
      <c r="Y84" s="156">
        <f t="shared" si="41"/>
        <v>1801521.041666667</v>
      </c>
      <c r="Z84" s="156">
        <f t="shared" si="41"/>
        <v>1801521.041666667</v>
      </c>
      <c r="AA84" s="156">
        <f t="shared" si="41"/>
        <v>905379.80555555574</v>
      </c>
      <c r="AB84" s="156">
        <f t="shared" si="41"/>
        <v>905379.80555555574</v>
      </c>
    </row>
    <row spans="1:28" outlineLevel="1" r="85" hidden="1" x14ac:dyDescent="0.25">
      <c r="B85" s="8" t="s">
        <v>43</v>
      </c>
      <c r="F85" s="8">
        <f>F36+F58+F80</f>
        <v>336918.15214743541</v>
      </c>
      <c r="G85" s="156">
        <f ref="G85:AB85" t="shared" si="42">G36+G58+G80</f>
        <v>362929.28798670304</v>
      </c>
      <c r="H85" s="156">
        <f t="shared" si="42"/>
        <v>551149.31483854027</v>
      </c>
      <c r="I85" s="156">
        <f t="shared" si="42"/>
        <v>478649.31483854039</v>
      </c>
      <c r="J85" s="156">
        <f t="shared" si="42"/>
        <v>451649.31483854039</v>
      </c>
      <c r="K85" s="156">
        <f t="shared" si="42"/>
        <v>700976.08592587942</v>
      </c>
      <c r="L85" s="156">
        <f t="shared" si="42"/>
        <v>1027962.0152207502</v>
      </c>
      <c r="M85" s="156">
        <f t="shared" si="42"/>
        <v>1027962.0152207502</v>
      </c>
      <c r="N85" s="156">
        <f t="shared" si="42"/>
        <v>1027962.0152207502</v>
      </c>
      <c r="O85" s="156">
        <f t="shared" si="42"/>
        <v>1027962.0152207502</v>
      </c>
      <c r="P85" s="156">
        <f t="shared" si="42"/>
        <v>1027962.0152207502</v>
      </c>
      <c r="Q85" s="156">
        <f t="shared" si="42"/>
        <v>1027962.0152207502</v>
      </c>
      <c r="R85" s="156">
        <f t="shared" si="42"/>
        <v>1027962.0152207502</v>
      </c>
      <c r="S85" s="156">
        <f t="shared" si="42"/>
        <v>1027962.0152207502</v>
      </c>
      <c r="T85" s="156">
        <f t="shared" si="42"/>
        <v>1027962.0152207502</v>
      </c>
      <c r="U85" s="156">
        <f t="shared" si="42"/>
        <v>1027962.0152207502</v>
      </c>
      <c r="V85" s="156">
        <f t="shared" si="42"/>
        <v>1027962.0152207502</v>
      </c>
      <c r="W85" s="156">
        <f t="shared" si="42"/>
        <v>1027962.0152207502</v>
      </c>
      <c r="X85" s="156">
        <f t="shared" si="42"/>
        <v>1027962.0152207502</v>
      </c>
      <c r="Y85" s="156">
        <f t="shared" si="42"/>
        <v>1027962.0152207502</v>
      </c>
      <c r="Z85" s="156">
        <f t="shared" si="42"/>
        <v>1027962.0152207502</v>
      </c>
      <c r="AA85" s="156">
        <f t="shared" si="42"/>
        <v>467317.39061725291</v>
      </c>
      <c r="AB85" s="156">
        <f t="shared" si="42"/>
        <v>467317.39061725291</v>
      </c>
    </row>
    <row spans="1:28" outlineLevel="1" r="86" hidden="1" x14ac:dyDescent="0.25">
      <c r="B86" s="8" t="s">
        <v>44</v>
      </c>
      <c r="F86" s="8">
        <f>G117</f>
        <v>40000</v>
      </c>
      <c r="G86" s="156">
        <f ref="G86:AA86" t="shared" si="43">H117</f>
        <v>80000</v>
      </c>
      <c r="H86" s="156">
        <f t="shared" si="43"/>
        <v>80000</v>
      </c>
      <c r="I86" s="156">
        <f t="shared" si="43"/>
        <v>80000</v>
      </c>
      <c r="J86" s="156">
        <f>K117</f>
        <v>80000</v>
      </c>
      <c r="K86" s="156">
        <f t="shared" si="43"/>
        <v>160000</v>
      </c>
      <c r="L86" s="156">
        <f>M117</f>
        <v>160000</v>
      </c>
      <c r="M86" s="156">
        <f t="shared" si="43"/>
        <v>160000</v>
      </c>
      <c r="N86" s="156">
        <f t="shared" si="43"/>
        <v>160000</v>
      </c>
      <c r="O86" s="156">
        <f t="shared" si="43"/>
        <v>160000</v>
      </c>
      <c r="P86" s="156">
        <f t="shared" si="43"/>
        <v>160000</v>
      </c>
      <c r="Q86" s="156">
        <f t="shared" si="43"/>
        <v>160000</v>
      </c>
      <c r="R86" s="156">
        <f t="shared" si="43"/>
        <v>160000</v>
      </c>
      <c r="S86" s="156">
        <f t="shared" si="43"/>
        <v>160000</v>
      </c>
      <c r="T86" s="156">
        <f t="shared" si="43"/>
        <v>160000</v>
      </c>
      <c r="U86" s="156">
        <f t="shared" si="43"/>
        <v>160000</v>
      </c>
      <c r="V86" s="156">
        <f t="shared" si="43"/>
        <v>160000</v>
      </c>
      <c r="W86" s="156">
        <f t="shared" si="43"/>
        <v>160000</v>
      </c>
      <c r="X86" s="156">
        <f t="shared" si="43"/>
        <v>160000</v>
      </c>
      <c r="Y86" s="156">
        <f t="shared" si="43"/>
        <v>160000</v>
      </c>
      <c r="Z86" s="156">
        <f t="shared" si="43"/>
        <v>160000</v>
      </c>
      <c r="AA86" s="156">
        <f t="shared" si="43"/>
        <v>80000</v>
      </c>
      <c r="AB86" s="156" t="e">
        <f>#REF!</f>
        <v>#REF!</v>
      </c>
    </row>
    <row spans="1:28" outlineLevel="1" r="87" hidden="1" x14ac:dyDescent="0.25">
      <c r="B87" s="8" t="s">
        <v>45</v>
      </c>
      <c r="F87" s="8">
        <f ref="F87:AB87" t="shared" si="44">F85-F86</f>
        <v>296918.15214743541</v>
      </c>
      <c r="G87" s="156">
        <f t="shared" si="44"/>
        <v>282929.28798670304</v>
      </c>
      <c r="H87" s="156">
        <f t="shared" si="44"/>
        <v>471149.31483854027</v>
      </c>
      <c r="I87" s="156">
        <f t="shared" si="44"/>
        <v>398649.31483854039</v>
      </c>
      <c r="J87" s="156">
        <f t="shared" si="44"/>
        <v>371649.31483854039</v>
      </c>
      <c r="K87" s="156">
        <f t="shared" si="44"/>
        <v>540976.08592587942</v>
      </c>
      <c r="L87" s="156">
        <f t="shared" si="44"/>
        <v>867962.01522075024</v>
      </c>
      <c r="M87" s="156">
        <f t="shared" si="44"/>
        <v>867962.01522075024</v>
      </c>
      <c r="N87" s="156">
        <f t="shared" si="44"/>
        <v>867962.01522075024</v>
      </c>
      <c r="O87" s="156">
        <f t="shared" si="44"/>
        <v>867962.01522075024</v>
      </c>
      <c r="P87" s="156">
        <f t="shared" si="44"/>
        <v>867962.01522075024</v>
      </c>
      <c r="Q87" s="156">
        <f t="shared" si="44"/>
        <v>867962.01522075024</v>
      </c>
      <c r="R87" s="156">
        <f t="shared" si="44"/>
        <v>867962.01522075024</v>
      </c>
      <c r="S87" s="156">
        <f t="shared" si="44"/>
        <v>867962.01522075024</v>
      </c>
      <c r="T87" s="156">
        <f t="shared" si="44"/>
        <v>867962.01522075024</v>
      </c>
      <c r="U87" s="156">
        <f t="shared" si="44"/>
        <v>867962.01522075024</v>
      </c>
      <c r="V87" s="156">
        <f t="shared" si="44"/>
        <v>867962.01522075024</v>
      </c>
      <c r="W87" s="156">
        <f t="shared" si="44"/>
        <v>867962.01522075024</v>
      </c>
      <c r="X87" s="156">
        <f t="shared" si="44"/>
        <v>867962.01522075024</v>
      </c>
      <c r="Y87" s="156">
        <f t="shared" si="44"/>
        <v>867962.01522075024</v>
      </c>
      <c r="Z87" s="156">
        <f t="shared" si="44"/>
        <v>867962.01522075024</v>
      </c>
      <c r="AA87" s="156">
        <f t="shared" si="44"/>
        <v>387317.39061725291</v>
      </c>
      <c r="AB87" s="156" t="e">
        <f t="shared" si="44"/>
        <v>#REF!</v>
      </c>
    </row>
    <row spans="1:28" outlineLevel="1" r="88" hidden="1" x14ac:dyDescent="0.25">
      <c r="B88" s="8" t="s">
        <v>46</v>
      </c>
      <c r="F88" s="8">
        <v>0.1024</v>
      </c>
      <c r="G88" s="157">
        <v>0.21</v>
      </c>
      <c r="H88" s="157">
        <v>0.21</v>
      </c>
      <c r="I88" s="157">
        <v>0.21</v>
      </c>
      <c r="J88" s="157">
        <v>0.21</v>
      </c>
      <c r="K88" s="157">
        <v>0.21</v>
      </c>
      <c r="L88" s="157">
        <v>0.21</v>
      </c>
      <c r="M88" s="157">
        <v>0.21</v>
      </c>
      <c r="N88" s="157">
        <v>0.21</v>
      </c>
      <c r="O88" s="157">
        <v>0.21</v>
      </c>
      <c r="P88" s="157">
        <v>0.21</v>
      </c>
      <c r="Q88" s="157">
        <v>0.21</v>
      </c>
      <c r="R88" s="157">
        <v>0.21</v>
      </c>
      <c r="S88" s="157">
        <v>0.21</v>
      </c>
      <c r="T88" s="157">
        <v>0.21</v>
      </c>
      <c r="U88" s="157">
        <v>0.21</v>
      </c>
      <c r="V88" s="157">
        <v>0.21</v>
      </c>
      <c r="W88" s="157">
        <v>0.21</v>
      </c>
      <c r="X88" s="157">
        <v>0.21</v>
      </c>
      <c r="Y88" s="157">
        <v>0.21</v>
      </c>
      <c r="Z88" s="157">
        <v>0.21</v>
      </c>
      <c r="AA88" s="157">
        <v>0.21</v>
      </c>
      <c r="AB88" s="157">
        <v>0.21</v>
      </c>
    </row>
    <row spans="1:28" outlineLevel="1" r="89" hidden="1" x14ac:dyDescent="0.25">
      <c r="B89" s="8" t="s">
        <v>47</v>
      </c>
      <c r="F89" s="8">
        <f>F87*F88</f>
        <v>30404.418779897387</v>
      </c>
      <c r="G89" s="156">
        <f ref="G89:AB89" t="shared" si="45">G87*G88</f>
        <v>59415.150477207637</v>
      </c>
      <c r="H89" s="156">
        <f t="shared" si="45"/>
        <v>98941.356116093448</v>
      </c>
      <c r="I89" s="156">
        <f t="shared" si="45"/>
        <v>83716.356116093477</v>
      </c>
      <c r="J89" s="156">
        <f t="shared" si="45"/>
        <v>78046.356116093477</v>
      </c>
      <c r="K89" s="156">
        <f t="shared" si="45"/>
        <v>113604.97804443467</v>
      </c>
      <c r="L89" s="156">
        <f t="shared" si="45"/>
        <v>182272.02319635754</v>
      </c>
      <c r="M89" s="156">
        <f t="shared" si="45"/>
        <v>182272.02319635754</v>
      </c>
      <c r="N89" s="156">
        <f t="shared" si="45"/>
        <v>182272.02319635754</v>
      </c>
      <c r="O89" s="156">
        <f t="shared" si="45"/>
        <v>182272.02319635754</v>
      </c>
      <c r="P89" s="156">
        <f t="shared" si="45"/>
        <v>182272.02319635754</v>
      </c>
      <c r="Q89" s="156">
        <f t="shared" si="45"/>
        <v>182272.02319635754</v>
      </c>
      <c r="R89" s="156">
        <f t="shared" si="45"/>
        <v>182272.02319635754</v>
      </c>
      <c r="S89" s="156">
        <f t="shared" si="45"/>
        <v>182272.02319635754</v>
      </c>
      <c r="T89" s="156">
        <f t="shared" si="45"/>
        <v>182272.02319635754</v>
      </c>
      <c r="U89" s="156">
        <f t="shared" si="45"/>
        <v>182272.02319635754</v>
      </c>
      <c r="V89" s="156">
        <f t="shared" si="45"/>
        <v>182272.02319635754</v>
      </c>
      <c r="W89" s="156">
        <f t="shared" si="45"/>
        <v>182272.02319635754</v>
      </c>
      <c r="X89" s="156">
        <f t="shared" si="45"/>
        <v>182272.02319635754</v>
      </c>
      <c r="Y89" s="156">
        <f t="shared" si="45"/>
        <v>182272.02319635754</v>
      </c>
      <c r="Z89" s="156">
        <f t="shared" si="45"/>
        <v>182272.02319635754</v>
      </c>
      <c r="AA89" s="156">
        <f t="shared" si="45"/>
        <v>81336.652029623103</v>
      </c>
      <c r="AB89" s="156" t="e">
        <f t="shared" si="45"/>
        <v>#REF!</v>
      </c>
    </row>
    <row spans="1:28" outlineLevel="1" r="90" hidden="1" x14ac:dyDescent="0.25">
      <c r="B90" s="8" t="s">
        <v>48</v>
      </c>
      <c r="F90" s="8">
        <f>F87-F89</f>
        <v>266513.73336753802</v>
      </c>
      <c r="G90" s="156">
        <f ref="G90:AB90" t="shared" si="46">G87-G89</f>
        <v>223514.1375094954</v>
      </c>
      <c r="H90" s="156">
        <f t="shared" si="46"/>
        <v>372207.95872244681</v>
      </c>
      <c r="I90" s="156">
        <f t="shared" si="46"/>
        <v>314932.95872244693</v>
      </c>
      <c r="J90" s="156">
        <f t="shared" si="46"/>
        <v>293602.95872244693</v>
      </c>
      <c r="K90" s="156">
        <f t="shared" si="46"/>
        <v>427371.10788144474</v>
      </c>
      <c r="L90" s="156">
        <f t="shared" si="46"/>
        <v>685689.9920243927</v>
      </c>
      <c r="M90" s="156">
        <f t="shared" si="46"/>
        <v>685689.9920243927</v>
      </c>
      <c r="N90" s="156">
        <f t="shared" si="46"/>
        <v>685689.9920243927</v>
      </c>
      <c r="O90" s="156">
        <f t="shared" si="46"/>
        <v>685689.9920243927</v>
      </c>
      <c r="P90" s="156">
        <f t="shared" si="46"/>
        <v>685689.9920243927</v>
      </c>
      <c r="Q90" s="156">
        <f t="shared" si="46"/>
        <v>685689.9920243927</v>
      </c>
      <c r="R90" s="156">
        <f t="shared" si="46"/>
        <v>685689.9920243927</v>
      </c>
      <c r="S90" s="156">
        <f t="shared" si="46"/>
        <v>685689.9920243927</v>
      </c>
      <c r="T90" s="156">
        <f t="shared" si="46"/>
        <v>685689.9920243927</v>
      </c>
      <c r="U90" s="156">
        <f t="shared" si="46"/>
        <v>685689.9920243927</v>
      </c>
      <c r="V90" s="156">
        <f t="shared" si="46"/>
        <v>685689.9920243927</v>
      </c>
      <c r="W90" s="156">
        <f t="shared" si="46"/>
        <v>685689.9920243927</v>
      </c>
      <c r="X90" s="156">
        <f t="shared" si="46"/>
        <v>685689.9920243927</v>
      </c>
      <c r="Y90" s="156">
        <f t="shared" si="46"/>
        <v>685689.9920243927</v>
      </c>
      <c r="Z90" s="156">
        <f t="shared" si="46"/>
        <v>685689.9920243927</v>
      </c>
      <c r="AA90" s="156">
        <f t="shared" si="46"/>
        <v>305980.73858762981</v>
      </c>
      <c r="AB90" s="156" t="e">
        <f t="shared" si="46"/>
        <v>#REF!</v>
      </c>
    </row>
    <row spans="1:28" outlineLevel="1" r="91" hidden="1" x14ac:dyDescent="0.25">
      <c r="B91" s="8" t="s">
        <v>49</v>
      </c>
      <c r="F91" s="8">
        <f>F86</f>
        <v>40000</v>
      </c>
      <c r="G91" s="156">
        <f ref="G91:AB91" t="shared" si="47">G86</f>
        <v>80000</v>
      </c>
      <c r="H91" s="156">
        <f t="shared" si="47"/>
        <v>80000</v>
      </c>
      <c r="I91" s="156">
        <f t="shared" si="47"/>
        <v>80000</v>
      </c>
      <c r="J91" s="156">
        <f t="shared" si="47"/>
        <v>80000</v>
      </c>
      <c r="K91" s="156">
        <f t="shared" si="47"/>
        <v>160000</v>
      </c>
      <c r="L91" s="156">
        <f t="shared" si="47"/>
        <v>160000</v>
      </c>
      <c r="M91" s="156">
        <f t="shared" si="47"/>
        <v>160000</v>
      </c>
      <c r="N91" s="156">
        <f t="shared" si="47"/>
        <v>160000</v>
      </c>
      <c r="O91" s="156">
        <f t="shared" si="47"/>
        <v>160000</v>
      </c>
      <c r="P91" s="156">
        <f t="shared" si="47"/>
        <v>160000</v>
      </c>
      <c r="Q91" s="156">
        <f t="shared" si="47"/>
        <v>160000</v>
      </c>
      <c r="R91" s="156">
        <f t="shared" si="47"/>
        <v>160000</v>
      </c>
      <c r="S91" s="156">
        <f t="shared" si="47"/>
        <v>160000</v>
      </c>
      <c r="T91" s="156">
        <f t="shared" si="47"/>
        <v>160000</v>
      </c>
      <c r="U91" s="156">
        <f t="shared" si="47"/>
        <v>160000</v>
      </c>
      <c r="V91" s="156">
        <f t="shared" si="47"/>
        <v>160000</v>
      </c>
      <c r="W91" s="156">
        <f t="shared" si="47"/>
        <v>160000</v>
      </c>
      <c r="X91" s="156">
        <f t="shared" si="47"/>
        <v>160000</v>
      </c>
      <c r="Y91" s="156">
        <f t="shared" si="47"/>
        <v>160000</v>
      </c>
      <c r="Z91" s="156">
        <f t="shared" si="47"/>
        <v>160000</v>
      </c>
      <c r="AA91" s="156">
        <f t="shared" si="47"/>
        <v>80000</v>
      </c>
      <c r="AB91" s="156" t="e">
        <f t="shared" si="47"/>
        <v>#REF!</v>
      </c>
    </row>
    <row spans="1:28" outlineLevel="1" r="92" hidden="1" x14ac:dyDescent="0.25">
      <c r="B92" s="8" t="s">
        <v>50</v>
      </c>
      <c r="F92" s="8">
        <f>F101</f>
        <v>5543.1416666666673</v>
      </c>
      <c r="G92" s="156">
        <f ref="G92:AB92" t="shared" si="48">G101</f>
        <v>610220.1674479167</v>
      </c>
      <c r="H92" s="156">
        <f t="shared" si="48"/>
        <v>618708.10312500002</v>
      </c>
      <c r="I92" s="156">
        <f t="shared" si="48"/>
        <v>618708.10312500002</v>
      </c>
      <c r="J92" s="156">
        <f t="shared" si="48"/>
        <v>618708.10312500002</v>
      </c>
      <c r="K92" s="156">
        <f t="shared" si="48"/>
        <v>33951.742708333339</v>
      </c>
      <c r="L92" s="156">
        <f t="shared" si="48"/>
        <v>45038.026041666679</v>
      </c>
      <c r="M92" s="156">
        <f t="shared" si="48"/>
        <v>45038.026041666679</v>
      </c>
      <c r="N92" s="156">
        <f t="shared" si="48"/>
        <v>45038.026041666679</v>
      </c>
      <c r="O92" s="156">
        <f t="shared" si="48"/>
        <v>45038.026041666679</v>
      </c>
      <c r="P92" s="156">
        <f t="shared" si="48"/>
        <v>45038.026041666679</v>
      </c>
      <c r="Q92" s="156">
        <f t="shared" si="48"/>
        <v>45038.026041666679</v>
      </c>
      <c r="R92" s="156">
        <f t="shared" si="48"/>
        <v>45038.026041666679</v>
      </c>
      <c r="S92" s="156">
        <f t="shared" si="48"/>
        <v>45038.026041666679</v>
      </c>
      <c r="T92" s="156">
        <f t="shared" si="48"/>
        <v>45038.026041666679</v>
      </c>
      <c r="U92" s="156">
        <f t="shared" si="48"/>
        <v>45038.026041666679</v>
      </c>
      <c r="V92" s="156">
        <f t="shared" si="48"/>
        <v>45038.026041666679</v>
      </c>
      <c r="W92" s="156">
        <f t="shared" si="48"/>
        <v>45038.026041666679</v>
      </c>
      <c r="X92" s="156">
        <f t="shared" si="48"/>
        <v>45038.026041666679</v>
      </c>
      <c r="Y92" s="156">
        <f t="shared" si="48"/>
        <v>45038.026041666679</v>
      </c>
      <c r="Z92" s="156">
        <f t="shared" si="48"/>
        <v>45038.026041666679</v>
      </c>
      <c r="AA92" s="156">
        <f t="shared" si="48"/>
        <v>22634.495138888895</v>
      </c>
      <c r="AB92" s="156">
        <f t="shared" si="48"/>
        <v>22634.495138888895</v>
      </c>
    </row>
    <row spans="1:28" outlineLevel="1" r="93" s="2" hidden="1" x14ac:dyDescent="0.25" customFormat="1">
      <c r="B93" s="2" t="s">
        <v>51</v>
      </c>
      <c r="F93" s="20">
        <f>G130</f>
        <v>28865.59597480607</v>
      </c>
      <c r="G93" s="20">
        <f ref="G93:AA93" t="shared" si="49">H130</f>
        <v>27905.002088255962</v>
      </c>
      <c r="H93" s="20">
        <f t="shared" si="49"/>
        <v>0</v>
      </c>
      <c r="I93" s="20">
        <f t="shared" si="49"/>
        <v>0</v>
      </c>
      <c r="J93" s="20">
        <f>K130</f>
        <v>115851.84027015051</v>
      </c>
      <c r="K93" s="20">
        <f t="shared" si="49"/>
        <v>-217722.24018005584</v>
      </c>
      <c r="L93" s="20">
        <f>M130</f>
        <v>-219620.45382755814</v>
      </c>
      <c r="M93" s="20">
        <f t="shared" si="49"/>
        <v>0</v>
      </c>
      <c r="N93" s="20">
        <f t="shared" si="49"/>
        <v>0</v>
      </c>
      <c r="O93" s="20">
        <f t="shared" si="49"/>
        <v>0</v>
      </c>
      <c r="P93" s="20">
        <f t="shared" si="49"/>
        <v>0</v>
      </c>
      <c r="Q93" s="20">
        <f t="shared" si="49"/>
        <v>0</v>
      </c>
      <c r="R93" s="20">
        <f t="shared" si="49"/>
        <v>0</v>
      </c>
      <c r="S93" s="20">
        <f t="shared" si="49"/>
        <v>0</v>
      </c>
      <c r="T93" s="20">
        <f t="shared" si="49"/>
        <v>0</v>
      </c>
      <c r="U93" s="20">
        <f t="shared" si="49"/>
        <v>0</v>
      </c>
      <c r="V93" s="20">
        <f t="shared" si="49"/>
        <v>0</v>
      </c>
      <c r="W93" s="20">
        <f t="shared" si="49"/>
        <v>0</v>
      </c>
      <c r="X93" s="20">
        <f t="shared" si="49"/>
        <v>0</v>
      </c>
      <c r="Y93" s="20">
        <f t="shared" si="49"/>
        <v>0</v>
      </c>
      <c r="Z93" s="20">
        <f t="shared" si="49"/>
        <v>-170267.09857885761</v>
      </c>
      <c r="AA93" s="20">
        <f t="shared" si="49"/>
        <v>219620.45382755814</v>
      </c>
      <c r="AB93" s="20" t="e">
        <f>#REF!</f>
        <v>#REF!</v>
      </c>
    </row>
    <row spans="1:28" outlineLevel="1" r="94" hidden="1" x14ac:dyDescent="0.25">
      <c r="B94" s="8" t="s">
        <v>52</v>
      </c>
      <c r="F94" s="8">
        <f>F90+F91-F92-F93</f>
        <v>272104.9957260653</v>
      </c>
      <c r="G94" s="156">
        <f ref="G94:AB94" t="shared" si="50">G90+G91-G92-G93</f>
        <v>-334611.03202667728</v>
      </c>
      <c r="H94" s="156">
        <f t="shared" si="50"/>
        <v>-166500.14440255321</v>
      </c>
      <c r="I94" s="156">
        <f t="shared" si="50"/>
        <v>-223775.14440255309</v>
      </c>
      <c r="J94" s="156">
        <f t="shared" si="50"/>
        <v>-360956.98467270361</v>
      </c>
      <c r="K94" s="156">
        <f t="shared" si="50"/>
        <v>771141.60535316728</v>
      </c>
      <c r="L94" s="156">
        <f t="shared" si="50"/>
        <v>1020272.4198102842</v>
      </c>
      <c r="M94" s="156">
        <f t="shared" si="50"/>
        <v>800651.96598272608</v>
      </c>
      <c r="N94" s="156">
        <f t="shared" si="50"/>
        <v>800651.96598272608</v>
      </c>
      <c r="O94" s="156">
        <f t="shared" si="50"/>
        <v>800651.96598272608</v>
      </c>
      <c r="P94" s="156">
        <f t="shared" si="50"/>
        <v>800651.96598272608</v>
      </c>
      <c r="Q94" s="156">
        <f t="shared" si="50"/>
        <v>800651.96598272608</v>
      </c>
      <c r="R94" s="156">
        <f t="shared" si="50"/>
        <v>800651.96598272608</v>
      </c>
      <c r="S94" s="156">
        <f t="shared" si="50"/>
        <v>800651.96598272608</v>
      </c>
      <c r="T94" s="156">
        <f t="shared" si="50"/>
        <v>800651.96598272608</v>
      </c>
      <c r="U94" s="156">
        <f t="shared" si="50"/>
        <v>800651.96598272608</v>
      </c>
      <c r="V94" s="156">
        <f t="shared" si="50"/>
        <v>800651.96598272608</v>
      </c>
      <c r="W94" s="156">
        <f t="shared" si="50"/>
        <v>800651.96598272608</v>
      </c>
      <c r="X94" s="156">
        <f t="shared" si="50"/>
        <v>800651.96598272608</v>
      </c>
      <c r="Y94" s="156">
        <f t="shared" si="50"/>
        <v>800651.96598272608</v>
      </c>
      <c r="Z94" s="156">
        <f t="shared" si="50"/>
        <v>970919.06456158368</v>
      </c>
      <c r="AA94" s="156">
        <f t="shared" si="50"/>
        <v>143725.78962118278</v>
      </c>
      <c r="AB94" s="156" t="e">
        <f t="shared" si="50"/>
        <v>#REF!</v>
      </c>
    </row>
    <row spans="1:28" outlineLevel="1" r="95" hidden="1" x14ac:dyDescent="0.25">
      <c r="F95" s="8">
        <v>0.5</v>
      </c>
      <c r="G95" s="158">
        <f>F95+1</f>
        <v>1.5</v>
      </c>
      <c r="H95" s="158">
        <f ref="H95:AB95" t="shared" si="51">G95+1</f>
        <v>2.5</v>
      </c>
      <c r="I95" s="158">
        <f t="shared" si="51"/>
        <v>3.5</v>
      </c>
      <c r="J95" s="158">
        <f t="shared" si="51"/>
        <v>4.5</v>
      </c>
      <c r="K95" s="158">
        <f t="shared" si="51"/>
        <v>5.5</v>
      </c>
      <c r="L95" s="158">
        <f t="shared" si="51"/>
        <v>6.5</v>
      </c>
      <c r="M95" s="158">
        <f>L95+1</f>
        <v>7.5</v>
      </c>
      <c r="N95" s="158">
        <f t="shared" si="51"/>
        <v>8.5</v>
      </c>
      <c r="O95" s="158">
        <f t="shared" si="51"/>
        <v>9.5</v>
      </c>
      <c r="P95" s="158">
        <f t="shared" si="51"/>
        <v>10.5</v>
      </c>
      <c r="Q95" s="158">
        <f t="shared" si="51"/>
        <v>11.5</v>
      </c>
      <c r="R95" s="158">
        <f t="shared" si="51"/>
        <v>12.5</v>
      </c>
      <c r="S95" s="158">
        <f t="shared" si="51"/>
        <v>13.5</v>
      </c>
      <c r="T95" s="158">
        <f t="shared" si="51"/>
        <v>14.5</v>
      </c>
      <c r="U95" s="158">
        <f t="shared" si="51"/>
        <v>15.5</v>
      </c>
      <c r="V95" s="158">
        <f t="shared" si="51"/>
        <v>16.5</v>
      </c>
      <c r="W95" s="158">
        <f t="shared" si="51"/>
        <v>17.5</v>
      </c>
      <c r="X95" s="158">
        <f t="shared" si="51"/>
        <v>18.5</v>
      </c>
      <c r="Y95" s="158">
        <f t="shared" si="51"/>
        <v>19.5</v>
      </c>
      <c r="Z95" s="158">
        <f t="shared" si="51"/>
        <v>20.5</v>
      </c>
      <c r="AA95" s="158">
        <f t="shared" si="51"/>
        <v>21.5</v>
      </c>
      <c r="AB95" s="158">
        <f t="shared" si="51"/>
        <v>22.5</v>
      </c>
    </row>
    <row spans="1:28" outlineLevel="1" r="96" hidden="1" x14ac:dyDescent="0.25">
      <c r="F96" s="8">
        <f>F94/(1+0.086)^F95</f>
        <v>261108.85641407411</v>
      </c>
      <c r="G96" s="156">
        <f ref="G96:AB96" t="shared" si="52">G94/(1+0.086)^G95</f>
        <v>-295662.00489489833</v>
      </c>
      <c r="H96" s="156">
        <f t="shared" si="52"/>
        <v>-135469.03943043816</v>
      </c>
      <c r="I96" s="156">
        <f t="shared" si="52"/>
        <v>-167651.50547959976</v>
      </c>
      <c r="J96" s="156">
        <f t="shared" si="52"/>
        <v>-249012.55039794274</v>
      </c>
      <c r="K96" s="156">
        <f t="shared" si="52"/>
        <v>489857.87740218436</v>
      </c>
      <c r="L96" s="156">
        <f t="shared" si="52"/>
        <v>596791.02428427828</v>
      </c>
      <c r="M96" s="156">
        <f t="shared" si="52"/>
        <v>431241.04025554733</v>
      </c>
      <c r="N96" s="156">
        <f t="shared" si="52"/>
        <v>397091.19728871761</v>
      </c>
      <c r="O96" s="156">
        <f t="shared" si="52"/>
        <v>365645.66969495174</v>
      </c>
      <c r="P96" s="156">
        <f t="shared" si="52"/>
        <v>336690.3035865117</v>
      </c>
      <c r="Q96" s="156">
        <f t="shared" si="52"/>
        <v>310027.9038549831</v>
      </c>
      <c r="R96" s="156">
        <f t="shared" si="52"/>
        <v>285476.89121084998</v>
      </c>
      <c r="S96" s="156">
        <f t="shared" si="52"/>
        <v>262870.06557168503</v>
      </c>
      <c r="T96" s="156">
        <f t="shared" si="52"/>
        <v>242053.46737724217</v>
      </c>
      <c r="U96" s="156">
        <f t="shared" si="52"/>
        <v>222885.32907665026</v>
      </c>
      <c r="V96" s="156">
        <f t="shared" si="52"/>
        <v>205235.10964700757</v>
      </c>
      <c r="W96" s="156">
        <f t="shared" si="52"/>
        <v>188982.60556814692</v>
      </c>
      <c r="X96" s="156">
        <f t="shared" si="52"/>
        <v>174017.13219903031</v>
      </c>
      <c r="Y96" s="156">
        <f t="shared" si="52"/>
        <v>160236.76998069088</v>
      </c>
      <c r="Z96" s="156">
        <f t="shared" si="52"/>
        <v>178925.24110807126</v>
      </c>
      <c r="AA96" s="156">
        <f t="shared" si="52"/>
        <v>24388.970050006497</v>
      </c>
      <c r="AB96" s="156" t="e">
        <f t="shared" si="52"/>
        <v>#REF!</v>
      </c>
    </row>
    <row spans="1:32" outlineLevel="1" r="97" hidden="1" x14ac:dyDescent="0.25"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</row>
    <row spans="1:32" outlineLevel="1" r="98" hidden="1" x14ac:dyDescent="0.25">
      <c r="A98" s="8" t="s">
        <v>40</v>
      </c>
      <c r="B98" s="151" t="s">
        <v>53</v>
      </c>
    </row>
    <row spans="1:32" outlineLevel="1" r="99" hidden="1" x14ac:dyDescent="0.25">
      <c r="B99" s="8" t="s">
        <v>54</v>
      </c>
      <c r="F99" s="8">
        <f>0.025*F84</f>
        <v>5543.1416666666673</v>
      </c>
      <c r="G99" s="156">
        <f ref="G99:AB99" t="shared" si="53">0.025*G84</f>
        <v>10220.167447916669</v>
      </c>
      <c r="H99" s="156">
        <f t="shared" si="53"/>
        <v>18708.103125000005</v>
      </c>
      <c r="I99" s="156">
        <f t="shared" si="53"/>
        <v>18708.103125000005</v>
      </c>
      <c r="J99" s="156">
        <f t="shared" si="53"/>
        <v>18708.103125000005</v>
      </c>
      <c r="K99" s="156">
        <f t="shared" si="53"/>
        <v>33951.742708333339</v>
      </c>
      <c r="L99" s="156">
        <f t="shared" si="53"/>
        <v>45038.026041666679</v>
      </c>
      <c r="M99" s="156">
        <f t="shared" si="53"/>
        <v>45038.026041666679</v>
      </c>
      <c r="N99" s="156">
        <f t="shared" si="53"/>
        <v>45038.026041666679</v>
      </c>
      <c r="O99" s="156">
        <f t="shared" si="53"/>
        <v>45038.026041666679</v>
      </c>
      <c r="P99" s="156">
        <f t="shared" si="53"/>
        <v>45038.026041666679</v>
      </c>
      <c r="Q99" s="156">
        <f t="shared" si="53"/>
        <v>45038.026041666679</v>
      </c>
      <c r="R99" s="156">
        <f t="shared" si="53"/>
        <v>45038.026041666679</v>
      </c>
      <c r="S99" s="156">
        <f t="shared" si="53"/>
        <v>45038.026041666679</v>
      </c>
      <c r="T99" s="156">
        <f t="shared" si="53"/>
        <v>45038.026041666679</v>
      </c>
      <c r="U99" s="156">
        <f t="shared" si="53"/>
        <v>45038.026041666679</v>
      </c>
      <c r="V99" s="156">
        <f t="shared" si="53"/>
        <v>45038.026041666679</v>
      </c>
      <c r="W99" s="156">
        <f t="shared" si="53"/>
        <v>45038.026041666679</v>
      </c>
      <c r="X99" s="156">
        <f t="shared" si="53"/>
        <v>45038.026041666679</v>
      </c>
      <c r="Y99" s="156">
        <f t="shared" si="53"/>
        <v>45038.026041666679</v>
      </c>
      <c r="Z99" s="156">
        <f t="shared" si="53"/>
        <v>45038.026041666679</v>
      </c>
      <c r="AA99" s="156">
        <f t="shared" si="53"/>
        <v>22634.495138888895</v>
      </c>
      <c r="AB99" s="156">
        <f t="shared" si="53"/>
        <v>22634.495138888895</v>
      </c>
    </row>
    <row spans="1:32" outlineLevel="1" r="100" hidden="1" x14ac:dyDescent="0.25">
      <c r="B100" s="8" t="s">
        <v>55</v>
      </c>
      <c r="G100" s="156">
        <f>$C$105*2</f>
        <v>600000</v>
      </c>
      <c r="H100" s="156">
        <f ref="H100:J100" t="shared" si="54">$C$105*2</f>
        <v>600000</v>
      </c>
      <c r="I100" s="156">
        <f t="shared" si="54"/>
        <v>600000</v>
      </c>
      <c r="J100" s="156">
        <f t="shared" si="54"/>
        <v>600000</v>
      </c>
    </row>
    <row spans="1:32" outlineLevel="1" r="101" hidden="1" x14ac:dyDescent="0.25">
      <c r="B101" s="8" t="s">
        <v>56</v>
      </c>
      <c r="F101" s="8">
        <f>SUM(F99:F100)</f>
        <v>5543.1416666666673</v>
      </c>
      <c r="G101" s="156">
        <f ref="G101:AB101" t="shared" si="55">SUM(G99:G100)</f>
        <v>610220.1674479167</v>
      </c>
      <c r="H101" s="156">
        <f t="shared" si="55"/>
        <v>618708.10312500002</v>
      </c>
      <c r="I101" s="156">
        <f t="shared" si="55"/>
        <v>618708.10312500002</v>
      </c>
      <c r="J101" s="156">
        <f t="shared" si="55"/>
        <v>618708.10312500002</v>
      </c>
      <c r="K101" s="156">
        <f t="shared" si="55"/>
        <v>33951.742708333339</v>
      </c>
      <c r="L101" s="156">
        <f t="shared" si="55"/>
        <v>45038.026041666679</v>
      </c>
      <c r="M101" s="156">
        <f t="shared" si="55"/>
        <v>45038.026041666679</v>
      </c>
      <c r="N101" s="156">
        <f t="shared" si="55"/>
        <v>45038.026041666679</v>
      </c>
      <c r="O101" s="156">
        <f t="shared" si="55"/>
        <v>45038.026041666679</v>
      </c>
      <c r="P101" s="156">
        <f t="shared" si="55"/>
        <v>45038.026041666679</v>
      </c>
      <c r="Q101" s="156">
        <f t="shared" si="55"/>
        <v>45038.026041666679</v>
      </c>
      <c r="R101" s="156">
        <f t="shared" si="55"/>
        <v>45038.026041666679</v>
      </c>
      <c r="S101" s="156">
        <f t="shared" si="55"/>
        <v>45038.026041666679</v>
      </c>
      <c r="T101" s="156">
        <f t="shared" si="55"/>
        <v>45038.026041666679</v>
      </c>
      <c r="U101" s="156">
        <f t="shared" si="55"/>
        <v>45038.026041666679</v>
      </c>
      <c r="V101" s="156">
        <f t="shared" si="55"/>
        <v>45038.026041666679</v>
      </c>
      <c r="W101" s="156">
        <f t="shared" si="55"/>
        <v>45038.026041666679</v>
      </c>
      <c r="X101" s="156">
        <f t="shared" si="55"/>
        <v>45038.026041666679</v>
      </c>
      <c r="Y101" s="156">
        <f t="shared" si="55"/>
        <v>45038.026041666679</v>
      </c>
      <c r="Z101" s="156">
        <f t="shared" si="55"/>
        <v>45038.026041666679</v>
      </c>
      <c r="AA101" s="156">
        <f t="shared" si="55"/>
        <v>22634.495138888895</v>
      </c>
      <c r="AB101" s="156">
        <f t="shared" si="55"/>
        <v>22634.495138888895</v>
      </c>
    </row>
    <row spans="1:32" outlineLevel="1" r="102" hidden="1" x14ac:dyDescent="0.25"/>
    <row spans="1:32" outlineLevel="1" r="103" hidden="1" x14ac:dyDescent="0.25">
      <c r="B103" s="8" t="s">
        <v>57</v>
      </c>
      <c r="C103" s="8" t="s">
        <v>58</v>
      </c>
    </row>
    <row spans="1:32" outlineLevel="1" r="104" hidden="1" x14ac:dyDescent="0.25">
      <c r="B104" s="8" t="s">
        <v>59</v>
      </c>
      <c r="C104" s="8" t="s">
        <v>60</v>
      </c>
    </row>
    <row spans="1:32" outlineLevel="1" r="105" hidden="1" x14ac:dyDescent="0.25">
      <c r="B105" s="8" t="s">
        <v>61</v>
      </c>
      <c r="C105" s="8">
        <v>300000</v>
      </c>
    </row>
    <row spans="1:32" outlineLevel="1" r="106" hidden="1" x14ac:dyDescent="0.25">
      <c r="B106" s="8" t="s">
        <v>62</v>
      </c>
    </row>
    <row spans="1:32" outlineLevel="1" r="107" hidden="1" x14ac:dyDescent="0.25"/>
    <row spans="1:32" outlineLevel="1" r="108" hidden="1" x14ac:dyDescent="0.25"/>
    <row spans="1:32" outlineLevel="1" r="109" hidden="1" x14ac:dyDescent="0.25">
      <c r="B109" s="8" t="s">
        <v>63</v>
      </c>
    </row>
    <row spans="1:32" outlineLevel="1" r="110" hidden="1" x14ac:dyDescent="0.25">
      <c r="B110" s="156">
        <v>1200000</v>
      </c>
    </row>
    <row spans="1:32" outlineLevel="1" r="111" hidden="1" x14ac:dyDescent="0.25">
      <c r="B111" s="156">
        <f>B110/30</f>
        <v>40000</v>
      </c>
    </row>
    <row spans="1:32" outlineLevel="1" r="112" hidden="1" x14ac:dyDescent="0.25">
      <c r="A112" s="8" t="s">
        <v>40</v>
      </c>
      <c r="B112" s="151" t="s">
        <v>64</v>
      </c>
      <c r="C112" s="8">
        <v>2018</v>
      </c>
      <c r="D112" s="8">
        <f>C112+1</f>
        <v>2019</v>
      </c>
      <c r="E112" s="8">
        <f>D112+1</f>
        <v>2020</v>
      </c>
      <c r="F112" s="8">
        <f ref="F112:AF112" t="shared" si="56">E112+1</f>
        <v>2021</v>
      </c>
      <c r="G112" s="159">
        <f t="shared" si="56"/>
        <v>2022</v>
      </c>
      <c r="H112" s="8">
        <f t="shared" si="56"/>
        <v>2023</v>
      </c>
      <c r="I112" s="8">
        <f t="shared" si="56"/>
        <v>2024</v>
      </c>
      <c r="J112" s="8">
        <f t="shared" si="56"/>
        <v>2025</v>
      </c>
      <c r="K112" s="8">
        <f t="shared" si="56"/>
        <v>2026</v>
      </c>
      <c r="L112" s="8">
        <f t="shared" si="56"/>
        <v>2027</v>
      </c>
      <c r="M112" s="8">
        <f>L112+1</f>
        <v>2028</v>
      </c>
      <c r="N112" s="8">
        <f t="shared" si="56"/>
        <v>2029</v>
      </c>
      <c r="O112" s="8">
        <f t="shared" si="56"/>
        <v>2030</v>
      </c>
      <c r="P112" s="8">
        <f t="shared" si="56"/>
        <v>2031</v>
      </c>
      <c r="Q112" s="8">
        <f t="shared" si="56"/>
        <v>2032</v>
      </c>
      <c r="R112" s="8">
        <f t="shared" si="56"/>
        <v>2033</v>
      </c>
      <c r="S112" s="8">
        <f t="shared" si="56"/>
        <v>2034</v>
      </c>
      <c r="T112" s="8">
        <f t="shared" si="56"/>
        <v>2035</v>
      </c>
      <c r="U112" s="8">
        <f t="shared" si="56"/>
        <v>2036</v>
      </c>
      <c r="V112" s="8">
        <f t="shared" si="56"/>
        <v>2037</v>
      </c>
      <c r="W112" s="8">
        <f t="shared" si="56"/>
        <v>2038</v>
      </c>
      <c r="X112" s="8">
        <f t="shared" si="56"/>
        <v>2039</v>
      </c>
      <c r="Y112" s="8">
        <f t="shared" si="56"/>
        <v>2040</v>
      </c>
      <c r="Z112" s="8">
        <f t="shared" si="56"/>
        <v>2041</v>
      </c>
      <c r="AA112" s="8">
        <f t="shared" si="56"/>
        <v>2042</v>
      </c>
      <c r="AB112" s="8">
        <f t="shared" si="56"/>
        <v>2043</v>
      </c>
      <c r="AC112" s="8" t="e">
        <f>#REF!+1</f>
        <v>#REF!</v>
      </c>
      <c r="AD112" s="8" t="e">
        <f t="shared" si="56"/>
        <v>#REF!</v>
      </c>
      <c r="AE112" s="8" t="e">
        <f t="shared" si="56"/>
        <v>#REF!</v>
      </c>
      <c r="AF112" s="8" t="e">
        <f t="shared" si="56"/>
        <v>#REF!</v>
      </c>
    </row>
    <row spans="1:32" outlineLevel="1" r="113" hidden="1" x14ac:dyDescent="0.25">
      <c r="B113" s="8" t="s">
        <v>65</v>
      </c>
      <c r="C113" s="156">
        <f>$B$111</f>
        <v>40000</v>
      </c>
      <c r="D113" s="156">
        <f ref="D113:AC116" t="shared" si="57">$B$111</f>
        <v>40000</v>
      </c>
      <c r="E113" s="156">
        <f t="shared" si="57"/>
        <v>40000</v>
      </c>
      <c r="F113" s="156">
        <f t="shared" si="57"/>
        <v>40000</v>
      </c>
      <c r="G113" s="160">
        <f t="shared" si="57"/>
        <v>40000</v>
      </c>
      <c r="H113" s="156">
        <f t="shared" si="57"/>
        <v>40000</v>
      </c>
      <c r="I113" s="156">
        <f t="shared" si="57"/>
        <v>40000</v>
      </c>
      <c r="J113" s="156">
        <f t="shared" si="57"/>
        <v>40000</v>
      </c>
      <c r="K113" s="156">
        <f t="shared" si="57"/>
        <v>40000</v>
      </c>
      <c r="L113" s="156">
        <f t="shared" si="57"/>
        <v>40000</v>
      </c>
      <c r="M113" s="156">
        <f t="shared" si="57"/>
        <v>40000</v>
      </c>
      <c r="N113" s="156">
        <f t="shared" si="57"/>
        <v>40000</v>
      </c>
      <c r="O113" s="156">
        <f t="shared" si="57"/>
        <v>40000</v>
      </c>
      <c r="P113" s="156">
        <f t="shared" si="57"/>
        <v>40000</v>
      </c>
      <c r="Q113" s="156">
        <f t="shared" si="57"/>
        <v>40000</v>
      </c>
      <c r="R113" s="156">
        <f t="shared" si="57"/>
        <v>40000</v>
      </c>
      <c r="S113" s="156">
        <f t="shared" si="57"/>
        <v>40000</v>
      </c>
      <c r="T113" s="156">
        <f t="shared" si="57"/>
        <v>40000</v>
      </c>
      <c r="U113" s="156">
        <f t="shared" si="57"/>
        <v>40000</v>
      </c>
      <c r="V113" s="156">
        <f t="shared" si="57"/>
        <v>40000</v>
      </c>
      <c r="W113" s="156">
        <f t="shared" si="57"/>
        <v>40000</v>
      </c>
      <c r="X113" s="156">
        <f t="shared" si="57"/>
        <v>40000</v>
      </c>
      <c r="Y113" s="156">
        <f t="shared" si="57"/>
        <v>40000</v>
      </c>
      <c r="Z113" s="156">
        <f t="shared" si="57"/>
        <v>40000</v>
      </c>
      <c r="AA113" s="156">
        <f t="shared" si="57"/>
        <v>40000</v>
      </c>
      <c r="AB113" s="156"/>
      <c r="AC113" s="156"/>
      <c r="AD113" s="156"/>
      <c r="AE113" s="156"/>
      <c r="AF113" s="156"/>
    </row>
    <row spans="1:32" outlineLevel="1" r="114" hidden="1" x14ac:dyDescent="0.25">
      <c r="B114" s="8" t="s">
        <v>66</v>
      </c>
      <c r="G114" s="159"/>
      <c r="H114" s="156">
        <f>$B$111</f>
        <v>40000</v>
      </c>
      <c r="I114" s="156">
        <f t="shared" si="57"/>
        <v>40000</v>
      </c>
      <c r="J114" s="156">
        <f t="shared" si="57"/>
        <v>40000</v>
      </c>
      <c r="K114" s="156">
        <f t="shared" si="57"/>
        <v>40000</v>
      </c>
      <c r="L114" s="156">
        <f t="shared" si="57"/>
        <v>40000</v>
      </c>
      <c r="M114" s="156">
        <f t="shared" si="57"/>
        <v>40000</v>
      </c>
      <c r="N114" s="156">
        <f t="shared" si="57"/>
        <v>40000</v>
      </c>
      <c r="O114" s="156">
        <f t="shared" si="57"/>
        <v>40000</v>
      </c>
      <c r="P114" s="156">
        <f t="shared" si="57"/>
        <v>40000</v>
      </c>
      <c r="Q114" s="156">
        <f t="shared" si="57"/>
        <v>40000</v>
      </c>
      <c r="R114" s="156">
        <f t="shared" si="57"/>
        <v>40000</v>
      </c>
      <c r="S114" s="156">
        <f t="shared" si="57"/>
        <v>40000</v>
      </c>
      <c r="T114" s="156">
        <f t="shared" si="57"/>
        <v>40000</v>
      </c>
      <c r="U114" s="156">
        <f t="shared" si="57"/>
        <v>40000</v>
      </c>
      <c r="V114" s="156">
        <f t="shared" si="57"/>
        <v>40000</v>
      </c>
      <c r="W114" s="156">
        <f t="shared" si="57"/>
        <v>40000</v>
      </c>
      <c r="X114" s="156">
        <f t="shared" si="57"/>
        <v>40000</v>
      </c>
      <c r="Y114" s="156">
        <f t="shared" si="57"/>
        <v>40000</v>
      </c>
      <c r="Z114" s="156">
        <f t="shared" si="57"/>
        <v>40000</v>
      </c>
      <c r="AA114" s="156">
        <f t="shared" si="57"/>
        <v>40000</v>
      </c>
      <c r="AB114" s="156"/>
      <c r="AC114" s="156"/>
      <c r="AD114" s="156"/>
      <c r="AE114" s="156"/>
      <c r="AF114" s="156"/>
    </row>
    <row spans="1:32" outlineLevel="1" r="115" hidden="1" x14ac:dyDescent="0.25">
      <c r="B115" s="8" t="s">
        <v>67</v>
      </c>
      <c r="G115" s="159"/>
      <c r="L115" s="156">
        <f>$B$111</f>
        <v>40000</v>
      </c>
      <c r="M115" s="156">
        <f t="shared" si="57"/>
        <v>40000</v>
      </c>
      <c r="N115" s="156">
        <f t="shared" si="57"/>
        <v>40000</v>
      </c>
      <c r="O115" s="156">
        <f t="shared" si="57"/>
        <v>40000</v>
      </c>
      <c r="P115" s="156">
        <f t="shared" si="57"/>
        <v>40000</v>
      </c>
      <c r="Q115" s="156">
        <f t="shared" si="57"/>
        <v>40000</v>
      </c>
      <c r="R115" s="156">
        <f t="shared" si="57"/>
        <v>40000</v>
      </c>
      <c r="S115" s="156">
        <f t="shared" si="57"/>
        <v>40000</v>
      </c>
      <c r="T115" s="156">
        <f t="shared" si="57"/>
        <v>40000</v>
      </c>
      <c r="U115" s="156">
        <f t="shared" si="57"/>
        <v>40000</v>
      </c>
      <c r="V115" s="156">
        <f t="shared" si="57"/>
        <v>40000</v>
      </c>
      <c r="W115" s="156">
        <f t="shared" si="57"/>
        <v>40000</v>
      </c>
      <c r="X115" s="156">
        <f t="shared" si="57"/>
        <v>40000</v>
      </c>
      <c r="Y115" s="156">
        <f t="shared" si="57"/>
        <v>40000</v>
      </c>
      <c r="Z115" s="156">
        <f t="shared" si="57"/>
        <v>40000</v>
      </c>
      <c r="AA115" s="156">
        <f t="shared" si="57"/>
        <v>40000</v>
      </c>
      <c r="AB115" s="156">
        <f t="shared" si="57"/>
        <v>40000</v>
      </c>
      <c r="AC115" s="156">
        <f t="shared" si="57"/>
        <v>40000</v>
      </c>
      <c r="AD115" s="156">
        <f ref="AD115:AF116" t="shared" si="58">$B$111</f>
        <v>40000</v>
      </c>
      <c r="AE115" s="156">
        <f t="shared" si="58"/>
        <v>40000</v>
      </c>
      <c r="AF115" s="156">
        <f t="shared" si="58"/>
        <v>40000</v>
      </c>
    </row>
    <row spans="1:32" outlineLevel="1" r="116" hidden="1" x14ac:dyDescent="0.25">
      <c r="B116" s="8" t="s">
        <v>68</v>
      </c>
      <c r="G116" s="159"/>
      <c r="L116" s="156">
        <f>$B$111</f>
        <v>40000</v>
      </c>
      <c r="M116" s="156">
        <f t="shared" si="57"/>
        <v>40000</v>
      </c>
      <c r="N116" s="156">
        <f t="shared" si="57"/>
        <v>40000</v>
      </c>
      <c r="O116" s="156">
        <f t="shared" si="57"/>
        <v>40000</v>
      </c>
      <c r="P116" s="156">
        <f t="shared" si="57"/>
        <v>40000</v>
      </c>
      <c r="Q116" s="156">
        <f t="shared" si="57"/>
        <v>40000</v>
      </c>
      <c r="R116" s="156">
        <f t="shared" si="57"/>
        <v>40000</v>
      </c>
      <c r="S116" s="156">
        <f t="shared" si="57"/>
        <v>40000</v>
      </c>
      <c r="T116" s="156">
        <f t="shared" si="57"/>
        <v>40000</v>
      </c>
      <c r="U116" s="156">
        <f t="shared" si="57"/>
        <v>40000</v>
      </c>
      <c r="V116" s="156">
        <f t="shared" si="57"/>
        <v>40000</v>
      </c>
      <c r="W116" s="156">
        <f t="shared" si="57"/>
        <v>40000</v>
      </c>
      <c r="X116" s="156">
        <f t="shared" si="57"/>
        <v>40000</v>
      </c>
      <c r="Y116" s="156">
        <f t="shared" si="57"/>
        <v>40000</v>
      </c>
      <c r="Z116" s="156">
        <f t="shared" si="57"/>
        <v>40000</v>
      </c>
      <c r="AA116" s="156">
        <f t="shared" si="57"/>
        <v>40000</v>
      </c>
      <c r="AB116" s="156">
        <f t="shared" si="57"/>
        <v>40000</v>
      </c>
      <c r="AC116" s="156">
        <f t="shared" si="57"/>
        <v>40000</v>
      </c>
      <c r="AD116" s="156">
        <f t="shared" si="58"/>
        <v>40000</v>
      </c>
      <c r="AE116" s="156">
        <f t="shared" si="58"/>
        <v>40000</v>
      </c>
      <c r="AF116" s="156">
        <f t="shared" si="58"/>
        <v>40000</v>
      </c>
    </row>
    <row spans="1:32" outlineLevel="1" r="117" hidden="1" x14ac:dyDescent="0.25">
      <c r="B117" s="8" t="s">
        <v>69</v>
      </c>
      <c r="G117" s="156">
        <f>SUM(G113:G116)</f>
        <v>40000</v>
      </c>
      <c r="H117" s="156">
        <f ref="H117:AF117" t="shared" si="59">SUM(H113:H116)</f>
        <v>80000</v>
      </c>
      <c r="I117" s="156">
        <f t="shared" si="59"/>
        <v>80000</v>
      </c>
      <c r="J117" s="156">
        <f t="shared" si="59"/>
        <v>80000</v>
      </c>
      <c r="K117" s="156">
        <f t="shared" si="59"/>
        <v>80000</v>
      </c>
      <c r="L117" s="156">
        <f t="shared" si="59"/>
        <v>160000</v>
      </c>
      <c r="M117" s="156">
        <f t="shared" si="59"/>
        <v>160000</v>
      </c>
      <c r="N117" s="156">
        <f t="shared" si="59"/>
        <v>160000</v>
      </c>
      <c r="O117" s="156">
        <f t="shared" si="59"/>
        <v>160000</v>
      </c>
      <c r="P117" s="156">
        <f t="shared" si="59"/>
        <v>160000</v>
      </c>
      <c r="Q117" s="156">
        <f t="shared" si="59"/>
        <v>160000</v>
      </c>
      <c r="R117" s="156">
        <f t="shared" si="59"/>
        <v>160000</v>
      </c>
      <c r="S117" s="156">
        <f t="shared" si="59"/>
        <v>160000</v>
      </c>
      <c r="T117" s="156">
        <f t="shared" si="59"/>
        <v>160000</v>
      </c>
      <c r="U117" s="156">
        <f t="shared" si="59"/>
        <v>160000</v>
      </c>
      <c r="V117" s="156">
        <f t="shared" si="59"/>
        <v>160000</v>
      </c>
      <c r="W117" s="156">
        <f t="shared" si="59"/>
        <v>160000</v>
      </c>
      <c r="X117" s="156">
        <f t="shared" si="59"/>
        <v>160000</v>
      </c>
      <c r="Y117" s="156">
        <f t="shared" si="59"/>
        <v>160000</v>
      </c>
      <c r="Z117" s="156">
        <f t="shared" si="59"/>
        <v>160000</v>
      </c>
      <c r="AA117" s="156">
        <f t="shared" si="59"/>
        <v>160000</v>
      </c>
      <c r="AB117" s="156">
        <f t="shared" si="59"/>
        <v>80000</v>
      </c>
      <c r="AC117" s="156">
        <f t="shared" si="59"/>
        <v>80000</v>
      </c>
      <c r="AD117" s="156">
        <f t="shared" si="59"/>
        <v>80000</v>
      </c>
      <c r="AE117" s="156">
        <f t="shared" si="59"/>
        <v>80000</v>
      </c>
      <c r="AF117" s="156">
        <f t="shared" si="59"/>
        <v>80000</v>
      </c>
    </row>
    <row spans="1:32" outlineLevel="1" r="118" hidden="1" x14ac:dyDescent="0.25"/>
    <row spans="1:32" outlineLevel="1" r="119" hidden="1" x14ac:dyDescent="0.25">
      <c r="A119" s="8" t="s">
        <v>40</v>
      </c>
      <c r="B119" s="151" t="s">
        <v>70</v>
      </c>
      <c r="E119" s="8">
        <v>2020</v>
      </c>
      <c r="F119" s="8">
        <v>2021</v>
      </c>
      <c r="G119" s="8">
        <f>F119+1</f>
        <v>2022</v>
      </c>
      <c r="H119" s="8">
        <f ref="H119:AB119" t="shared" si="60">G119+1</f>
        <v>2023</v>
      </c>
      <c r="I119" s="8">
        <f t="shared" si="60"/>
        <v>2024</v>
      </c>
      <c r="J119" s="8">
        <f t="shared" si="60"/>
        <v>2025</v>
      </c>
      <c r="K119" s="8">
        <f t="shared" si="60"/>
        <v>2026</v>
      </c>
      <c r="L119" s="8">
        <f t="shared" si="60"/>
        <v>2027</v>
      </c>
      <c r="M119" s="8">
        <f>L119+1</f>
        <v>2028</v>
      </c>
      <c r="N119" s="8">
        <f t="shared" si="60"/>
        <v>2029</v>
      </c>
      <c r="O119" s="8">
        <f t="shared" si="60"/>
        <v>2030</v>
      </c>
      <c r="P119" s="8">
        <f t="shared" si="60"/>
        <v>2031</v>
      </c>
      <c r="Q119" s="8">
        <f t="shared" si="60"/>
        <v>2032</v>
      </c>
      <c r="R119" s="8">
        <f t="shared" si="60"/>
        <v>2033</v>
      </c>
      <c r="S119" s="8">
        <f t="shared" si="60"/>
        <v>2034</v>
      </c>
      <c r="T119" s="8">
        <f t="shared" si="60"/>
        <v>2035</v>
      </c>
      <c r="U119" s="8">
        <f t="shared" si="60"/>
        <v>2036</v>
      </c>
      <c r="V119" s="8">
        <f t="shared" si="60"/>
        <v>2037</v>
      </c>
      <c r="W119" s="8">
        <f t="shared" si="60"/>
        <v>2038</v>
      </c>
      <c r="X119" s="8">
        <f t="shared" si="60"/>
        <v>2039</v>
      </c>
      <c r="Y119" s="8">
        <f t="shared" si="60"/>
        <v>2040</v>
      </c>
      <c r="Z119" s="8">
        <f t="shared" si="60"/>
        <v>2041</v>
      </c>
      <c r="AA119" s="8">
        <f t="shared" si="60"/>
        <v>2042</v>
      </c>
      <c r="AB119" s="8">
        <f t="shared" si="60"/>
        <v>2043</v>
      </c>
      <c r="AC119" s="8" t="e">
        <f>#REF!+1</f>
        <v>#REF!</v>
      </c>
    </row>
    <row spans="1:32" outlineLevel="1" r="120" hidden="1" x14ac:dyDescent="0.25">
      <c r="B120" s="151" t="s">
        <v>71</v>
      </c>
    </row>
    <row spans="1:32" outlineLevel="1" r="121" hidden="1" x14ac:dyDescent="0.25">
      <c r="B121" s="8" t="s">
        <v>72</v>
      </c>
      <c r="E121" s="156">
        <f>'Balance Sheet'!F9</f>
        <v>19544.124000417218</v>
      </c>
      <c r="F121" s="156">
        <f>'Balance Sheet'!G9</f>
        <v>62931.979369805093</v>
      </c>
      <c r="G121" s="8">
        <f>G134*G84</f>
        <v>75872.358377538869</v>
      </c>
      <c r="H121" s="8">
        <f ref="H121:AC121" t="shared" si="61">H134*H84</f>
        <v>138884.99499617284</v>
      </c>
      <c r="I121" s="8">
        <f t="shared" si="61"/>
        <v>138884.99499617284</v>
      </c>
      <c r="J121" s="8">
        <f t="shared" si="61"/>
        <v>138884.99499617284</v>
      </c>
      <c r="K121" s="8">
        <f t="shared" si="61"/>
        <v>252050.54647453589</v>
      </c>
      <c r="L121" s="8">
        <f t="shared" si="61"/>
        <v>334352.76573152724</v>
      </c>
      <c r="M121" s="8">
        <f t="shared" si="61"/>
        <v>334352.76573152724</v>
      </c>
      <c r="N121" s="8">
        <f t="shared" si="61"/>
        <v>334352.76573152724</v>
      </c>
      <c r="O121" s="8">
        <f t="shared" si="61"/>
        <v>334352.76573152724</v>
      </c>
      <c r="P121" s="8">
        <f t="shared" si="61"/>
        <v>334352.76573152724</v>
      </c>
      <c r="Q121" s="8">
        <f t="shared" si="61"/>
        <v>334352.76573152724</v>
      </c>
      <c r="R121" s="8">
        <f t="shared" si="61"/>
        <v>334352.76573152724</v>
      </c>
      <c r="S121" s="8">
        <f t="shared" si="61"/>
        <v>334352.76573152724</v>
      </c>
      <c r="T121" s="8">
        <f t="shared" si="61"/>
        <v>334352.76573152724</v>
      </c>
      <c r="U121" s="8">
        <f t="shared" si="61"/>
        <v>334352.76573152724</v>
      </c>
      <c r="V121" s="8">
        <f t="shared" si="61"/>
        <v>334352.76573152724</v>
      </c>
      <c r="W121" s="8">
        <f t="shared" si="61"/>
        <v>334352.76573152724</v>
      </c>
      <c r="X121" s="8">
        <f t="shared" si="61"/>
        <v>334352.76573152724</v>
      </c>
      <c r="Y121" s="8">
        <f t="shared" si="61"/>
        <v>334352.76573152724</v>
      </c>
      <c r="Z121" s="8">
        <f t="shared" si="61"/>
        <v>334352.76573152724</v>
      </c>
      <c r="AA121" s="8">
        <f t="shared" si="61"/>
        <v>168033.69764969061</v>
      </c>
      <c r="AB121" s="8">
        <f t="shared" si="61"/>
        <v>168033.69764969061</v>
      </c>
      <c r="AC121" s="8">
        <f t="shared" si="61"/>
        <v>0</v>
      </c>
    </row>
    <row spans="1:32" outlineLevel="1" r="122" hidden="1" x14ac:dyDescent="0.25">
      <c r="B122" s="8" t="s">
        <v>73</v>
      </c>
      <c r="E122" s="156">
        <f>'Balance Sheet'!F11</f>
        <v>1035.4762533898893</v>
      </c>
      <c r="F122" s="156">
        <f>'Balance Sheet'!G11</f>
        <v>1704.5005257158034</v>
      </c>
      <c r="G122" s="8">
        <f>G84/G135</f>
        <v>1801.0345308575099</v>
      </c>
      <c r="H122" s="8">
        <f ref="H122:AC122" t="shared" si="62">H84/H135</f>
        <v>3296.8089717391708</v>
      </c>
      <c r="I122" s="8">
        <f t="shared" si="62"/>
        <v>3296.8089717391708</v>
      </c>
      <c r="J122" s="8">
        <f t="shared" si="62"/>
        <v>3296.8089717391708</v>
      </c>
      <c r="K122" s="8">
        <f t="shared" si="62"/>
        <v>5983.0977635266427</v>
      </c>
      <c r="L122" s="8">
        <f t="shared" si="62"/>
        <v>7936.7623393720778</v>
      </c>
      <c r="M122" s="8">
        <f t="shared" si="62"/>
        <v>7936.7623393720778</v>
      </c>
      <c r="N122" s="8">
        <f t="shared" si="62"/>
        <v>7936.7623393720778</v>
      </c>
      <c r="O122" s="8">
        <f t="shared" si="62"/>
        <v>7936.7623393720778</v>
      </c>
      <c r="P122" s="8">
        <f t="shared" si="62"/>
        <v>7936.7623393720778</v>
      </c>
      <c r="Q122" s="8">
        <f t="shared" si="62"/>
        <v>7936.7623393720778</v>
      </c>
      <c r="R122" s="8">
        <f t="shared" si="62"/>
        <v>7936.7623393720778</v>
      </c>
      <c r="S122" s="8">
        <f t="shared" si="62"/>
        <v>7936.7623393720778</v>
      </c>
      <c r="T122" s="8">
        <f t="shared" si="62"/>
        <v>7936.7623393720778</v>
      </c>
      <c r="U122" s="8">
        <f t="shared" si="62"/>
        <v>7936.7623393720778</v>
      </c>
      <c r="V122" s="8">
        <f t="shared" si="62"/>
        <v>7936.7623393720778</v>
      </c>
      <c r="W122" s="8">
        <f t="shared" si="62"/>
        <v>7936.7623393720778</v>
      </c>
      <c r="X122" s="8">
        <f t="shared" si="62"/>
        <v>7936.7623393720778</v>
      </c>
      <c r="Y122" s="8">
        <f t="shared" si="62"/>
        <v>7936.7623393720778</v>
      </c>
      <c r="Z122" s="8">
        <f t="shared" si="62"/>
        <v>7936.7623393720778</v>
      </c>
      <c r="AA122" s="8">
        <f t="shared" si="62"/>
        <v>3988.7318423510956</v>
      </c>
      <c r="AB122" s="8">
        <f t="shared" si="62"/>
        <v>3988.7318423510956</v>
      </c>
      <c r="AC122" s="8">
        <f t="shared" si="62"/>
        <v>0</v>
      </c>
    </row>
    <row spans="1:32" outlineLevel="1" r="123" hidden="1" x14ac:dyDescent="0.25">
      <c r="B123" s="151" t="s">
        <v>74</v>
      </c>
      <c r="E123" s="156">
        <f>SUM(E121:E122)</f>
        <v>20579.600253807108</v>
      </c>
      <c r="F123" s="156">
        <f>SUM(F121:F122)</f>
        <v>64636.479895520897</v>
      </c>
      <c r="G123" s="156">
        <f>SUM(G121:G122)</f>
        <v>77673.392908396374</v>
      </c>
      <c r="H123" s="156">
        <f ref="H123:AC123" t="shared" si="63">SUM(H121:H122)</f>
        <v>142181.80396791201</v>
      </c>
      <c r="I123" s="156">
        <f t="shared" si="63"/>
        <v>142181.80396791201</v>
      </c>
      <c r="J123" s="156">
        <f t="shared" si="63"/>
        <v>142181.80396791201</v>
      </c>
      <c r="K123" s="156">
        <f t="shared" si="63"/>
        <v>258033.64423806252</v>
      </c>
      <c r="L123" s="156">
        <f t="shared" si="63"/>
        <v>342289.52807089931</v>
      </c>
      <c r="M123" s="156">
        <f t="shared" si="63"/>
        <v>342289.52807089931</v>
      </c>
      <c r="N123" s="156">
        <f t="shared" si="63"/>
        <v>342289.52807089931</v>
      </c>
      <c r="O123" s="156">
        <f t="shared" si="63"/>
        <v>342289.52807089931</v>
      </c>
      <c r="P123" s="156">
        <f t="shared" si="63"/>
        <v>342289.52807089931</v>
      </c>
      <c r="Q123" s="156">
        <f t="shared" si="63"/>
        <v>342289.52807089931</v>
      </c>
      <c r="R123" s="156">
        <f t="shared" si="63"/>
        <v>342289.52807089931</v>
      </c>
      <c r="S123" s="156">
        <f t="shared" si="63"/>
        <v>342289.52807089931</v>
      </c>
      <c r="T123" s="156">
        <f t="shared" si="63"/>
        <v>342289.52807089931</v>
      </c>
      <c r="U123" s="156">
        <f t="shared" si="63"/>
        <v>342289.52807089931</v>
      </c>
      <c r="V123" s="156">
        <f t="shared" si="63"/>
        <v>342289.52807089931</v>
      </c>
      <c r="W123" s="156">
        <f t="shared" si="63"/>
        <v>342289.52807089931</v>
      </c>
      <c r="X123" s="156">
        <f t="shared" si="63"/>
        <v>342289.52807089931</v>
      </c>
      <c r="Y123" s="156">
        <f t="shared" si="63"/>
        <v>342289.52807089931</v>
      </c>
      <c r="Z123" s="156">
        <f t="shared" si="63"/>
        <v>342289.52807089931</v>
      </c>
      <c r="AA123" s="156">
        <f t="shared" si="63"/>
        <v>172022.4294920417</v>
      </c>
      <c r="AB123" s="156">
        <f t="shared" si="63"/>
        <v>172022.4294920417</v>
      </c>
      <c r="AC123" s="156">
        <f t="shared" si="63"/>
        <v>0</v>
      </c>
    </row>
    <row spans="1:32" outlineLevel="1" r="124" hidden="1" x14ac:dyDescent="0.25">
      <c r="B124" s="151"/>
    </row>
    <row spans="1:32" outlineLevel="1" r="125" hidden="1" x14ac:dyDescent="0.25">
      <c r="B125" s="151" t="s">
        <v>75</v>
      </c>
      <c r="E125" s="156">
        <f>'Balance Sheet'!F25</f>
        <v>90876.27885752033</v>
      </c>
      <c r="F125" s="156">
        <f>'Balance Sheet'!G25</f>
        <v>125638.90987570971</v>
      </c>
      <c r="G125" s="8">
        <f>G138*G139</f>
        <v>109810.22691377912</v>
      </c>
      <c r="H125" s="8">
        <f ref="H125:AC125" t="shared" si="64">H138*H139</f>
        <v>146413.63588503879</v>
      </c>
      <c r="I125" s="8">
        <f t="shared" si="64"/>
        <v>146413.63588503879</v>
      </c>
      <c r="J125" s="8">
        <f t="shared" si="64"/>
        <v>146413.63588503879</v>
      </c>
      <c r="K125" s="8">
        <f t="shared" si="64"/>
        <v>146413.63588503879</v>
      </c>
      <c r="L125" s="8">
        <f t="shared" si="64"/>
        <v>448391.75989793142</v>
      </c>
      <c r="M125" s="8">
        <f t="shared" si="64"/>
        <v>668012.21372548956</v>
      </c>
      <c r="N125" s="8">
        <f t="shared" si="64"/>
        <v>668012.21372548956</v>
      </c>
      <c r="O125" s="8">
        <f t="shared" si="64"/>
        <v>668012.21372548956</v>
      </c>
      <c r="P125" s="8">
        <f t="shared" si="64"/>
        <v>668012.21372548956</v>
      </c>
      <c r="Q125" s="8">
        <f t="shared" si="64"/>
        <v>668012.21372548956</v>
      </c>
      <c r="R125" s="8">
        <f t="shared" si="64"/>
        <v>668012.21372548956</v>
      </c>
      <c r="S125" s="8">
        <f t="shared" si="64"/>
        <v>668012.21372548956</v>
      </c>
      <c r="T125" s="8">
        <f t="shared" si="64"/>
        <v>668012.21372548956</v>
      </c>
      <c r="U125" s="8">
        <f t="shared" si="64"/>
        <v>668012.21372548956</v>
      </c>
      <c r="V125" s="8">
        <f t="shared" si="64"/>
        <v>668012.21372548956</v>
      </c>
      <c r="W125" s="8">
        <f t="shared" si="64"/>
        <v>668012.21372548956</v>
      </c>
      <c r="X125" s="8">
        <f t="shared" si="64"/>
        <v>668012.21372548956</v>
      </c>
      <c r="Y125" s="8">
        <f t="shared" si="64"/>
        <v>668012.21372548956</v>
      </c>
      <c r="Z125" s="8">
        <f t="shared" si="64"/>
        <v>668012.21372548956</v>
      </c>
      <c r="AA125" s="8">
        <f t="shared" si="64"/>
        <v>668012.21372548956</v>
      </c>
      <c r="AB125" s="8">
        <f t="shared" si="64"/>
        <v>448391.75989793142</v>
      </c>
      <c r="AC125" s="8" t="e">
        <f t="shared" si="64"/>
        <v>#REF!</v>
      </c>
    </row>
    <row spans="1:32" outlineLevel="1" r="126" hidden="1" x14ac:dyDescent="0.25">
      <c r="B126" s="8" t="s">
        <v>76</v>
      </c>
      <c r="E126" s="156">
        <f>SUM(E125)</f>
        <v>90876.27885752033</v>
      </c>
      <c r="F126" s="156">
        <f>SUM(F125)</f>
        <v>125638.90987570971</v>
      </c>
      <c r="G126" s="156">
        <f>SUM(G125)</f>
        <v>109810.22691377912</v>
      </c>
      <c r="H126" s="156">
        <f ref="H126:AC126" t="shared" si="65">SUM(H125)</f>
        <v>146413.63588503879</v>
      </c>
      <c r="I126" s="156">
        <f t="shared" si="65"/>
        <v>146413.63588503879</v>
      </c>
      <c r="J126" s="156">
        <f t="shared" si="65"/>
        <v>146413.63588503879</v>
      </c>
      <c r="K126" s="156">
        <f t="shared" si="65"/>
        <v>146413.63588503879</v>
      </c>
      <c r="L126" s="156">
        <f t="shared" si="65"/>
        <v>448391.75989793142</v>
      </c>
      <c r="M126" s="156">
        <f t="shared" si="65"/>
        <v>668012.21372548956</v>
      </c>
      <c r="N126" s="156">
        <f t="shared" si="65"/>
        <v>668012.21372548956</v>
      </c>
      <c r="O126" s="156">
        <f t="shared" si="65"/>
        <v>668012.21372548956</v>
      </c>
      <c r="P126" s="156">
        <f t="shared" si="65"/>
        <v>668012.21372548956</v>
      </c>
      <c r="Q126" s="156">
        <f t="shared" si="65"/>
        <v>668012.21372548956</v>
      </c>
      <c r="R126" s="156">
        <f t="shared" si="65"/>
        <v>668012.21372548956</v>
      </c>
      <c r="S126" s="156">
        <f t="shared" si="65"/>
        <v>668012.21372548956</v>
      </c>
      <c r="T126" s="156">
        <f t="shared" si="65"/>
        <v>668012.21372548956</v>
      </c>
      <c r="U126" s="156">
        <f t="shared" si="65"/>
        <v>668012.21372548956</v>
      </c>
      <c r="V126" s="156">
        <f t="shared" si="65"/>
        <v>668012.21372548956</v>
      </c>
      <c r="W126" s="156">
        <f t="shared" si="65"/>
        <v>668012.21372548956</v>
      </c>
      <c r="X126" s="156">
        <f t="shared" si="65"/>
        <v>668012.21372548956</v>
      </c>
      <c r="Y126" s="156">
        <f t="shared" si="65"/>
        <v>668012.21372548956</v>
      </c>
      <c r="Z126" s="156">
        <f t="shared" si="65"/>
        <v>668012.21372548956</v>
      </c>
      <c r="AA126" s="156">
        <f t="shared" si="65"/>
        <v>668012.21372548956</v>
      </c>
      <c r="AB126" s="156">
        <f t="shared" si="65"/>
        <v>448391.75989793142</v>
      </c>
      <c r="AC126" s="156" t="e">
        <f t="shared" si="65"/>
        <v>#REF!</v>
      </c>
    </row>
    <row spans="1:32" outlineLevel="1" r="127" hidden="1" x14ac:dyDescent="0.25">
      <c r="B127" s="8" t="s">
        <v>77</v>
      </c>
    </row>
    <row spans="1:32" outlineLevel="1" r="128" hidden="1" x14ac:dyDescent="0.25"/>
    <row spans="1:29" outlineLevel="1" r="129" hidden="1" x14ac:dyDescent="0.25">
      <c r="B129" s="8" t="s">
        <v>78</v>
      </c>
      <c r="E129" s="156">
        <f>E123-E126</f>
        <v>-70296.678603713226</v>
      </c>
      <c r="F129" s="156">
        <f>F123-F126</f>
        <v>-61002.429980188812</v>
      </c>
      <c r="G129" s="156">
        <f ref="G129:AC129" t="shared" si="66">G123-G126</f>
        <v>-32136.834005382741</v>
      </c>
      <c r="H129" s="156">
        <f t="shared" si="66"/>
        <v>-4231.8319171267794</v>
      </c>
      <c r="I129" s="156">
        <f t="shared" si="66"/>
        <v>-4231.8319171267794</v>
      </c>
      <c r="J129" s="156">
        <f t="shared" si="66"/>
        <v>-4231.8319171267794</v>
      </c>
      <c r="K129" s="156">
        <f t="shared" si="66"/>
        <v>111620.00835302373</v>
      </c>
      <c r="L129" s="156">
        <f t="shared" si="66"/>
        <v>-106102.23182703211</v>
      </c>
      <c r="M129" s="156">
        <f t="shared" si="66"/>
        <v>-325722.68565459026</v>
      </c>
      <c r="N129" s="156">
        <f t="shared" si="66"/>
        <v>-325722.68565459026</v>
      </c>
      <c r="O129" s="156">
        <f t="shared" si="66"/>
        <v>-325722.68565459026</v>
      </c>
      <c r="P129" s="156">
        <f t="shared" si="66"/>
        <v>-325722.68565459026</v>
      </c>
      <c r="Q129" s="156">
        <f t="shared" si="66"/>
        <v>-325722.68565459026</v>
      </c>
      <c r="R129" s="156">
        <f t="shared" si="66"/>
        <v>-325722.68565459026</v>
      </c>
      <c r="S129" s="156">
        <f t="shared" si="66"/>
        <v>-325722.68565459026</v>
      </c>
      <c r="T129" s="156">
        <f t="shared" si="66"/>
        <v>-325722.68565459026</v>
      </c>
      <c r="U129" s="156">
        <f t="shared" si="66"/>
        <v>-325722.68565459026</v>
      </c>
      <c r="V129" s="156">
        <f t="shared" si="66"/>
        <v>-325722.68565459026</v>
      </c>
      <c r="W129" s="156">
        <f t="shared" si="66"/>
        <v>-325722.68565459026</v>
      </c>
      <c r="X129" s="156">
        <f t="shared" si="66"/>
        <v>-325722.68565459026</v>
      </c>
      <c r="Y129" s="156">
        <f t="shared" si="66"/>
        <v>-325722.68565459026</v>
      </c>
      <c r="Z129" s="156">
        <f t="shared" si="66"/>
        <v>-325722.68565459026</v>
      </c>
      <c r="AA129" s="156">
        <f t="shared" si="66"/>
        <v>-495989.78423344786</v>
      </c>
      <c r="AB129" s="156">
        <f t="shared" si="66"/>
        <v>-276369.33040588972</v>
      </c>
      <c r="AC129" s="156" t="e">
        <f t="shared" si="66"/>
        <v>#REF!</v>
      </c>
    </row>
    <row spans="1:29" outlineLevel="1" r="130" hidden="1" x14ac:dyDescent="0.25">
      <c r="B130" s="8" t="s">
        <v>79</v>
      </c>
      <c r="F130" s="156">
        <f>F129-E129</f>
        <v>9294.2486235244141</v>
      </c>
      <c r="G130" s="156">
        <f ref="G130:AB130" t="shared" si="67">G129-F129</f>
        <v>28865.59597480607</v>
      </c>
      <c r="H130" s="156">
        <f t="shared" si="67"/>
        <v>27905.002088255962</v>
      </c>
      <c r="I130" s="156">
        <f t="shared" si="67"/>
        <v>0</v>
      </c>
      <c r="J130" s="156">
        <f t="shared" si="67"/>
        <v>0</v>
      </c>
      <c r="K130" s="156">
        <f t="shared" si="67"/>
        <v>115851.84027015051</v>
      </c>
      <c r="L130" s="156">
        <f t="shared" si="67"/>
        <v>-217722.24018005584</v>
      </c>
      <c r="M130" s="156">
        <f>M129-L129</f>
        <v>-219620.45382755814</v>
      </c>
      <c r="N130" s="156">
        <f t="shared" si="67"/>
        <v>0</v>
      </c>
      <c r="O130" s="156">
        <f t="shared" si="67"/>
        <v>0</v>
      </c>
      <c r="P130" s="156">
        <f t="shared" si="67"/>
        <v>0</v>
      </c>
      <c r="Q130" s="156">
        <f t="shared" si="67"/>
        <v>0</v>
      </c>
      <c r="R130" s="156">
        <f t="shared" si="67"/>
        <v>0</v>
      </c>
      <c r="S130" s="156">
        <f t="shared" si="67"/>
        <v>0</v>
      </c>
      <c r="T130" s="156">
        <f t="shared" si="67"/>
        <v>0</v>
      </c>
      <c r="U130" s="156">
        <f t="shared" si="67"/>
        <v>0</v>
      </c>
      <c r="V130" s="156">
        <f t="shared" si="67"/>
        <v>0</v>
      </c>
      <c r="W130" s="156">
        <f t="shared" si="67"/>
        <v>0</v>
      </c>
      <c r="X130" s="156">
        <f t="shared" si="67"/>
        <v>0</v>
      </c>
      <c r="Y130" s="156">
        <f t="shared" si="67"/>
        <v>0</v>
      </c>
      <c r="Z130" s="156">
        <f t="shared" si="67"/>
        <v>0</v>
      </c>
      <c r="AA130" s="156">
        <f t="shared" si="67"/>
        <v>-170267.09857885761</v>
      </c>
      <c r="AB130" s="156">
        <f t="shared" si="67"/>
        <v>219620.45382755814</v>
      </c>
      <c r="AC130" s="156" t="e">
        <f>AC129-#REF!</f>
        <v>#REF!</v>
      </c>
    </row>
    <row spans="1:29" outlineLevel="1" r="131" hidden="1" x14ac:dyDescent="0.25">
      <c r="F131" s="156"/>
    </row>
    <row spans="1:29" outlineLevel="1" r="132" hidden="1" x14ac:dyDescent="0.25">
      <c r="B132" s="151" t="s">
        <v>80</v>
      </c>
      <c r="F132" s="156"/>
    </row>
    <row spans="1:29" outlineLevel="1" r="133" hidden="1" x14ac:dyDescent="0.25">
      <c r="B133" s="151" t="s">
        <v>71</v>
      </c>
      <c r="F133" s="156"/>
    </row>
    <row spans="1:29" outlineLevel="1" r="134" hidden="1" x14ac:dyDescent="0.25">
      <c r="B134" s="8" t="s">
        <v>81</v>
      </c>
      <c r="E134" s="174">
        <f>E121/D7</f>
        <v>8.6455089557319564E-2</v>
      </c>
      <c r="F134" s="174">
        <f>F121/E7</f>
        <v>0.28473431983442715</v>
      </c>
      <c r="G134" s="175">
        <f>AVERAGE($E$134:$F$134)</f>
        <v>0.18559470469587336</v>
      </c>
      <c r="H134" s="175">
        <f ref="H134:AC134" t="shared" si="68">AVERAGE($E$134:$F$134)</f>
        <v>0.18559470469587336</v>
      </c>
      <c r="I134" s="175">
        <f t="shared" si="68"/>
        <v>0.18559470469587336</v>
      </c>
      <c r="J134" s="175">
        <f t="shared" si="68"/>
        <v>0.18559470469587336</v>
      </c>
      <c r="K134" s="175">
        <f t="shared" si="68"/>
        <v>0.18559470469587336</v>
      </c>
      <c r="L134" s="175">
        <f t="shared" si="68"/>
        <v>0.18559470469587336</v>
      </c>
      <c r="M134" s="175">
        <f t="shared" si="68"/>
        <v>0.18559470469587336</v>
      </c>
      <c r="N134" s="175">
        <f t="shared" si="68"/>
        <v>0.18559470469587336</v>
      </c>
      <c r="O134" s="175">
        <f t="shared" si="68"/>
        <v>0.18559470469587336</v>
      </c>
      <c r="P134" s="175">
        <f t="shared" si="68"/>
        <v>0.18559470469587336</v>
      </c>
      <c r="Q134" s="175">
        <f t="shared" si="68"/>
        <v>0.18559470469587336</v>
      </c>
      <c r="R134" s="175">
        <f t="shared" si="68"/>
        <v>0.18559470469587336</v>
      </c>
      <c r="S134" s="175">
        <f t="shared" si="68"/>
        <v>0.18559470469587336</v>
      </c>
      <c r="T134" s="175">
        <f t="shared" si="68"/>
        <v>0.18559470469587336</v>
      </c>
      <c r="U134" s="175">
        <f t="shared" si="68"/>
        <v>0.18559470469587336</v>
      </c>
      <c r="V134" s="175">
        <f t="shared" si="68"/>
        <v>0.18559470469587336</v>
      </c>
      <c r="W134" s="175">
        <f t="shared" si="68"/>
        <v>0.18559470469587336</v>
      </c>
      <c r="X134" s="175">
        <f t="shared" si="68"/>
        <v>0.18559470469587336</v>
      </c>
      <c r="Y134" s="175">
        <f t="shared" si="68"/>
        <v>0.18559470469587336</v>
      </c>
      <c r="Z134" s="175">
        <f t="shared" si="68"/>
        <v>0.18559470469587336</v>
      </c>
      <c r="AA134" s="175">
        <f t="shared" si="68"/>
        <v>0.18559470469587336</v>
      </c>
      <c r="AB134" s="175">
        <f t="shared" si="68"/>
        <v>0.18559470469587336</v>
      </c>
      <c r="AC134" s="175">
        <f t="shared" si="68"/>
        <v>0.18559470469587336</v>
      </c>
    </row>
    <row spans="1:29" outlineLevel="1" r="135" hidden="1" x14ac:dyDescent="0.25">
      <c r="B135" s="8" t="s">
        <v>82</v>
      </c>
      <c r="E135" s="174">
        <f>F84/E122</f>
        <v>214.12916611152841</v>
      </c>
      <c r="F135" s="174">
        <f>G84/F122</f>
        <v>239.83958452872213</v>
      </c>
      <c r="G135" s="175">
        <f>AVERAGE($E$135:$F$135)</f>
        <v>226.98437532012525</v>
      </c>
      <c r="H135" s="175">
        <f ref="H135:AC135" t="shared" si="69">AVERAGE($E$135:$F$135)</f>
        <v>226.98437532012525</v>
      </c>
      <c r="I135" s="175">
        <f t="shared" si="69"/>
        <v>226.98437532012525</v>
      </c>
      <c r="J135" s="175">
        <f t="shared" si="69"/>
        <v>226.98437532012525</v>
      </c>
      <c r="K135" s="175">
        <f t="shared" si="69"/>
        <v>226.98437532012525</v>
      </c>
      <c r="L135" s="175">
        <f t="shared" si="69"/>
        <v>226.98437532012525</v>
      </c>
      <c r="M135" s="175">
        <f t="shared" si="69"/>
        <v>226.98437532012525</v>
      </c>
      <c r="N135" s="175">
        <f t="shared" si="69"/>
        <v>226.98437532012525</v>
      </c>
      <c r="O135" s="175">
        <f t="shared" si="69"/>
        <v>226.98437532012525</v>
      </c>
      <c r="P135" s="175">
        <f t="shared" si="69"/>
        <v>226.98437532012525</v>
      </c>
      <c r="Q135" s="175">
        <f t="shared" si="69"/>
        <v>226.98437532012525</v>
      </c>
      <c r="R135" s="175">
        <f t="shared" si="69"/>
        <v>226.98437532012525</v>
      </c>
      <c r="S135" s="175">
        <f t="shared" si="69"/>
        <v>226.98437532012525</v>
      </c>
      <c r="T135" s="175">
        <f t="shared" si="69"/>
        <v>226.98437532012525</v>
      </c>
      <c r="U135" s="175">
        <f t="shared" si="69"/>
        <v>226.98437532012525</v>
      </c>
      <c r="V135" s="175">
        <f t="shared" si="69"/>
        <v>226.98437532012525</v>
      </c>
      <c r="W135" s="175">
        <f t="shared" si="69"/>
        <v>226.98437532012525</v>
      </c>
      <c r="X135" s="175">
        <f t="shared" si="69"/>
        <v>226.98437532012525</v>
      </c>
      <c r="Y135" s="175">
        <f t="shared" si="69"/>
        <v>226.98437532012525</v>
      </c>
      <c r="Z135" s="175">
        <f t="shared" si="69"/>
        <v>226.98437532012525</v>
      </c>
      <c r="AA135" s="175">
        <f t="shared" si="69"/>
        <v>226.98437532012525</v>
      </c>
      <c r="AB135" s="175">
        <f t="shared" si="69"/>
        <v>226.98437532012525</v>
      </c>
      <c r="AC135" s="175">
        <f t="shared" si="69"/>
        <v>226.98437532012525</v>
      </c>
    </row>
    <row spans="1:29" outlineLevel="1" r="136" hidden="1" x14ac:dyDescent="0.25">
      <c r="B136" s="8" t="s">
        <v>83</v>
      </c>
      <c r="E136" s="176">
        <f>E135/365</f>
        <v>0.58665524962062576</v>
      </c>
      <c r="F136" s="176">
        <f>F135/365</f>
        <v>0.65709475213348523</v>
      </c>
      <c r="G136" s="176">
        <f ref="G136:AC136" t="shared" si="70">G135/365</f>
        <v>0.62187500087705549</v>
      </c>
      <c r="H136" s="176">
        <f t="shared" si="70"/>
        <v>0.62187500087705549</v>
      </c>
      <c r="I136" s="176">
        <f t="shared" si="70"/>
        <v>0.62187500087705549</v>
      </c>
      <c r="J136" s="176">
        <f t="shared" si="70"/>
        <v>0.62187500087705549</v>
      </c>
      <c r="K136" s="176">
        <f t="shared" si="70"/>
        <v>0.62187500087705549</v>
      </c>
      <c r="L136" s="176">
        <f t="shared" si="70"/>
        <v>0.62187500087705549</v>
      </c>
      <c r="M136" s="176">
        <f t="shared" si="70"/>
        <v>0.62187500087705549</v>
      </c>
      <c r="N136" s="176">
        <f t="shared" si="70"/>
        <v>0.62187500087705549</v>
      </c>
      <c r="O136" s="176">
        <f t="shared" si="70"/>
        <v>0.62187500087705549</v>
      </c>
      <c r="P136" s="176">
        <f t="shared" si="70"/>
        <v>0.62187500087705549</v>
      </c>
      <c r="Q136" s="176">
        <f t="shared" si="70"/>
        <v>0.62187500087705549</v>
      </c>
      <c r="R136" s="176">
        <f t="shared" si="70"/>
        <v>0.62187500087705549</v>
      </c>
      <c r="S136" s="176">
        <f t="shared" si="70"/>
        <v>0.62187500087705549</v>
      </c>
      <c r="T136" s="176">
        <f t="shared" si="70"/>
        <v>0.62187500087705549</v>
      </c>
      <c r="U136" s="176">
        <f t="shared" si="70"/>
        <v>0.62187500087705549</v>
      </c>
      <c r="V136" s="176">
        <f t="shared" si="70"/>
        <v>0.62187500087705549</v>
      </c>
      <c r="W136" s="176">
        <f t="shared" si="70"/>
        <v>0.62187500087705549</v>
      </c>
      <c r="X136" s="176">
        <f t="shared" si="70"/>
        <v>0.62187500087705549</v>
      </c>
      <c r="Y136" s="176">
        <f t="shared" si="70"/>
        <v>0.62187500087705549</v>
      </c>
      <c r="Z136" s="176">
        <f t="shared" si="70"/>
        <v>0.62187500087705549</v>
      </c>
      <c r="AA136" s="176">
        <f t="shared" si="70"/>
        <v>0.62187500087705549</v>
      </c>
      <c r="AB136" s="176">
        <f t="shared" si="70"/>
        <v>0.62187500087705549</v>
      </c>
      <c r="AC136" s="176">
        <f t="shared" si="70"/>
        <v>0.62187500087705549</v>
      </c>
    </row>
    <row spans="1:29" outlineLevel="1" r="137" hidden="1" x14ac:dyDescent="0.25">
      <c r="B137" s="151" t="s">
        <v>75</v>
      </c>
      <c r="E137" s="174"/>
      <c r="F137" s="174"/>
    </row>
    <row spans="1:29" outlineLevel="1" r="138" hidden="1" x14ac:dyDescent="0.25">
      <c r="B138" s="8" t="s">
        <v>84</v>
      </c>
      <c r="E138" s="174">
        <f>E125/E139</f>
        <v>1.7441324822954156</v>
      </c>
      <c r="F138" s="174">
        <f>F125/F139</f>
        <v>2.3491085897963506</v>
      </c>
      <c r="G138" s="175">
        <f>AVERAGE($E$138:$F$138)</f>
        <v>2.0466205360458831</v>
      </c>
      <c r="H138" s="175">
        <f ref="H138:AC138" t="shared" si="71">AVERAGE($E$138:$F$138)</f>
        <v>2.0466205360458831</v>
      </c>
      <c r="I138" s="175">
        <f t="shared" si="71"/>
        <v>2.0466205360458831</v>
      </c>
      <c r="J138" s="175">
        <f t="shared" si="71"/>
        <v>2.0466205360458831</v>
      </c>
      <c r="K138" s="175">
        <f t="shared" si="71"/>
        <v>2.0466205360458831</v>
      </c>
      <c r="L138" s="175">
        <f t="shared" si="71"/>
        <v>2.0466205360458831</v>
      </c>
      <c r="M138" s="175">
        <f t="shared" si="71"/>
        <v>2.0466205360458831</v>
      </c>
      <c r="N138" s="175">
        <f t="shared" si="71"/>
        <v>2.0466205360458831</v>
      </c>
      <c r="O138" s="175">
        <f t="shared" si="71"/>
        <v>2.0466205360458831</v>
      </c>
      <c r="P138" s="175">
        <f t="shared" si="71"/>
        <v>2.0466205360458831</v>
      </c>
      <c r="Q138" s="175">
        <f t="shared" si="71"/>
        <v>2.0466205360458831</v>
      </c>
      <c r="R138" s="175">
        <f t="shared" si="71"/>
        <v>2.0466205360458831</v>
      </c>
      <c r="S138" s="175">
        <f t="shared" si="71"/>
        <v>2.0466205360458831</v>
      </c>
      <c r="T138" s="175">
        <f t="shared" si="71"/>
        <v>2.0466205360458831</v>
      </c>
      <c r="U138" s="175">
        <f t="shared" si="71"/>
        <v>2.0466205360458831</v>
      </c>
      <c r="V138" s="175">
        <f t="shared" si="71"/>
        <v>2.0466205360458831</v>
      </c>
      <c r="W138" s="175">
        <f t="shared" si="71"/>
        <v>2.0466205360458831</v>
      </c>
      <c r="X138" s="175">
        <f t="shared" si="71"/>
        <v>2.0466205360458831</v>
      </c>
      <c r="Y138" s="175">
        <f t="shared" si="71"/>
        <v>2.0466205360458831</v>
      </c>
      <c r="Z138" s="175">
        <f t="shared" si="71"/>
        <v>2.0466205360458831</v>
      </c>
      <c r="AA138" s="175">
        <f t="shared" si="71"/>
        <v>2.0466205360458831</v>
      </c>
      <c r="AB138" s="175">
        <f t="shared" si="71"/>
        <v>2.0466205360458831</v>
      </c>
      <c r="AC138" s="175">
        <f t="shared" si="71"/>
        <v>2.0466205360458831</v>
      </c>
    </row>
    <row spans="1:29" outlineLevel="1" r="139" hidden="1" x14ac:dyDescent="0.25">
      <c r="B139" s="8" t="s">
        <v>85</v>
      </c>
      <c r="E139" s="156">
        <f>D10+D69</f>
        <v>52104</v>
      </c>
      <c r="F139" s="156">
        <f ref="F139:AB139" t="shared" si="72">E10+E69</f>
        <v>53483.653510713877</v>
      </c>
      <c r="G139" s="156">
        <f t="shared" si="72"/>
        <v>53654.414670310573</v>
      </c>
      <c r="H139" s="156">
        <f t="shared" si="72"/>
        <v>71539.219560414087</v>
      </c>
      <c r="I139" s="156">
        <f t="shared" si="72"/>
        <v>71539.219560414087</v>
      </c>
      <c r="J139" s="156">
        <f t="shared" si="72"/>
        <v>71539.219560414087</v>
      </c>
      <c r="K139" s="156">
        <f t="shared" si="72"/>
        <v>71539.219560414087</v>
      </c>
      <c r="L139" s="156">
        <f t="shared" si="72"/>
        <v>219088.85990376817</v>
      </c>
      <c r="M139" s="156">
        <f>L10+L69</f>
        <v>326397.6892443893</v>
      </c>
      <c r="N139" s="156">
        <f t="shared" si="72"/>
        <v>326397.6892443893</v>
      </c>
      <c r="O139" s="156">
        <f t="shared" si="72"/>
        <v>326397.6892443893</v>
      </c>
      <c r="P139" s="156">
        <f t="shared" si="72"/>
        <v>326397.6892443893</v>
      </c>
      <c r="Q139" s="156">
        <f t="shared" si="72"/>
        <v>326397.6892443893</v>
      </c>
      <c r="R139" s="156">
        <f t="shared" si="72"/>
        <v>326397.6892443893</v>
      </c>
      <c r="S139" s="156">
        <f t="shared" si="72"/>
        <v>326397.6892443893</v>
      </c>
      <c r="T139" s="156">
        <f t="shared" si="72"/>
        <v>326397.6892443893</v>
      </c>
      <c r="U139" s="156">
        <f t="shared" si="72"/>
        <v>326397.6892443893</v>
      </c>
      <c r="V139" s="156">
        <f t="shared" si="72"/>
        <v>326397.6892443893</v>
      </c>
      <c r="W139" s="156">
        <f t="shared" si="72"/>
        <v>326397.6892443893</v>
      </c>
      <c r="X139" s="156">
        <f t="shared" si="72"/>
        <v>326397.6892443893</v>
      </c>
      <c r="Y139" s="156">
        <f t="shared" si="72"/>
        <v>326397.6892443893</v>
      </c>
      <c r="Z139" s="156">
        <f t="shared" si="72"/>
        <v>326397.6892443893</v>
      </c>
      <c r="AA139" s="156">
        <f t="shared" si="72"/>
        <v>326397.6892443893</v>
      </c>
      <c r="AB139" s="156">
        <f t="shared" si="72"/>
        <v>219088.85990376817</v>
      </c>
      <c r="AC139" s="156" t="e">
        <f>#REF!+#REF!</f>
        <v>#REF!</v>
      </c>
    </row>
    <row spans="1:29" outlineLevel="1" r="140" hidden="1" x14ac:dyDescent="0.25">
      <c r="E140" s="174"/>
      <c r="F140" s="174"/>
    </row>
    <row spans="1:29" outlineLevel="1" r="141" hidden="1" x14ac:dyDescent="0.25"/>
    <row spans="1:29" r="142" collapsed="1" x14ac:dyDescent="0.25"/>
    <row spans="1:29" r="143" x14ac:dyDescent="0.25">
      <c r="A143" s="8" t="s">
        <v>7</v>
      </c>
      <c r="B143" s="24" t="s">
        <v>86</v>
      </c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72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152"/>
    </row>
    <row spans="1:29" r="144" x14ac:dyDescent="0.25">
      <c r="B144" s="24" t="s">
        <v>87</v>
      </c>
      <c r="C144" s="24">
        <v>2022</v>
      </c>
      <c r="D144" s="24">
        <f>C144+1</f>
        <v>2023</v>
      </c>
      <c r="E144" s="24">
        <f ref="E144:AA144" t="shared" si="73">D144+1</f>
        <v>2024</v>
      </c>
      <c r="F144" s="24">
        <f t="shared" si="73"/>
        <v>2025</v>
      </c>
      <c r="G144" s="24">
        <f t="shared" si="73"/>
        <v>2026</v>
      </c>
      <c r="H144" s="24">
        <f t="shared" si="73"/>
        <v>2027</v>
      </c>
      <c r="I144" s="24">
        <f t="shared" si="73"/>
        <v>2028</v>
      </c>
      <c r="J144" s="24">
        <f t="shared" si="73"/>
        <v>2029</v>
      </c>
      <c r="K144" s="24">
        <f t="shared" si="73"/>
        <v>2030</v>
      </c>
      <c r="L144" s="24">
        <f t="shared" si="73"/>
        <v>2031</v>
      </c>
      <c r="M144" s="72">
        <f>L144+1</f>
        <v>2032</v>
      </c>
      <c r="N144" s="24">
        <f t="shared" si="73"/>
        <v>2033</v>
      </c>
      <c r="O144" s="24">
        <f t="shared" si="73"/>
        <v>2034</v>
      </c>
      <c r="P144" s="24">
        <f t="shared" si="73"/>
        <v>2035</v>
      </c>
      <c r="Q144" s="24">
        <f t="shared" si="73"/>
        <v>2036</v>
      </c>
      <c r="R144" s="24">
        <f t="shared" si="73"/>
        <v>2037</v>
      </c>
      <c r="S144" s="24">
        <f t="shared" si="73"/>
        <v>2038</v>
      </c>
      <c r="T144" s="24">
        <f t="shared" si="73"/>
        <v>2039</v>
      </c>
      <c r="U144" s="24">
        <f t="shared" si="73"/>
        <v>2040</v>
      </c>
      <c r="V144" s="24">
        <f t="shared" si="73"/>
        <v>2041</v>
      </c>
      <c r="W144" s="24">
        <f t="shared" si="73"/>
        <v>2042</v>
      </c>
      <c r="X144" s="24">
        <f t="shared" si="73"/>
        <v>2043</v>
      </c>
      <c r="Y144" s="24">
        <f t="shared" si="73"/>
        <v>2044</v>
      </c>
      <c r="Z144" s="24">
        <f t="shared" si="73"/>
        <v>2045</v>
      </c>
      <c r="AA144" s="24">
        <f t="shared" si="73"/>
        <v>2046</v>
      </c>
      <c r="AB144" s="152"/>
    </row>
    <row spans="2:35" r="145" x14ac:dyDescent="0.25">
      <c r="M145" s="159"/>
    </row>
    <row spans="2:35" r="146" x14ac:dyDescent="0.25">
      <c r="B146" s="151" t="s">
        <v>88</v>
      </c>
      <c r="M146" s="159"/>
    </row>
    <row spans="2:35" r="147" x14ac:dyDescent="0.25">
      <c r="B147" s="8" t="s">
        <v>90</v>
      </c>
      <c r="C147" s="156">
        <f>F84</f>
        <v>221725.66666666669</v>
      </c>
      <c r="D147" s="156">
        <f ref="D147:Y147" t="shared" si="74">G84</f>
        <v>408806.69791666674</v>
      </c>
      <c r="E147" s="156">
        <f t="shared" si="74"/>
        <v>748324.12500000012</v>
      </c>
      <c r="F147" s="156">
        <f t="shared" si="74"/>
        <v>748324.12500000012</v>
      </c>
      <c r="G147" s="156">
        <f t="shared" si="74"/>
        <v>748324.12500000012</v>
      </c>
      <c r="H147" s="156">
        <f>K84</f>
        <v>1358069.7083333335</v>
      </c>
      <c r="I147" s="156">
        <f>L84</f>
        <v>1801521.041666667</v>
      </c>
      <c r="J147" s="156">
        <f>M84</f>
        <v>1801521.041666667</v>
      </c>
      <c r="K147" s="156">
        <f>N84</f>
        <v>1801521.041666667</v>
      </c>
      <c r="L147" s="156">
        <f>O84</f>
        <v>1801521.041666667</v>
      </c>
      <c r="M147" s="160">
        <f t="shared" si="74"/>
        <v>1801521.041666667</v>
      </c>
      <c r="N147" s="156">
        <f t="shared" si="74"/>
        <v>1801521.041666667</v>
      </c>
      <c r="O147" s="156">
        <f t="shared" si="74"/>
        <v>1801521.041666667</v>
      </c>
      <c r="P147" s="156">
        <f t="shared" si="74"/>
        <v>1801521.041666667</v>
      </c>
      <c r="Q147" s="156">
        <f t="shared" si="74"/>
        <v>1801521.041666667</v>
      </c>
      <c r="R147" s="156">
        <f t="shared" si="74"/>
        <v>1801521.041666667</v>
      </c>
      <c r="S147" s="156">
        <f t="shared" si="74"/>
        <v>1801521.041666667</v>
      </c>
      <c r="T147" s="156">
        <f t="shared" si="74"/>
        <v>1801521.041666667</v>
      </c>
      <c r="U147" s="156">
        <f t="shared" si="74"/>
        <v>1801521.041666667</v>
      </c>
      <c r="V147" s="156">
        <f t="shared" si="74"/>
        <v>1801521.041666667</v>
      </c>
      <c r="W147" s="156">
        <f t="shared" si="74"/>
        <v>1801521.041666667</v>
      </c>
      <c r="X147" s="156">
        <f t="shared" si="74"/>
        <v>905379.80555555574</v>
      </c>
      <c r="Y147" s="156">
        <f t="shared" si="74"/>
        <v>905379.80555555574</v>
      </c>
      <c r="Z147" s="156" t="e">
        <f>#REF!</f>
        <v>#REF!</v>
      </c>
      <c r="AA147" s="156" t="e">
        <f>#REF!</f>
        <v>#REF!</v>
      </c>
      <c r="AC147" s="151" t="s">
        <v>697</v>
      </c>
    </row>
    <row spans="2:35" r="148" x14ac:dyDescent="0.25">
      <c r="B148" s="8" t="s">
        <v>45</v>
      </c>
      <c r="C148" s="156">
        <f>F87</f>
        <v>296918.15214743541</v>
      </c>
      <c r="D148" s="156">
        <f ref="D148:Y148" t="shared" si="75">G87</f>
        <v>282929.28798670304</v>
      </c>
      <c r="E148" s="156">
        <f t="shared" si="75"/>
        <v>471149.31483854027</v>
      </c>
      <c r="F148" s="156">
        <f t="shared" si="75"/>
        <v>398649.31483854039</v>
      </c>
      <c r="G148" s="156">
        <f t="shared" si="75"/>
        <v>371649.31483854039</v>
      </c>
      <c r="H148" s="156">
        <f>K87</f>
        <v>540976.08592587942</v>
      </c>
      <c r="I148" s="156">
        <f>L87</f>
        <v>867962.01522075024</v>
      </c>
      <c r="J148" s="156">
        <f>M87</f>
        <v>867962.01522075024</v>
      </c>
      <c r="K148" s="156">
        <f>N87</f>
        <v>867962.01522075024</v>
      </c>
      <c r="L148" s="156">
        <f>O87</f>
        <v>867962.01522075024</v>
      </c>
      <c r="M148" s="160">
        <f t="shared" si="75"/>
        <v>867962.01522075024</v>
      </c>
      <c r="N148" s="156">
        <f t="shared" si="75"/>
        <v>867962.01522075024</v>
      </c>
      <c r="O148" s="156">
        <f t="shared" si="75"/>
        <v>867962.01522075024</v>
      </c>
      <c r="P148" s="156">
        <f t="shared" si="75"/>
        <v>867962.01522075024</v>
      </c>
      <c r="Q148" s="156">
        <f t="shared" si="75"/>
        <v>867962.01522075024</v>
      </c>
      <c r="R148" s="156">
        <f t="shared" si="75"/>
        <v>867962.01522075024</v>
      </c>
      <c r="S148" s="156">
        <f t="shared" si="75"/>
        <v>867962.01522075024</v>
      </c>
      <c r="T148" s="156">
        <f t="shared" si="75"/>
        <v>867962.01522075024</v>
      </c>
      <c r="U148" s="156">
        <f t="shared" si="75"/>
        <v>867962.01522075024</v>
      </c>
      <c r="V148" s="156">
        <f t="shared" si="75"/>
        <v>867962.01522075024</v>
      </c>
      <c r="W148" s="156">
        <f t="shared" si="75"/>
        <v>867962.01522075024</v>
      </c>
      <c r="X148" s="156">
        <f t="shared" si="75"/>
        <v>387317.39061725291</v>
      </c>
      <c r="Y148" s="156" t="e">
        <f t="shared" si="75"/>
        <v>#REF!</v>
      </c>
      <c r="Z148" s="156" t="e">
        <f>#REF!</f>
        <v>#REF!</v>
      </c>
      <c r="AA148" s="156" t="e">
        <f>#REF!</f>
        <v>#REF!</v>
      </c>
      <c r="AC148" s="8" t="s">
        <v>698</v>
      </c>
      <c r="AD148" s="156">
        <f>L148+L152</f>
        <v>1027962.0152207502</v>
      </c>
    </row>
    <row spans="2:35" r="149" x14ac:dyDescent="0.25">
      <c r="B149" s="8" t="s">
        <v>92</v>
      </c>
      <c r="C149" s="156">
        <f>F89</f>
        <v>30404.418779897387</v>
      </c>
      <c r="D149" s="156">
        <f ref="D149:Y150" t="shared" si="76">G89</f>
        <v>59415.150477207637</v>
      </c>
      <c r="E149" s="156">
        <f t="shared" si="76"/>
        <v>98941.356116093448</v>
      </c>
      <c r="F149" s="156">
        <f t="shared" si="76"/>
        <v>83716.356116093477</v>
      </c>
      <c r="G149" s="156">
        <f t="shared" si="76"/>
        <v>78046.356116093477</v>
      </c>
      <c r="H149" s="156">
        <f ref="H149:L150" t="shared" si="77">K89</f>
        <v>113604.97804443467</v>
      </c>
      <c r="I149" s="156">
        <f t="shared" si="77"/>
        <v>182272.02319635754</v>
      </c>
      <c r="J149" s="156">
        <f t="shared" si="77"/>
        <v>182272.02319635754</v>
      </c>
      <c r="K149" s="156">
        <f t="shared" si="77"/>
        <v>182272.02319635754</v>
      </c>
      <c r="L149" s="156">
        <f t="shared" si="77"/>
        <v>182272.02319635754</v>
      </c>
      <c r="M149" s="160">
        <f t="shared" si="76"/>
        <v>182272.02319635754</v>
      </c>
      <c r="N149" s="156">
        <f t="shared" si="76"/>
        <v>182272.02319635754</v>
      </c>
      <c r="O149" s="156">
        <f t="shared" si="76"/>
        <v>182272.02319635754</v>
      </c>
      <c r="P149" s="156">
        <f t="shared" si="76"/>
        <v>182272.02319635754</v>
      </c>
      <c r="Q149" s="156">
        <f t="shared" si="76"/>
        <v>182272.02319635754</v>
      </c>
      <c r="R149" s="156">
        <f t="shared" si="76"/>
        <v>182272.02319635754</v>
      </c>
      <c r="S149" s="156">
        <f t="shared" si="76"/>
        <v>182272.02319635754</v>
      </c>
      <c r="T149" s="156">
        <f t="shared" si="76"/>
        <v>182272.02319635754</v>
      </c>
      <c r="U149" s="156">
        <f t="shared" si="76"/>
        <v>182272.02319635754</v>
      </c>
      <c r="V149" s="156">
        <f t="shared" si="76"/>
        <v>182272.02319635754</v>
      </c>
      <c r="W149" s="156">
        <f t="shared" si="76"/>
        <v>182272.02319635754</v>
      </c>
      <c r="X149" s="156">
        <f t="shared" si="76"/>
        <v>81336.652029623103</v>
      </c>
      <c r="Y149" s="156" t="e">
        <f t="shared" si="76"/>
        <v>#REF!</v>
      </c>
      <c r="Z149" s="156" t="e">
        <f>#REF!</f>
        <v>#REF!</v>
      </c>
      <c r="AA149" s="156" t="e">
        <f>#REF!</f>
        <v>#REF!</v>
      </c>
      <c r="AC149" s="8" t="s">
        <v>395</v>
      </c>
      <c r="AD149" s="157">
        <f>WACC!$C$23</f>
        <v>9.2732112753142262E-2</v>
      </c>
    </row>
    <row spans="2:35" r="150" x14ac:dyDescent="0.25">
      <c r="B150" s="8" t="s">
        <v>48</v>
      </c>
      <c r="C150" s="156">
        <f>F90</f>
        <v>266513.73336753802</v>
      </c>
      <c r="D150" s="156">
        <f t="shared" si="76"/>
        <v>223514.1375094954</v>
      </c>
      <c r="E150" s="156">
        <f t="shared" si="76"/>
        <v>372207.95872244681</v>
      </c>
      <c r="F150" s="156">
        <f t="shared" si="76"/>
        <v>314932.95872244693</v>
      </c>
      <c r="G150" s="156">
        <f t="shared" si="76"/>
        <v>293602.95872244693</v>
      </c>
      <c r="H150" s="156">
        <f t="shared" si="77"/>
        <v>427371.10788144474</v>
      </c>
      <c r="I150" s="156">
        <f t="shared" si="77"/>
        <v>685689.9920243927</v>
      </c>
      <c r="J150" s="156">
        <f t="shared" si="77"/>
        <v>685689.9920243927</v>
      </c>
      <c r="K150" s="156">
        <f t="shared" si="77"/>
        <v>685689.9920243927</v>
      </c>
      <c r="L150" s="156">
        <f t="shared" si="77"/>
        <v>685689.9920243927</v>
      </c>
      <c r="M150" s="160">
        <f t="shared" si="76"/>
        <v>685689.9920243927</v>
      </c>
      <c r="N150" s="156">
        <f t="shared" si="76"/>
        <v>685689.9920243927</v>
      </c>
      <c r="O150" s="156">
        <f t="shared" si="76"/>
        <v>685689.9920243927</v>
      </c>
      <c r="P150" s="156">
        <f t="shared" si="76"/>
        <v>685689.9920243927</v>
      </c>
      <c r="Q150" s="156">
        <f t="shared" si="76"/>
        <v>685689.9920243927</v>
      </c>
      <c r="R150" s="156">
        <f t="shared" si="76"/>
        <v>685689.9920243927</v>
      </c>
      <c r="S150" s="156">
        <f t="shared" si="76"/>
        <v>685689.9920243927</v>
      </c>
      <c r="T150" s="156">
        <f t="shared" si="76"/>
        <v>685689.9920243927</v>
      </c>
      <c r="U150" s="156">
        <f t="shared" si="76"/>
        <v>685689.9920243927</v>
      </c>
      <c r="V150" s="156">
        <f t="shared" si="76"/>
        <v>685689.9920243927</v>
      </c>
      <c r="W150" s="156">
        <f t="shared" si="76"/>
        <v>685689.9920243927</v>
      </c>
      <c r="X150" s="156">
        <f t="shared" si="76"/>
        <v>305980.73858762981</v>
      </c>
      <c r="Y150" s="156" t="e">
        <f t="shared" si="76"/>
        <v>#REF!</v>
      </c>
      <c r="Z150" s="156" t="e">
        <f>#REF!</f>
        <v>#REF!</v>
      </c>
      <c r="AA150" s="156" t="e">
        <f>#REF!</f>
        <v>#REF!</v>
      </c>
      <c r="AC150" s="8" t="s">
        <v>699</v>
      </c>
      <c r="AD150" s="178">
        <f>COMPS!$S$24-2</f>
        <v>8.2534745569079391</v>
      </c>
    </row>
    <row spans="2:35" r="151" x14ac:dyDescent="0.25">
      <c r="M151" s="159"/>
      <c r="AC151" s="8" t="s">
        <v>700</v>
      </c>
      <c r="AD151" s="156">
        <f>AD148*AD150</f>
        <v>8484258.3380922731</v>
      </c>
    </row>
    <row spans="2:35" r="152" x14ac:dyDescent="0.25">
      <c r="B152" s="8" t="s">
        <v>93</v>
      </c>
      <c r="C152" s="156">
        <f>F91</f>
        <v>40000</v>
      </c>
      <c r="D152" s="156">
        <f ref="D152:Y154" t="shared" si="78">G91</f>
        <v>80000</v>
      </c>
      <c r="E152" s="156">
        <f t="shared" si="78"/>
        <v>80000</v>
      </c>
      <c r="F152" s="156">
        <f t="shared" si="78"/>
        <v>80000</v>
      </c>
      <c r="G152" s="156">
        <f t="shared" si="78"/>
        <v>80000</v>
      </c>
      <c r="H152" s="156">
        <f ref="H152:L154" t="shared" si="79">K91</f>
        <v>160000</v>
      </c>
      <c r="I152" s="156">
        <f t="shared" si="79"/>
        <v>160000</v>
      </c>
      <c r="J152" s="156">
        <f t="shared" si="79"/>
        <v>160000</v>
      </c>
      <c r="K152" s="156">
        <f t="shared" si="79"/>
        <v>160000</v>
      </c>
      <c r="L152" s="156">
        <f t="shared" si="79"/>
        <v>160000</v>
      </c>
      <c r="M152" s="160">
        <f t="shared" si="78"/>
        <v>160000</v>
      </c>
      <c r="N152" s="156">
        <f t="shared" si="78"/>
        <v>160000</v>
      </c>
      <c r="O152" s="156">
        <f t="shared" si="78"/>
        <v>160000</v>
      </c>
      <c r="P152" s="156">
        <f t="shared" si="78"/>
        <v>160000</v>
      </c>
      <c r="Q152" s="156">
        <f t="shared" si="78"/>
        <v>160000</v>
      </c>
      <c r="R152" s="156">
        <f t="shared" si="78"/>
        <v>160000</v>
      </c>
      <c r="S152" s="156">
        <f t="shared" si="78"/>
        <v>160000</v>
      </c>
      <c r="T152" s="156">
        <f t="shared" si="78"/>
        <v>160000</v>
      </c>
      <c r="U152" s="156">
        <f t="shared" si="78"/>
        <v>160000</v>
      </c>
      <c r="V152" s="156">
        <f t="shared" si="78"/>
        <v>160000</v>
      </c>
      <c r="W152" s="156">
        <f t="shared" si="78"/>
        <v>160000</v>
      </c>
      <c r="X152" s="156">
        <f t="shared" si="78"/>
        <v>80000</v>
      </c>
      <c r="Y152" s="156" t="e">
        <f t="shared" si="78"/>
        <v>#REF!</v>
      </c>
      <c r="Z152" s="156" t="e">
        <f>#REF!</f>
        <v>#REF!</v>
      </c>
      <c r="AA152" s="156" t="e">
        <f>#REF!</f>
        <v>#REF!</v>
      </c>
      <c r="AC152" s="8" t="s">
        <v>701</v>
      </c>
      <c r="AD152" s="156">
        <f>AD151/(1+AD149)^L157</f>
        <v>3495238.5576771041</v>
      </c>
    </row>
    <row spans="2:35" r="153" x14ac:dyDescent="0.25">
      <c r="B153" s="8" t="s">
        <v>53</v>
      </c>
      <c r="C153" s="156">
        <f>F92</f>
        <v>5543.1416666666673</v>
      </c>
      <c r="D153" s="156">
        <f t="shared" si="78"/>
        <v>610220.1674479167</v>
      </c>
      <c r="E153" s="156">
        <f t="shared" si="78"/>
        <v>618708.10312500002</v>
      </c>
      <c r="F153" s="156">
        <f t="shared" si="78"/>
        <v>618708.10312500002</v>
      </c>
      <c r="G153" s="156">
        <f t="shared" si="78"/>
        <v>618708.10312500002</v>
      </c>
      <c r="H153" s="156">
        <f t="shared" si="79"/>
        <v>33951.742708333339</v>
      </c>
      <c r="I153" s="156">
        <f t="shared" si="79"/>
        <v>45038.026041666679</v>
      </c>
      <c r="J153" s="156">
        <f t="shared" si="79"/>
        <v>45038.026041666679</v>
      </c>
      <c r="K153" s="156">
        <f t="shared" si="79"/>
        <v>45038.026041666679</v>
      </c>
      <c r="L153" s="156">
        <f t="shared" si="79"/>
        <v>45038.026041666679</v>
      </c>
      <c r="M153" s="160">
        <f t="shared" si="78"/>
        <v>45038.026041666679</v>
      </c>
      <c r="N153" s="156">
        <f t="shared" si="78"/>
        <v>45038.026041666679</v>
      </c>
      <c r="O153" s="156">
        <f t="shared" si="78"/>
        <v>45038.026041666679</v>
      </c>
      <c r="P153" s="156">
        <f t="shared" si="78"/>
        <v>45038.026041666679</v>
      </c>
      <c r="Q153" s="156">
        <f t="shared" si="78"/>
        <v>45038.026041666679</v>
      </c>
      <c r="R153" s="156">
        <f t="shared" si="78"/>
        <v>45038.026041666679</v>
      </c>
      <c r="S153" s="156">
        <f t="shared" si="78"/>
        <v>45038.026041666679</v>
      </c>
      <c r="T153" s="156">
        <f t="shared" si="78"/>
        <v>45038.026041666679</v>
      </c>
      <c r="U153" s="156">
        <f t="shared" si="78"/>
        <v>45038.026041666679</v>
      </c>
      <c r="V153" s="156">
        <f t="shared" si="78"/>
        <v>45038.026041666679</v>
      </c>
      <c r="W153" s="156">
        <f t="shared" si="78"/>
        <v>45038.026041666679</v>
      </c>
      <c r="X153" s="156">
        <f t="shared" si="78"/>
        <v>22634.495138888895</v>
      </c>
      <c r="Y153" s="156">
        <f t="shared" si="78"/>
        <v>22634.495138888895</v>
      </c>
      <c r="Z153" s="156" t="e">
        <f>#REF!</f>
        <v>#REF!</v>
      </c>
      <c r="AA153" s="156" t="e">
        <f>#REF!</f>
        <v>#REF!</v>
      </c>
      <c r="AC153" s="151" t="s">
        <v>702</v>
      </c>
      <c r="AD153" s="156">
        <f>SUM(C159:L159)+AD152</f>
        <v>5033294.4391199034</v>
      </c>
      <c r="AI153" s="156"/>
    </row>
    <row spans="2:35" r="154" s="2" x14ac:dyDescent="0.25" customFormat="1">
      <c r="B154" s="2" t="s">
        <v>79</v>
      </c>
      <c r="C154" s="156">
        <f>F93</f>
        <v>28865.59597480607</v>
      </c>
      <c r="D154" s="156">
        <f t="shared" si="78"/>
        <v>27905.002088255962</v>
      </c>
      <c r="E154" s="156">
        <f t="shared" si="78"/>
        <v>0</v>
      </c>
      <c r="F154" s="156">
        <f t="shared" si="78"/>
        <v>0</v>
      </c>
      <c r="G154" s="156">
        <f t="shared" si="78"/>
        <v>115851.84027015051</v>
      </c>
      <c r="H154" s="156">
        <f t="shared" si="79"/>
        <v>-217722.24018005584</v>
      </c>
      <c r="I154" s="156">
        <f t="shared" si="79"/>
        <v>-219620.45382755814</v>
      </c>
      <c r="J154" s="156">
        <f t="shared" si="79"/>
        <v>0</v>
      </c>
      <c r="K154" s="156">
        <f t="shared" si="79"/>
        <v>0</v>
      </c>
      <c r="L154" s="156">
        <f t="shared" si="79"/>
        <v>0</v>
      </c>
      <c r="M154" s="29">
        <f t="shared" si="78"/>
        <v>0</v>
      </c>
      <c r="N154" s="2">
        <f t="shared" si="78"/>
        <v>0</v>
      </c>
      <c r="O154" s="2">
        <f t="shared" si="78"/>
        <v>0</v>
      </c>
      <c r="P154" s="2">
        <f t="shared" si="78"/>
        <v>0</v>
      </c>
      <c r="Q154" s="2">
        <f t="shared" si="78"/>
        <v>0</v>
      </c>
      <c r="R154" s="2">
        <f t="shared" si="78"/>
        <v>0</v>
      </c>
      <c r="S154" s="2">
        <f t="shared" si="78"/>
        <v>0</v>
      </c>
      <c r="T154" s="2">
        <f t="shared" si="78"/>
        <v>0</v>
      </c>
      <c r="U154" s="2">
        <f t="shared" si="78"/>
        <v>0</v>
      </c>
      <c r="V154" s="2">
        <f t="shared" si="78"/>
        <v>0</v>
      </c>
      <c r="W154" s="2">
        <f t="shared" si="78"/>
        <v>-170267.09857885761</v>
      </c>
      <c r="X154" s="2">
        <f t="shared" si="78"/>
        <v>219620.45382755814</v>
      </c>
      <c r="Y154" s="2" t="e">
        <f t="shared" si="78"/>
        <v>#REF!</v>
      </c>
      <c r="Z154" s="2" t="e">
        <f>#REF!</f>
        <v>#REF!</v>
      </c>
      <c r="AA154" s="2" t="e">
        <f>#REF!</f>
        <v>#REF!</v>
      </c>
      <c r="AI154" s="76"/>
    </row>
    <row spans="2:35" r="155" x14ac:dyDescent="0.25">
      <c r="B155" s="8" t="s">
        <v>94</v>
      </c>
      <c r="C155" s="156">
        <f>C150+C152-C153-C154</f>
        <v>272104.9957260653</v>
      </c>
      <c r="D155" s="156">
        <f ref="D155:AA155" t="shared" si="80">D150+D152-D153-D154</f>
        <v>-334611.03202667728</v>
      </c>
      <c r="E155" s="156">
        <f t="shared" si="80"/>
        <v>-166500.14440255321</v>
      </c>
      <c r="F155" s="156">
        <f t="shared" si="80"/>
        <v>-223775.14440255309</v>
      </c>
      <c r="G155" s="156">
        <f t="shared" si="80"/>
        <v>-360956.98467270361</v>
      </c>
      <c r="H155" s="156">
        <f t="shared" si="80"/>
        <v>771141.60535316728</v>
      </c>
      <c r="I155" s="156">
        <f t="shared" si="80"/>
        <v>1020272.4198102842</v>
      </c>
      <c r="J155" s="156">
        <f t="shared" si="80"/>
        <v>800651.96598272608</v>
      </c>
      <c r="K155" s="156">
        <f t="shared" si="80"/>
        <v>800651.96598272608</v>
      </c>
      <c r="L155" s="156">
        <f t="shared" si="80"/>
        <v>800651.96598272608</v>
      </c>
      <c r="M155" s="160">
        <f t="shared" si="80"/>
        <v>800651.96598272608</v>
      </c>
      <c r="N155" s="156">
        <f t="shared" si="80"/>
        <v>800651.96598272608</v>
      </c>
      <c r="O155" s="156">
        <f t="shared" si="80"/>
        <v>800651.96598272608</v>
      </c>
      <c r="P155" s="156">
        <f t="shared" si="80"/>
        <v>800651.96598272608</v>
      </c>
      <c r="Q155" s="156">
        <f t="shared" si="80"/>
        <v>800651.96598272608</v>
      </c>
      <c r="R155" s="156">
        <f t="shared" si="80"/>
        <v>800651.96598272608</v>
      </c>
      <c r="S155" s="156">
        <f t="shared" si="80"/>
        <v>800651.96598272608</v>
      </c>
      <c r="T155" s="156">
        <f t="shared" si="80"/>
        <v>800651.96598272608</v>
      </c>
      <c r="U155" s="156">
        <f t="shared" si="80"/>
        <v>800651.96598272608</v>
      </c>
      <c r="V155" s="156">
        <f t="shared" si="80"/>
        <v>800651.96598272608</v>
      </c>
      <c r="W155" s="156">
        <f t="shared" si="80"/>
        <v>970919.06456158368</v>
      </c>
      <c r="X155" s="156">
        <f t="shared" si="80"/>
        <v>143725.78962118278</v>
      </c>
      <c r="Y155" s="156" t="e">
        <f t="shared" si="80"/>
        <v>#REF!</v>
      </c>
      <c r="Z155" s="156" t="e">
        <f t="shared" si="80"/>
        <v>#REF!</v>
      </c>
      <c r="AA155" s="156" t="e">
        <f t="shared" si="80"/>
        <v>#REF!</v>
      </c>
      <c r="AC155" s="8" t="s">
        <v>109</v>
      </c>
      <c r="AD155" s="156">
        <f>WACC!$C$20*1000</f>
        <v>1656000</v>
      </c>
      <c r="AI155" s="162"/>
    </row>
    <row spans="2:35" r="156" x14ac:dyDescent="0.25">
      <c r="M156" s="159"/>
      <c r="AC156" s="8" t="s">
        <v>703</v>
      </c>
      <c r="AD156" s="156">
        <f>'Liquidity Position'!$E$11</f>
        <v>1185036.3999999999</v>
      </c>
      <c r="AI156" s="156"/>
    </row>
    <row spans="2:35" r="157" x14ac:dyDescent="0.25">
      <c r="B157" s="8" t="s">
        <v>95</v>
      </c>
      <c r="C157" s="200">
        <v>1</v>
      </c>
      <c r="D157" s="200">
        <f>C157+1</f>
        <v>2</v>
      </c>
      <c r="E157" s="200">
        <f ref="E157:AA157" t="shared" si="81">D157+1</f>
        <v>3</v>
      </c>
      <c r="F157" s="200">
        <f t="shared" si="81"/>
        <v>4</v>
      </c>
      <c r="G157" s="200">
        <f t="shared" si="81"/>
        <v>5</v>
      </c>
      <c r="H157" s="200">
        <f t="shared" si="81"/>
        <v>6</v>
      </c>
      <c r="I157" s="200">
        <f t="shared" si="81"/>
        <v>7</v>
      </c>
      <c r="J157" s="200">
        <f t="shared" si="81"/>
        <v>8</v>
      </c>
      <c r="K157" s="200">
        <f t="shared" si="81"/>
        <v>9</v>
      </c>
      <c r="L157" s="200">
        <f t="shared" si="81"/>
        <v>10</v>
      </c>
      <c r="M157" s="159">
        <f>L157+1</f>
        <v>11</v>
      </c>
      <c r="N157" s="8">
        <f t="shared" si="81"/>
        <v>12</v>
      </c>
      <c r="O157" s="8">
        <f t="shared" si="81"/>
        <v>13</v>
      </c>
      <c r="P157" s="8">
        <f t="shared" si="81"/>
        <v>14</v>
      </c>
      <c r="Q157" s="8">
        <f t="shared" si="81"/>
        <v>15</v>
      </c>
      <c r="R157" s="8">
        <f t="shared" si="81"/>
        <v>16</v>
      </c>
      <c r="S157" s="8">
        <f t="shared" si="81"/>
        <v>17</v>
      </c>
      <c r="T157" s="8">
        <f t="shared" si="81"/>
        <v>18</v>
      </c>
      <c r="U157" s="8">
        <f t="shared" si="81"/>
        <v>19</v>
      </c>
      <c r="V157" s="8">
        <f t="shared" si="81"/>
        <v>20</v>
      </c>
      <c r="W157" s="8">
        <f t="shared" si="81"/>
        <v>21</v>
      </c>
      <c r="X157" s="8">
        <f t="shared" si="81"/>
        <v>22</v>
      </c>
      <c r="Y157" s="8">
        <f t="shared" si="81"/>
        <v>23</v>
      </c>
      <c r="Z157" s="8">
        <f t="shared" si="81"/>
        <v>24</v>
      </c>
      <c r="AA157" s="8">
        <f t="shared" si="81"/>
        <v>25</v>
      </c>
      <c r="AD157" s="156"/>
      <c r="AI157" s="156"/>
    </row>
    <row spans="2:35" r="158" x14ac:dyDescent="0.25">
      <c r="M158" s="159"/>
      <c r="AC158" s="8" t="s">
        <v>704</v>
      </c>
      <c r="AD158" s="156">
        <f>AD153-AD155+AD156</f>
        <v>4562330.8391199037</v>
      </c>
      <c r="AI158" s="156"/>
    </row>
    <row spans="2:35" r="159" x14ac:dyDescent="0.25">
      <c r="B159" s="151" t="s">
        <v>96</v>
      </c>
      <c r="C159" s="156">
        <f>C155/(1+WACC!$C$23)^C157</f>
        <v>249013.45219963917</v>
      </c>
      <c r="D159" s="156">
        <f>D155/(1+WACC!$C$23)^D157</f>
        <v>-280228.84910705546</v>
      </c>
      <c r="E159" s="156">
        <f>E155/(1+WACC!$C$23)^E157</f>
        <v>-127606.70542485283</v>
      </c>
      <c r="F159" s="156">
        <f>F155/(1+WACC!$C$23)^F157</f>
        <v>-156948.44657041263</v>
      </c>
      <c r="G159" s="156">
        <f>G155/(1+WACC!$C$23)^G157</f>
        <v>-231679.13304792295</v>
      </c>
      <c r="H159" s="156">
        <f>H155/(1+WACC!$C$23)^H157</f>
        <v>452951.70466783864</v>
      </c>
      <c r="I159" s="156">
        <f>I155/(1+WACC!$C$23)^I157</f>
        <v>548428.7379696772</v>
      </c>
      <c r="J159" s="156">
        <f>J155/(1+WACC!$C$23)^J157</f>
        <v>393852.97052353364</v>
      </c>
      <c r="K159" s="156">
        <f>K155/(1+WACC!$C$23)^K157</f>
        <v>360429.57457452198</v>
      </c>
      <c r="L159" s="156">
        <f>L155/(1+WACC!$C$23)^L157</f>
        <v>329842.57565783302</v>
      </c>
      <c r="M159" s="160">
        <f>M155/(1+WACC!$C$23)^M157</f>
        <v>301851.26968291757</v>
      </c>
      <c r="N159" s="156">
        <f>N155/(1+WACC!$C$23)^N157</f>
        <v>276235.37933959154</v>
      </c>
      <c r="O159" s="156">
        <f>O155/(1+WACC!$C$23)^O157</f>
        <v>252793.32062788526</v>
      </c>
      <c r="P159" s="156">
        <f>P155/(1+WACC!$C$23)^P157</f>
        <v>231340.61649471582</v>
      </c>
      <c r="Q159" s="156">
        <f>Q155/(1+WACC!$C$23)^Q157</f>
        <v>211708.44509351189</v>
      </c>
      <c r="R159" s="156">
        <f>R155/(1+WACC!$C$23)^R157</f>
        <v>193742.31124233341</v>
      </c>
      <c r="S159" s="156">
        <f>S155/(1+WACC!$C$23)^S157</f>
        <v>177300.83062554008</v>
      </c>
      <c r="T159" s="156">
        <f>T155/(1+WACC!$C$23)^T157</f>
        <v>162254.61717129374</v>
      </c>
      <c r="U159" s="156">
        <f>U155/(1+WACC!$C$23)^U157</f>
        <v>148485.26484912453</v>
      </c>
      <c r="V159" s="156">
        <f>V155/(1+WACC!$C$23)^V157</f>
        <v>135884.41587482535</v>
      </c>
      <c r="W159" s="156">
        <f>W155/(1+WACC!$C$23)^W157</f>
        <v>150797.86752649193</v>
      </c>
      <c r="X159" s="156">
        <f>X155/(1+WACC!$C$23)^X157</f>
        <v>20428.344282633767</v>
      </c>
      <c r="Y159" s="156" t="e">
        <f>Y155/(1+WACC!$C$23)^Y157</f>
        <v>#REF!</v>
      </c>
      <c r="Z159" s="156" t="e">
        <f>Z155/(1+WACC!$C$23)^Z157</f>
        <v>#REF!</v>
      </c>
      <c r="AA159" s="156" t="e">
        <f>AA155/(1+WACC!$C$23)^AA157</f>
        <v>#REF!</v>
      </c>
      <c r="AC159" s="8" t="s">
        <v>705</v>
      </c>
      <c r="AD159" s="156">
        <f>WACC!$C$18*1000</f>
        <v>108222.60400000001</v>
      </c>
    </row>
    <row spans="2:35" r="160" x14ac:dyDescent="0.25">
      <c r="B160" s="151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C160" s="8" t="s">
        <v>214</v>
      </c>
      <c r="AD160" s="176">
        <f>AD158/AD159</f>
        <v>42.156912423950764</v>
      </c>
    </row>
    <row spans="1:34" r="161" x14ac:dyDescent="0.25">
      <c r="B161" s="151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</row>
    <row spans="1:34" r="162" x14ac:dyDescent="0.25">
      <c r="B162" s="151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</row>
    <row spans="1:34" r="163" x14ac:dyDescent="0.25">
      <c r="B163" s="151"/>
      <c r="C163" s="177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</row>
    <row spans="1:34" r="166" x14ac:dyDescent="0.25">
      <c r="AC166" s="151" t="s">
        <v>706</v>
      </c>
    </row>
    <row spans="1:34" r="167" x14ac:dyDescent="0.25">
      <c r="AC167" s="179">
        <f>AD160</f>
        <v>42.156912423950764</v>
      </c>
      <c r="AD167" s="178">
        <v>8</v>
      </c>
      <c r="AE167" s="178">
        <v>8.5</v>
      </c>
      <c r="AF167" s="178">
        <v>9</v>
      </c>
      <c r="AG167" s="178">
        <v>9.5</v>
      </c>
      <c r="AH167" s="178">
        <v>10</v>
      </c>
    </row>
    <row spans="1:34" r="168" x14ac:dyDescent="0.25">
      <c r="AC168" s="157">
        <v>9.1300000000000006E-2</v>
      </c>
      <c r="AD168" s="176">
        <f r2="AD149" ref="AD168:AH172" dtr="1" t="dataTable" dt2D="1" r1="AD150"/>
        <v>41.578287021428615</v>
      </c>
      <c r="AE168" s="176">
        <v>43.560669908068689</v>
      </c>
      <c r="AF168" s="176">
        <v>45.543052794708764</v>
      </c>
      <c r="AG168" s="176">
        <v>47.525435681348839</v>
      </c>
      <c r="AH168" s="176">
        <v>49.507818567988913</v>
      </c>
    </row>
    <row spans="1:34" r="169" x14ac:dyDescent="0.25">
      <c r="AC169" s="157">
        <v>9.2799999999999994E-2</v>
      </c>
      <c r="AD169" s="176">
        <v>41.145596795415152</v>
      </c>
      <c r="AE169" s="176">
        <v>43.100936542929396</v>
      </c>
      <c r="AF169" s="176">
        <v>45.056276290443627</v>
      </c>
      <c r="AG169" s="176">
        <v>47.01161603795785</v>
      </c>
      <c r="AH169" s="176">
        <v>48.966955785472081</v>
      </c>
    </row>
    <row spans="1:34" r="170" x14ac:dyDescent="0.25">
      <c r="AC170" s="157">
        <v>9.4299999999999995E-2</v>
      </c>
      <c r="AD170" s="176">
        <v>40.719390624237903</v>
      </c>
      <c r="AE170" s="176">
        <v>42.64809248605355</v>
      </c>
      <c r="AF170" s="176">
        <v>44.576794347869203</v>
      </c>
      <c r="AG170" s="176">
        <v>46.505496209684857</v>
      </c>
      <c r="AH170" s="176">
        <v>48.434198071500511</v>
      </c>
    </row>
    <row spans="1:34" r="171" x14ac:dyDescent="0.25">
      <c r="AC171" s="157">
        <v>9.5799999999999996E-2</v>
      </c>
      <c r="AD171" s="176">
        <v>40.299562652503887</v>
      </c>
      <c r="AE171" s="176">
        <v>42.202025266086167</v>
      </c>
      <c r="AF171" s="176">
        <v>44.104487879668447</v>
      </c>
      <c r="AG171" s="176">
        <v>46.006950493250727</v>
      </c>
      <c r="AH171" s="176">
        <v>47.909413106833007</v>
      </c>
    </row>
    <row spans="1:34" r="172" x14ac:dyDescent="0.25">
      <c r="AC172" s="157">
        <v>9.7299999999999998E-2</v>
      </c>
      <c r="AD172" s="176">
        <v>39.886008894427448</v>
      </c>
      <c r="AE172" s="176">
        <v>41.762624398129951</v>
      </c>
      <c r="AF172" s="176">
        <v>43.639239901832447</v>
      </c>
      <c r="AG172" s="176">
        <v>45.515855405534943</v>
      </c>
      <c r="AH172" s="176">
        <v>47.392470909237439</v>
      </c>
    </row>
    <row spans="1:34" r="175" x14ac:dyDescent="0.25">
      <c r="A175" s="8" t="s">
        <v>7</v>
      </c>
      <c r="B175" s="24" t="s">
        <v>707</v>
      </c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72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152"/>
    </row>
    <row spans="1:34" r="176" x14ac:dyDescent="0.25">
      <c r="B176" s="24" t="s">
        <v>708</v>
      </c>
      <c r="C176" s="24">
        <v>2022</v>
      </c>
      <c r="D176" s="24">
        <f>C176+1</f>
        <v>2023</v>
      </c>
      <c r="E176" s="24">
        <f ref="E176:AA176" t="shared" si="82">D176+1</f>
        <v>2024</v>
      </c>
      <c r="F176" s="24">
        <f t="shared" si="82"/>
        <v>2025</v>
      </c>
      <c r="G176" s="24">
        <f t="shared" si="82"/>
        <v>2026</v>
      </c>
      <c r="H176" s="24">
        <f t="shared" si="82"/>
        <v>2027</v>
      </c>
      <c r="I176" s="24">
        <f t="shared" si="82"/>
        <v>2028</v>
      </c>
      <c r="J176" s="24">
        <f t="shared" si="82"/>
        <v>2029</v>
      </c>
      <c r="K176" s="24">
        <f t="shared" si="82"/>
        <v>2030</v>
      </c>
      <c r="L176" s="24">
        <f t="shared" si="82"/>
        <v>2031</v>
      </c>
      <c r="M176" s="72">
        <f>L176+1</f>
        <v>2032</v>
      </c>
      <c r="N176" s="24">
        <f t="shared" si="82"/>
        <v>2033</v>
      </c>
      <c r="O176" s="24">
        <f t="shared" si="82"/>
        <v>2034</v>
      </c>
      <c r="P176" s="24">
        <f t="shared" si="82"/>
        <v>2035</v>
      </c>
      <c r="Q176" s="24">
        <f t="shared" si="82"/>
        <v>2036</v>
      </c>
      <c r="R176" s="24">
        <f t="shared" si="82"/>
        <v>2037</v>
      </c>
      <c r="S176" s="24">
        <f t="shared" si="82"/>
        <v>2038</v>
      </c>
      <c r="T176" s="24">
        <f t="shared" si="82"/>
        <v>2039</v>
      </c>
      <c r="U176" s="24">
        <f t="shared" si="82"/>
        <v>2040</v>
      </c>
      <c r="V176" s="24">
        <f t="shared" si="82"/>
        <v>2041</v>
      </c>
      <c r="W176" s="24">
        <f t="shared" si="82"/>
        <v>2042</v>
      </c>
      <c r="X176" s="24">
        <f t="shared" si="82"/>
        <v>2043</v>
      </c>
      <c r="Y176" s="24">
        <f t="shared" si="82"/>
        <v>2044</v>
      </c>
      <c r="Z176" s="24">
        <f t="shared" si="82"/>
        <v>2045</v>
      </c>
      <c r="AA176" s="24">
        <f t="shared" si="82"/>
        <v>2046</v>
      </c>
      <c r="AB176" s="152"/>
    </row>
    <row spans="2:35" r="177" x14ac:dyDescent="0.25">
      <c r="M177" s="159"/>
    </row>
    <row spans="2:35" r="178" x14ac:dyDescent="0.25">
      <c r="B178" s="151" t="s">
        <v>88</v>
      </c>
      <c r="M178" s="159"/>
    </row>
    <row spans="2:35" r="179" x14ac:dyDescent="0.25">
      <c r="B179" s="8" t="s">
        <v>90</v>
      </c>
      <c r="C179" s="156">
        <f>Base!C149</f>
        <v>221725.66666666669</v>
      </c>
      <c r="D179" s="156">
        <f>Base!D149</f>
        <v>371852.42013888888</v>
      </c>
      <c r="E179" s="156">
        <f>Base!E149</f>
        <v>748324.12500000012</v>
      </c>
      <c r="F179" s="156">
        <f>Base!F149</f>
        <v>785278.40277777798</v>
      </c>
      <c r="G179" s="156">
        <f>Base!G149</f>
        <v>822232.68055555574</v>
      </c>
      <c r="H179" s="156">
        <f>Base!H149</f>
        <v>905379.80555555574</v>
      </c>
      <c r="I179" s="156">
        <f>Base!I149</f>
        <v>1348831.138888889</v>
      </c>
      <c r="J179" s="156">
        <f>Base!J149</f>
        <v>1348831.138888889</v>
      </c>
      <c r="K179" s="156">
        <f>Base!K149</f>
        <v>1348831.138888889</v>
      </c>
      <c r="L179" s="156">
        <f>Base!L149</f>
        <v>1348831.138888889</v>
      </c>
      <c r="M179" s="160">
        <f ref="M179" t="shared" si="83">P116</f>
        <v>40000</v>
      </c>
      <c r="N179" s="156">
        <f ref="N179" t="shared" si="84">Q116</f>
        <v>40000</v>
      </c>
      <c r="O179" s="156">
        <f ref="O179" t="shared" si="85">R116</f>
        <v>40000</v>
      </c>
      <c r="P179" s="156">
        <f ref="P179" t="shared" si="86">S116</f>
        <v>40000</v>
      </c>
      <c r="Q179" s="156">
        <f ref="Q179" t="shared" si="87">T116</f>
        <v>40000</v>
      </c>
      <c r="R179" s="156">
        <f ref="R179" t="shared" si="88">U116</f>
        <v>40000</v>
      </c>
      <c r="S179" s="156">
        <f ref="S179" t="shared" si="89">V116</f>
        <v>40000</v>
      </c>
      <c r="T179" s="156">
        <f ref="T179" t="shared" si="90">W116</f>
        <v>40000</v>
      </c>
      <c r="U179" s="156">
        <f ref="U179" t="shared" si="91">X116</f>
        <v>40000</v>
      </c>
      <c r="V179" s="156">
        <f ref="V179" t="shared" si="92">Y116</f>
        <v>40000</v>
      </c>
      <c r="W179" s="156">
        <f ref="W179" t="shared" si="93">Z116</f>
        <v>40000</v>
      </c>
      <c r="X179" s="156">
        <f ref="X179" t="shared" si="94">AA116</f>
        <v>40000</v>
      </c>
      <c r="Y179" s="156">
        <f ref="Y179" t="shared" si="95">AB116</f>
        <v>40000</v>
      </c>
      <c r="Z179" s="156" t="e">
        <f>#REF!</f>
        <v>#REF!</v>
      </c>
      <c r="AA179" s="156" t="e">
        <f>#REF!</f>
        <v>#REF!</v>
      </c>
      <c r="AC179" s="151" t="s">
        <v>697</v>
      </c>
    </row>
    <row spans="2:35" r="180" x14ac:dyDescent="0.25">
      <c r="B180" s="8" t="s">
        <v>45</v>
      </c>
      <c r="C180" s="156">
        <f>Base!C150</f>
        <v>295390.96464743541</v>
      </c>
      <c r="D180" s="156">
        <f>Base!D150</f>
        <v>266503.21054546378</v>
      </c>
      <c r="E180" s="156">
        <f>Base!E150</f>
        <v>424839.31483854033</v>
      </c>
      <c r="F180" s="156">
        <f>Base!F150</f>
        <v>442185.89227977965</v>
      </c>
      <c r="G180" s="156">
        <f>Base!G150</f>
        <v>461105.2197210188</v>
      </c>
      <c r="H180" s="156">
        <f>Base!H150</f>
        <v>347317.39061725291</v>
      </c>
      <c r="I180" s="156">
        <f>Base!I150</f>
        <v>674303.31991212373</v>
      </c>
      <c r="J180" s="156">
        <f>Base!J150</f>
        <v>674303.31991212373</v>
      </c>
      <c r="K180" s="156">
        <f>Base!K150</f>
        <v>674303.31991212373</v>
      </c>
      <c r="L180" s="156">
        <f>Base!L150</f>
        <v>674303.31991212373</v>
      </c>
      <c r="M180" s="160">
        <f ref="M180" t="shared" si="96">P119</f>
        <v>2031</v>
      </c>
      <c r="N180" s="156">
        <f ref="N180" t="shared" si="97">Q119</f>
        <v>2032</v>
      </c>
      <c r="O180" s="156">
        <f ref="O180" t="shared" si="98">R119</f>
        <v>2033</v>
      </c>
      <c r="P180" s="156">
        <f ref="P180" t="shared" si="99">S119</f>
        <v>2034</v>
      </c>
      <c r="Q180" s="156">
        <f ref="Q180" t="shared" si="100">T119</f>
        <v>2035</v>
      </c>
      <c r="R180" s="156">
        <f ref="R180" t="shared" si="101">U119</f>
        <v>2036</v>
      </c>
      <c r="S180" s="156">
        <f ref="S180" t="shared" si="102">V119</f>
        <v>2037</v>
      </c>
      <c r="T180" s="156">
        <f ref="T180" t="shared" si="103">W119</f>
        <v>2038</v>
      </c>
      <c r="U180" s="156">
        <f ref="U180" t="shared" si="104">X119</f>
        <v>2039</v>
      </c>
      <c r="V180" s="156">
        <f ref="V180" t="shared" si="105">Y119</f>
        <v>2040</v>
      </c>
      <c r="W180" s="156">
        <f ref="W180" t="shared" si="106">Z119</f>
        <v>2041</v>
      </c>
      <c r="X180" s="156">
        <f ref="X180" t="shared" si="107">AA119</f>
        <v>2042</v>
      </c>
      <c r="Y180" s="156">
        <f ref="Y180" t="shared" si="108">AB119</f>
        <v>2043</v>
      </c>
      <c r="Z180" s="156" t="e">
        <f>#REF!</f>
        <v>#REF!</v>
      </c>
      <c r="AA180" s="156" t="e">
        <f>#REF!</f>
        <v>#REF!</v>
      </c>
      <c r="AC180" s="8" t="s">
        <v>698</v>
      </c>
      <c r="AD180" s="156">
        <f>L180+L184</f>
        <v>794303.31991212373</v>
      </c>
    </row>
    <row spans="2:35" r="181" x14ac:dyDescent="0.25">
      <c r="B181" s="8" t="s">
        <v>92</v>
      </c>
      <c r="C181" s="156">
        <f>Base!C151</f>
        <v>30248.034779897389</v>
      </c>
      <c r="D181" s="156">
        <f>Base!D151</f>
        <v>55965.674214547391</v>
      </c>
      <c r="E181" s="156">
        <f>Base!E151</f>
        <v>89216.256116093471</v>
      </c>
      <c r="F181" s="156">
        <f>Base!F151</f>
        <v>92859.037378753725</v>
      </c>
      <c r="G181" s="156">
        <f>Base!G151</f>
        <v>96832.096141413946</v>
      </c>
      <c r="H181" s="156">
        <f>Base!H151</f>
        <v>72936.652029623103</v>
      </c>
      <c r="I181" s="156">
        <f>Base!I151</f>
        <v>141603.69718154598</v>
      </c>
      <c r="J181" s="156">
        <f>Base!J151</f>
        <v>141603.69718154598</v>
      </c>
      <c r="K181" s="156">
        <f>Base!K151</f>
        <v>141603.69718154598</v>
      </c>
      <c r="L181" s="156">
        <f>Base!L151</f>
        <v>141603.69718154598</v>
      </c>
      <c r="M181" s="160">
        <f ref="M181:M182" t="shared" si="109">P121</f>
        <v>334352.76573152724</v>
      </c>
      <c r="N181" s="156">
        <f ref="N181:N182" t="shared" si="110">Q121</f>
        <v>334352.76573152724</v>
      </c>
      <c r="O181" s="156">
        <f ref="O181:O182" t="shared" si="111">R121</f>
        <v>334352.76573152724</v>
      </c>
      <c r="P181" s="156">
        <f ref="P181:P182" t="shared" si="112">S121</f>
        <v>334352.76573152724</v>
      </c>
      <c r="Q181" s="156">
        <f ref="Q181:Q182" t="shared" si="113">T121</f>
        <v>334352.76573152724</v>
      </c>
      <c r="R181" s="156">
        <f ref="R181:R182" t="shared" si="114">U121</f>
        <v>334352.76573152724</v>
      </c>
      <c r="S181" s="156">
        <f ref="S181:S182" t="shared" si="115">V121</f>
        <v>334352.76573152724</v>
      </c>
      <c r="T181" s="156">
        <f ref="T181:T182" t="shared" si="116">W121</f>
        <v>334352.76573152724</v>
      </c>
      <c r="U181" s="156">
        <f ref="U181:U182" t="shared" si="117">X121</f>
        <v>334352.76573152724</v>
      </c>
      <c r="V181" s="156">
        <f ref="V181:V182" t="shared" si="118">Y121</f>
        <v>334352.76573152724</v>
      </c>
      <c r="W181" s="156">
        <f ref="W181:W182" t="shared" si="119">Z121</f>
        <v>334352.76573152724</v>
      </c>
      <c r="X181" s="156">
        <f ref="X181:X182" t="shared" si="120">AA121</f>
        <v>168033.69764969061</v>
      </c>
      <c r="Y181" s="156">
        <f ref="Y181:Y182" t="shared" si="121">AB121</f>
        <v>168033.69764969061</v>
      </c>
      <c r="Z181" s="156" t="e">
        <f>#REF!</f>
        <v>#REF!</v>
      </c>
      <c r="AA181" s="156" t="e">
        <f>#REF!</f>
        <v>#REF!</v>
      </c>
      <c r="AC181" s="8" t="s">
        <v>395</v>
      </c>
      <c r="AD181" s="157">
        <f>WACC!$C$23</f>
        <v>9.2732112753142262E-2</v>
      </c>
    </row>
    <row spans="2:35" r="182" x14ac:dyDescent="0.25">
      <c r="B182" s="8" t="s">
        <v>48</v>
      </c>
      <c r="C182" s="156">
        <f>Base!C152</f>
        <v>265142.92986753804</v>
      </c>
      <c r="D182" s="156">
        <f>Base!D152</f>
        <v>210537.53633091639</v>
      </c>
      <c r="E182" s="156">
        <f>Base!E152</f>
        <v>335623.05872244685</v>
      </c>
      <c r="F182" s="156">
        <f>Base!F152</f>
        <v>349326.85490102594</v>
      </c>
      <c r="G182" s="156">
        <f>Base!G152</f>
        <v>364273.12357960484</v>
      </c>
      <c r="H182" s="156">
        <f>Base!H152</f>
        <v>274380.73858762981</v>
      </c>
      <c r="I182" s="156">
        <f>Base!I152</f>
        <v>532699.62273057771</v>
      </c>
      <c r="J182" s="156">
        <f>Base!J152</f>
        <v>532699.62273057771</v>
      </c>
      <c r="K182" s="156">
        <f>Base!K152</f>
        <v>532699.62273057771</v>
      </c>
      <c r="L182" s="156">
        <f>Base!L152</f>
        <v>532699.62273057771</v>
      </c>
      <c r="M182" s="160">
        <f t="shared" si="109"/>
        <v>7936.7623393720778</v>
      </c>
      <c r="N182" s="156">
        <f t="shared" si="110"/>
        <v>7936.7623393720778</v>
      </c>
      <c r="O182" s="156">
        <f t="shared" si="111"/>
        <v>7936.7623393720778</v>
      </c>
      <c r="P182" s="156">
        <f t="shared" si="112"/>
        <v>7936.7623393720778</v>
      </c>
      <c r="Q182" s="156">
        <f t="shared" si="113"/>
        <v>7936.7623393720778</v>
      </c>
      <c r="R182" s="156">
        <f t="shared" si="114"/>
        <v>7936.7623393720778</v>
      </c>
      <c r="S182" s="156">
        <f t="shared" si="115"/>
        <v>7936.7623393720778</v>
      </c>
      <c r="T182" s="156">
        <f t="shared" si="116"/>
        <v>7936.7623393720778</v>
      </c>
      <c r="U182" s="156">
        <f t="shared" si="117"/>
        <v>7936.7623393720778</v>
      </c>
      <c r="V182" s="156">
        <f t="shared" si="118"/>
        <v>7936.7623393720778</v>
      </c>
      <c r="W182" s="156">
        <f t="shared" si="119"/>
        <v>7936.7623393720778</v>
      </c>
      <c r="X182" s="156">
        <f t="shared" si="120"/>
        <v>3988.7318423510956</v>
      </c>
      <c r="Y182" s="156">
        <f t="shared" si="121"/>
        <v>3988.7318423510956</v>
      </c>
      <c r="Z182" s="156" t="e">
        <f>#REF!</f>
        <v>#REF!</v>
      </c>
      <c r="AA182" s="156" t="e">
        <f>#REF!</f>
        <v>#REF!</v>
      </c>
      <c r="AC182" s="8" t="s">
        <v>709</v>
      </c>
      <c r="AD182" s="178">
        <f>COMPS!$S$24-3</f>
        <v>7.2534745569079391</v>
      </c>
    </row>
    <row spans="2:35" r="183" x14ac:dyDescent="0.25">
      <c r="C183" s="156">
        <f>Base!C153</f>
        <v>0</v>
      </c>
      <c r="D183" s="156">
        <f>Base!D153</f>
        <v>0</v>
      </c>
      <c r="E183" s="156">
        <f>Base!E153</f>
        <v>0</v>
      </c>
      <c r="F183" s="156">
        <f>Base!F153</f>
        <v>0</v>
      </c>
      <c r="G183" s="156">
        <f>Base!G153</f>
        <v>0</v>
      </c>
      <c r="H183" s="156">
        <f>Base!H153</f>
        <v>0</v>
      </c>
      <c r="I183" s="156">
        <f>Base!I153</f>
        <v>0</v>
      </c>
      <c r="J183" s="156">
        <f>Base!J153</f>
        <v>0</v>
      </c>
      <c r="K183" s="156">
        <f>Base!K153</f>
        <v>0</v>
      </c>
      <c r="L183" s="156">
        <f>Base!L153</f>
        <v>0</v>
      </c>
      <c r="M183" s="159"/>
      <c r="AC183" s="8" t="s">
        <v>700</v>
      </c>
      <c r="AD183" s="156">
        <f>AD180*AD182</f>
        <v>5761458.9214500962</v>
      </c>
    </row>
    <row spans="2:35" r="184" x14ac:dyDescent="0.25">
      <c r="B184" s="8" t="s">
        <v>93</v>
      </c>
      <c r="C184" s="156">
        <f>Base!C154</f>
        <v>40000</v>
      </c>
      <c r="D184" s="156">
        <f>Base!D154</f>
        <v>50000</v>
      </c>
      <c r="E184" s="156">
        <f>Base!E154</f>
        <v>80000</v>
      </c>
      <c r="F184" s="156">
        <f>Base!F154</f>
        <v>80000</v>
      </c>
      <c r="G184" s="156">
        <f>Base!G154</f>
        <v>80000</v>
      </c>
      <c r="H184" s="156">
        <f>Base!H154</f>
        <v>120000</v>
      </c>
      <c r="I184" s="156">
        <f>Base!I154</f>
        <v>120000</v>
      </c>
      <c r="J184" s="156">
        <f>Base!J154</f>
        <v>120000</v>
      </c>
      <c r="K184" s="156">
        <f>Base!K154</f>
        <v>120000</v>
      </c>
      <c r="L184" s="156">
        <f>Base!L154</f>
        <v>120000</v>
      </c>
      <c r="M184" s="160">
        <f ref="M184:M186" t="shared" si="122">P123</f>
        <v>342289.52807089931</v>
      </c>
      <c r="N184" s="156">
        <f ref="N184:N186" t="shared" si="123">Q123</f>
        <v>342289.52807089931</v>
      </c>
      <c r="O184" s="156">
        <f ref="O184:O186" t="shared" si="124">R123</f>
        <v>342289.52807089931</v>
      </c>
      <c r="P184" s="156">
        <f ref="P184:P186" t="shared" si="125">S123</f>
        <v>342289.52807089931</v>
      </c>
      <c r="Q184" s="156">
        <f ref="Q184:Q186" t="shared" si="126">T123</f>
        <v>342289.52807089931</v>
      </c>
      <c r="R184" s="156">
        <f ref="R184:R186" t="shared" si="127">U123</f>
        <v>342289.52807089931</v>
      </c>
      <c r="S184" s="156">
        <f ref="S184:S186" t="shared" si="128">V123</f>
        <v>342289.52807089931</v>
      </c>
      <c r="T184" s="156">
        <f ref="T184:T186" t="shared" si="129">W123</f>
        <v>342289.52807089931</v>
      </c>
      <c r="U184" s="156">
        <f ref="U184:U186" t="shared" si="130">X123</f>
        <v>342289.52807089931</v>
      </c>
      <c r="V184" s="156">
        <f ref="V184:V186" t="shared" si="131">Y123</f>
        <v>342289.52807089931</v>
      </c>
      <c r="W184" s="156">
        <f ref="W184:W186" t="shared" si="132">Z123</f>
        <v>342289.52807089931</v>
      </c>
      <c r="X184" s="156">
        <f ref="X184:X186" t="shared" si="133">AA123</f>
        <v>172022.4294920417</v>
      </c>
      <c r="Y184" s="156">
        <f ref="Y184:Y186" t="shared" si="134">AB123</f>
        <v>172022.4294920417</v>
      </c>
      <c r="Z184" s="156" t="e">
        <f>#REF!</f>
        <v>#REF!</v>
      </c>
      <c r="AA184" s="156" t="e">
        <f>#REF!</f>
        <v>#REF!</v>
      </c>
      <c r="AC184" s="8" t="s">
        <v>701</v>
      </c>
      <c r="AD184" s="156">
        <f>AD183/(1+AD181)^L189</f>
        <v>2481145.6628768556</v>
      </c>
    </row>
    <row spans="2:35" r="185" x14ac:dyDescent="0.25">
      <c r="B185" s="8" t="s">
        <v>53</v>
      </c>
      <c r="C185" s="156">
        <f>Base!C155</f>
        <v>5543.1416666666673</v>
      </c>
      <c r="D185" s="156">
        <f>Base!D155</f>
        <v>309296.31050347222</v>
      </c>
      <c r="E185" s="156">
        <f>Base!E155</f>
        <v>318708.10312500002</v>
      </c>
      <c r="F185" s="156">
        <f>Base!F155</f>
        <v>319631.96006944444</v>
      </c>
      <c r="G185" s="156">
        <f>Base!G155</f>
        <v>320555.81701388891</v>
      </c>
      <c r="H185" s="156">
        <f>Base!H155</f>
        <v>22634.495138888895</v>
      </c>
      <c r="I185" s="156">
        <f>Base!I155</f>
        <v>33720.778472222228</v>
      </c>
      <c r="J185" s="156">
        <f>Base!J155</f>
        <v>33720.778472222228</v>
      </c>
      <c r="K185" s="156">
        <f>Base!K155</f>
        <v>33720.778472222228</v>
      </c>
      <c r="L185" s="156">
        <f>Base!L155</f>
        <v>33720.778472222228</v>
      </c>
      <c r="M185" s="160">
        <f t="shared" si="122"/>
        <v>0</v>
      </c>
      <c r="N185" s="156">
        <f t="shared" si="123"/>
        <v>0</v>
      </c>
      <c r="O185" s="156">
        <f t="shared" si="124"/>
        <v>0</v>
      </c>
      <c r="P185" s="156">
        <f t="shared" si="125"/>
        <v>0</v>
      </c>
      <c r="Q185" s="156">
        <f t="shared" si="126"/>
        <v>0</v>
      </c>
      <c r="R185" s="156">
        <f t="shared" si="127"/>
        <v>0</v>
      </c>
      <c r="S185" s="156">
        <f t="shared" si="128"/>
        <v>0</v>
      </c>
      <c r="T185" s="156">
        <f t="shared" si="129"/>
        <v>0</v>
      </c>
      <c r="U185" s="156">
        <f t="shared" si="130"/>
        <v>0</v>
      </c>
      <c r="V185" s="156">
        <f t="shared" si="131"/>
        <v>0</v>
      </c>
      <c r="W185" s="156">
        <f t="shared" si="132"/>
        <v>0</v>
      </c>
      <c r="X185" s="156">
        <f t="shared" si="133"/>
        <v>0</v>
      </c>
      <c r="Y185" s="156">
        <f t="shared" si="134"/>
        <v>0</v>
      </c>
      <c r="Z185" s="156" t="e">
        <f>#REF!</f>
        <v>#REF!</v>
      </c>
      <c r="AA185" s="156" t="e">
        <f>#REF!</f>
        <v>#REF!</v>
      </c>
      <c r="AC185" s="151" t="s">
        <v>702</v>
      </c>
      <c r="AD185" s="156">
        <f>SUM(C191:L191)+AD184</f>
        <v>4707310.2044326682</v>
      </c>
      <c r="AI185" s="156"/>
    </row>
    <row spans="2:35" r="186" s="2" x14ac:dyDescent="0.25" customFormat="1">
      <c r="B186" s="2" t="s">
        <v>79</v>
      </c>
      <c r="C186" s="156">
        <f>Base!C156</f>
        <v>22923.98199357315</v>
      </c>
      <c r="D186" s="156">
        <f>Base!D156</f>
        <v>-31666.48250568239</v>
      </c>
      <c r="E186" s="156">
        <f>Base!E156</f>
        <v>-182517.21401696524</v>
      </c>
      <c r="F186" s="156">
        <f>Base!F156</f>
        <v>-14013.85852309849</v>
      </c>
      <c r="G186" s="156">
        <f>Base!G156</f>
        <v>-35024.859475636971</v>
      </c>
      <c r="H186" s="156">
        <f>Base!H156</f>
        <v>32928.730363145296</v>
      </c>
      <c r="I186" s="156">
        <f>Base!I156</f>
        <v>-219620.45382755809</v>
      </c>
      <c r="J186" s="156">
        <f>Base!J156</f>
        <v>0</v>
      </c>
      <c r="K186" s="156">
        <f>Base!K156</f>
        <v>0</v>
      </c>
      <c r="L186" s="156">
        <f>Base!L156</f>
        <v>0</v>
      </c>
      <c r="M186" s="29">
        <f t="shared" si="122"/>
        <v>668012.21372548956</v>
      </c>
      <c r="N186" s="2">
        <f t="shared" si="123"/>
        <v>668012.21372548956</v>
      </c>
      <c r="O186" s="2">
        <f t="shared" si="124"/>
        <v>668012.21372548956</v>
      </c>
      <c r="P186" s="2">
        <f t="shared" si="125"/>
        <v>668012.21372548956</v>
      </c>
      <c r="Q186" s="2">
        <f t="shared" si="126"/>
        <v>668012.21372548956</v>
      </c>
      <c r="R186" s="2">
        <f t="shared" si="127"/>
        <v>668012.21372548956</v>
      </c>
      <c r="S186" s="2">
        <f t="shared" si="128"/>
        <v>668012.21372548956</v>
      </c>
      <c r="T186" s="2">
        <f t="shared" si="129"/>
        <v>668012.21372548956</v>
      </c>
      <c r="U186" s="2">
        <f t="shared" si="130"/>
        <v>668012.21372548956</v>
      </c>
      <c r="V186" s="2">
        <f t="shared" si="131"/>
        <v>668012.21372548956</v>
      </c>
      <c r="W186" s="2">
        <f t="shared" si="132"/>
        <v>668012.21372548956</v>
      </c>
      <c r="X186" s="2">
        <f t="shared" si="133"/>
        <v>668012.21372548956</v>
      </c>
      <c r="Y186" s="2">
        <f t="shared" si="134"/>
        <v>448391.75989793142</v>
      </c>
      <c r="Z186" s="2" t="e">
        <f>#REF!</f>
        <v>#REF!</v>
      </c>
      <c r="AA186" s="2" t="e">
        <f>#REF!</f>
        <v>#REF!</v>
      </c>
      <c r="AI186" s="76"/>
    </row>
    <row spans="2:35" r="187" x14ac:dyDescent="0.25">
      <c r="B187" s="8" t="s">
        <v>94</v>
      </c>
      <c r="C187" s="156">
        <f>Base!C157</f>
        <v>276675.80620729824</v>
      </c>
      <c r="D187" s="156">
        <f>Base!D157</f>
        <v>-17092.29166687344</v>
      </c>
      <c r="E187" s="156">
        <f>Base!E157</f>
        <v>279432.16961441207</v>
      </c>
      <c r="F187" s="156">
        <f>Base!F157</f>
        <v>123708.75335468</v>
      </c>
      <c r="G187" s="156">
        <f>Base!G157</f>
        <v>158742.1660413529</v>
      </c>
      <c r="H187" s="156">
        <f>Base!H157</f>
        <v>338817.51308559562</v>
      </c>
      <c r="I187" s="156">
        <f>Base!I157</f>
        <v>838599.29808591353</v>
      </c>
      <c r="J187" s="156">
        <f>Base!J157</f>
        <v>618978.84425835544</v>
      </c>
      <c r="K187" s="156">
        <f>Base!K157</f>
        <v>618978.84425835544</v>
      </c>
      <c r="L187" s="156">
        <f>Base!L157</f>
        <v>618978.84425835544</v>
      </c>
      <c r="M187" s="160">
        <f ref="M187" t="shared" si="135">M182+M184-M185-M186</f>
        <v>-317785.92331521818</v>
      </c>
      <c r="N187" s="156">
        <f ref="N187" t="shared" si="136">N182+N184-N185-N186</f>
        <v>-317785.92331521818</v>
      </c>
      <c r="O187" s="156">
        <f ref="O187" t="shared" si="137">O182+O184-O185-O186</f>
        <v>-317785.92331521818</v>
      </c>
      <c r="P187" s="156">
        <f ref="P187" t="shared" si="138">P182+P184-P185-P186</f>
        <v>-317785.92331521818</v>
      </c>
      <c r="Q187" s="156">
        <f ref="Q187" t="shared" si="139">Q182+Q184-Q185-Q186</f>
        <v>-317785.92331521818</v>
      </c>
      <c r="R187" s="156">
        <f ref="R187" t="shared" si="140">R182+R184-R185-R186</f>
        <v>-317785.92331521818</v>
      </c>
      <c r="S187" s="156">
        <f ref="S187" t="shared" si="141">S182+S184-S185-S186</f>
        <v>-317785.92331521818</v>
      </c>
      <c r="T187" s="156">
        <f ref="T187" t="shared" si="142">T182+T184-T185-T186</f>
        <v>-317785.92331521818</v>
      </c>
      <c r="U187" s="156">
        <f ref="U187" t="shared" si="143">U182+U184-U185-U186</f>
        <v>-317785.92331521818</v>
      </c>
      <c r="V187" s="156">
        <f ref="V187" t="shared" si="144">V182+V184-V185-V186</f>
        <v>-317785.92331521818</v>
      </c>
      <c r="W187" s="156">
        <f ref="W187" t="shared" si="145">W182+W184-W185-W186</f>
        <v>-317785.92331521818</v>
      </c>
      <c r="X187" s="156">
        <f ref="X187" t="shared" si="146">X182+X184-X185-X186</f>
        <v>-492001.05239109677</v>
      </c>
      <c r="Y187" s="156">
        <f ref="Y187" t="shared" si="147">Y182+Y184-Y185-Y186</f>
        <v>-272380.59856353863</v>
      </c>
      <c r="Z187" s="156" t="e">
        <f ref="Z187" t="shared" si="148">Z182+Z184-Z185-Z186</f>
        <v>#REF!</v>
      </c>
      <c r="AA187" s="156" t="e">
        <f ref="AA187" t="shared" si="149">AA182+AA184-AA185-AA186</f>
        <v>#REF!</v>
      </c>
      <c r="AC187" s="8" t="s">
        <v>109</v>
      </c>
      <c r="AD187" s="156">
        <f>WACC!$C$20*1000</f>
        <v>1656000</v>
      </c>
      <c r="AI187" s="162"/>
    </row>
    <row spans="2:35" r="188" x14ac:dyDescent="0.25">
      <c r="C188" s="156">
        <f>Base!C158</f>
        <v>0</v>
      </c>
      <c r="D188" s="156">
        <f>Base!D158</f>
        <v>0</v>
      </c>
      <c r="E188" s="156">
        <f>Base!E158</f>
        <v>0</v>
      </c>
      <c r="F188" s="156">
        <f>Base!F158</f>
        <v>0</v>
      </c>
      <c r="G188" s="156">
        <f>Base!G158</f>
        <v>0</v>
      </c>
      <c r="H188" s="156">
        <f>Base!H158</f>
        <v>0</v>
      </c>
      <c r="I188" s="156">
        <f>Base!I158</f>
        <v>0</v>
      </c>
      <c r="J188" s="156">
        <f>Base!J158</f>
        <v>0</v>
      </c>
      <c r="K188" s="156">
        <f>Base!K158</f>
        <v>0</v>
      </c>
      <c r="L188" s="156">
        <f>Base!L158</f>
        <v>0</v>
      </c>
      <c r="M188" s="159"/>
      <c r="AC188" s="8" t="s">
        <v>703</v>
      </c>
      <c r="AD188" s="156">
        <f>'Liquidity Position'!$E$11</f>
        <v>1185036.3999999999</v>
      </c>
      <c r="AI188" s="156"/>
    </row>
    <row spans="2:35" r="189" x14ac:dyDescent="0.25">
      <c r="B189" s="8" t="s">
        <v>95</v>
      </c>
      <c r="C189" s="156">
        <f>Base!C159</f>
        <v>0.5</v>
      </c>
      <c r="D189" s="156">
        <f>Base!D159</f>
        <v>1.5</v>
      </c>
      <c r="E189" s="156">
        <f>Base!E159</f>
        <v>2.5</v>
      </c>
      <c r="F189" s="156">
        <f>Base!F159</f>
        <v>3.5</v>
      </c>
      <c r="G189" s="156">
        <f>Base!G159</f>
        <v>4.5</v>
      </c>
      <c r="H189" s="156">
        <f>Base!H159</f>
        <v>5.5</v>
      </c>
      <c r="I189" s="156">
        <f>Base!I159</f>
        <v>6.5</v>
      </c>
      <c r="J189" s="156">
        <f>Base!J159</f>
        <v>7.5</v>
      </c>
      <c r="K189" s="156">
        <f>Base!K159</f>
        <v>8.5</v>
      </c>
      <c r="L189" s="156">
        <f>Base!L159</f>
        <v>9.5</v>
      </c>
      <c r="M189" s="159">
        <f>L189+1</f>
        <v>10.5</v>
      </c>
      <c r="N189" s="8">
        <f ref="N189:AA189" t="shared" si="150">M189+1</f>
        <v>11.5</v>
      </c>
      <c r="O189" s="8">
        <f t="shared" si="150"/>
        <v>12.5</v>
      </c>
      <c r="P189" s="8">
        <f t="shared" si="150"/>
        <v>13.5</v>
      </c>
      <c r="Q189" s="8">
        <f t="shared" si="150"/>
        <v>14.5</v>
      </c>
      <c r="R189" s="8">
        <f t="shared" si="150"/>
        <v>15.5</v>
      </c>
      <c r="S189" s="8">
        <f t="shared" si="150"/>
        <v>16.5</v>
      </c>
      <c r="T189" s="8">
        <f t="shared" si="150"/>
        <v>17.5</v>
      </c>
      <c r="U189" s="8">
        <f t="shared" si="150"/>
        <v>18.5</v>
      </c>
      <c r="V189" s="8">
        <f t="shared" si="150"/>
        <v>19.5</v>
      </c>
      <c r="W189" s="8">
        <f t="shared" si="150"/>
        <v>20.5</v>
      </c>
      <c r="X189" s="8">
        <f t="shared" si="150"/>
        <v>21.5</v>
      </c>
      <c r="Y189" s="8">
        <f t="shared" si="150"/>
        <v>22.5</v>
      </c>
      <c r="Z189" s="8">
        <f t="shared" si="150"/>
        <v>23.5</v>
      </c>
      <c r="AA189" s="8">
        <f t="shared" si="150"/>
        <v>24.5</v>
      </c>
      <c r="AD189" s="156"/>
      <c r="AI189" s="156"/>
    </row>
    <row spans="2:35" r="190" x14ac:dyDescent="0.25">
      <c r="C190" s="156">
        <f>Base!C160</f>
        <v>0</v>
      </c>
      <c r="D190" s="156">
        <f>Base!D160</f>
        <v>0</v>
      </c>
      <c r="E190" s="156">
        <f>Base!E160</f>
        <v>0</v>
      </c>
      <c r="F190" s="156">
        <f>Base!F160</f>
        <v>0</v>
      </c>
      <c r="G190" s="156">
        <f>Base!G160</f>
        <v>0</v>
      </c>
      <c r="H190" s="156">
        <f>Base!H160</f>
        <v>0</v>
      </c>
      <c r="I190" s="156">
        <f>Base!I160</f>
        <v>0</v>
      </c>
      <c r="J190" s="156">
        <f>Base!J160</f>
        <v>0</v>
      </c>
      <c r="K190" s="156">
        <f>Base!K160</f>
        <v>0</v>
      </c>
      <c r="L190" s="156">
        <f>Base!L160</f>
        <v>0</v>
      </c>
      <c r="M190" s="159"/>
      <c r="AC190" s="8" t="s">
        <v>704</v>
      </c>
      <c r="AD190" s="156">
        <f>AD185-AD187+AD188</f>
        <v>4236346.6044326685</v>
      </c>
      <c r="AI190" s="156"/>
    </row>
    <row spans="2:35" r="191" x14ac:dyDescent="0.25">
      <c r="B191" s="151" t="s">
        <v>96</v>
      </c>
      <c r="C191" s="156">
        <f>Base!C161</f>
        <v>264675.85887921485</v>
      </c>
      <c r="D191" s="156">
        <f>Base!D161</f>
        <v>-14963.381060839582</v>
      </c>
      <c r="E191" s="156">
        <f>Base!E161</f>
        <v>223868.06087830159</v>
      </c>
      <c r="F191" s="156">
        <f>Base!F161</f>
        <v>90698.991686380687</v>
      </c>
      <c r="G191" s="156">
        <f>Base!G161</f>
        <v>106507.60633151176</v>
      </c>
      <c r="H191" s="156">
        <f>Base!H161</f>
        <v>208036.94458348691</v>
      </c>
      <c r="I191" s="156">
        <f>Base!I161</f>
        <v>471210.98330330517</v>
      </c>
      <c r="J191" s="156">
        <f>Base!J161</f>
        <v>318290.01141597802</v>
      </c>
      <c r="K191" s="156">
        <f>Base!K161</f>
        <v>291279.08633896121</v>
      </c>
      <c r="L191" s="156">
        <f>Base!L161</f>
        <v>266560.37919951172</v>
      </c>
      <c r="M191" s="160">
        <f>M187/(1+WACC!$C$23)^M189</f>
        <v>-125239.33167439478</v>
      </c>
      <c r="N191" s="156">
        <f>N187/(1+WACC!$C$23)^N189</f>
        <v>-114611.1935512299</v>
      </c>
      <c r="O191" s="156">
        <f>O187/(1+WACC!$C$23)^O189</f>
        <v>-104884.98710124538</v>
      </c>
      <c r="P191" s="156">
        <f>P187/(1+WACC!$C$23)^P189</f>
        <v>-95984.172037359909</v>
      </c>
      <c r="Q191" s="156">
        <f>Q187/(1+WACC!$C$23)^Q189</f>
        <v>-87838.703481979202</v>
      </c>
      <c r="R191" s="156">
        <f>R187/(1+WACC!$C$23)^R189</f>
        <v>-80384.480749512601</v>
      </c>
      <c r="S191" s="156">
        <f>S187/(1+WACC!$C$23)^S189</f>
        <v>-73562.842906651334</v>
      </c>
      <c r="T191" s="156">
        <f>T187/(1+WACC!$C$23)^T189</f>
        <v>-67320.107140724082</v>
      </c>
      <c r="U191" s="156">
        <f>U187/(1+WACC!$C$23)^U189</f>
        <v>-61607.146303324836</v>
      </c>
      <c r="V191" s="156">
        <f>V187/(1+WACC!$C$23)^V189</f>
        <v>-56379.002304696092</v>
      </c>
      <c r="W191" s="156">
        <f>W187/(1+WACC!$C$23)^W189</f>
        <v>-51594.532316478755</v>
      </c>
      <c r="X191" s="156">
        <f>X187/(1+WACC!$C$23)^X189</f>
        <v>-73100.668735625557</v>
      </c>
      <c r="Y191" s="156">
        <f>Y187/(1+WACC!$C$23)^Y189</f>
        <v>-37035.463312413573</v>
      </c>
      <c r="Z191" s="156" t="e">
        <f>Z187/(1+WACC!$C$23)^Z189</f>
        <v>#REF!</v>
      </c>
      <c r="AA191" s="156" t="e">
        <f>AA187/(1+WACC!$C$23)^AA189</f>
        <v>#REF!</v>
      </c>
      <c r="AC191" s="8" t="s">
        <v>705</v>
      </c>
      <c r="AD191" s="156">
        <f>WACC!$C$18*1000</f>
        <v>108222.60400000001</v>
      </c>
    </row>
    <row spans="2:35" r="192" x14ac:dyDescent="0.25">
      <c r="B192" s="151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C192" s="8" t="s">
        <v>214</v>
      </c>
      <c r="AD192" s="176">
        <f>AD190/AD191</f>
        <v>39.144748396856798</v>
      </c>
    </row>
    <row spans="1:34" r="193" x14ac:dyDescent="0.25">
      <c r="B193" s="151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</row>
    <row spans="1:34" r="194" x14ac:dyDescent="0.25">
      <c r="B194" s="151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C194" s="8" t="s">
        <v>710</v>
      </c>
    </row>
    <row spans="1:34" r="195" x14ac:dyDescent="0.25">
      <c r="B195" s="151"/>
      <c r="C195" s="177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</row>
    <row spans="1:34" r="198" x14ac:dyDescent="0.25">
      <c r="AC198" s="151" t="s">
        <v>706</v>
      </c>
    </row>
    <row spans="1:34" r="199" x14ac:dyDescent="0.25">
      <c r="AC199" s="179">
        <f>AD192</f>
        <v>39.144748396856798</v>
      </c>
      <c r="AD199" s="178">
        <v>7</v>
      </c>
      <c r="AE199" s="178">
        <v>7.5</v>
      </c>
      <c r="AF199" s="178">
        <v>8</v>
      </c>
      <c r="AG199" s="178">
        <v>8.5</v>
      </c>
      <c r="AH199" s="178">
        <v>9</v>
      </c>
    </row>
    <row spans="1:34" r="200" x14ac:dyDescent="0.25">
      <c r="AC200" s="157">
        <v>9.1300000000000006E-2</v>
      </c>
      <c r="AD200" s="176">
        <f r2="AD181" ref="AD200:AH204" dtr="1" t="dataTable" dt2D="1" r1="AD182"/>
        <v>38.620956627471756</v>
      </c>
      <c r="AE200" s="176">
        <v>40.221136959511021</v>
      </c>
      <c r="AF200" s="176">
        <v>41.821317291550294</v>
      </c>
      <c r="AG200" s="176">
        <v>43.421497623589559</v>
      </c>
      <c r="AH200" s="176">
        <v>45.021677955628832</v>
      </c>
    </row>
    <row spans="1:34" r="201" x14ac:dyDescent="0.25">
      <c r="AC201" s="157">
        <v>9.2799999999999994E-2</v>
      </c>
      <c r="AD201" s="176">
        <v>38.330528328262218</v>
      </c>
      <c r="AE201" s="176">
        <v>39.90996378178653</v>
      </c>
      <c r="AF201" s="176">
        <v>41.489399235310842</v>
      </c>
      <c r="AG201" s="176">
        <v>43.068834688835132</v>
      </c>
      <c r="AH201" s="176">
        <v>44.648270142359436</v>
      </c>
    </row>
    <row spans="1:34" r="202" x14ac:dyDescent="0.25">
      <c r="AC202" s="157">
        <v>9.4299999999999995E-2</v>
      </c>
      <c r="AD202" s="176">
        <v>38.044255820737717</v>
      </c>
      <c r="AE202" s="176">
        <v>39.603243238010272</v>
      </c>
      <c r="AF202" s="176">
        <v>41.162230655282826</v>
      </c>
      <c r="AG202" s="176">
        <v>42.721218072555374</v>
      </c>
      <c r="AH202" s="176">
        <v>44.280205489827928</v>
      </c>
    </row>
    <row spans="1:34" r="203" x14ac:dyDescent="0.25">
      <c r="AC203" s="157">
        <v>9.5799999999999996E-2</v>
      </c>
      <c r="AD203" s="176">
        <v>37.762074064208974</v>
      </c>
      <c r="AE203" s="176">
        <v>39.300905641729479</v>
      </c>
      <c r="AF203" s="176">
        <v>40.839737219249969</v>
      </c>
      <c r="AG203" s="176">
        <v>42.378568796770466</v>
      </c>
      <c r="AH203" s="176">
        <v>43.91740037429097</v>
      </c>
    </row>
    <row spans="1:34" r="204" x14ac:dyDescent="0.25">
      <c r="AC204" s="157">
        <v>9.7299999999999998E-2</v>
      </c>
      <c r="AD204" s="176">
        <v>37.483919122923659</v>
      </c>
      <c r="AE204" s="176">
        <v>39.002882490352341</v>
      </c>
      <c r="AF204" s="176">
        <v>40.521845857781038</v>
      </c>
      <c r="AG204" s="176">
        <v>42.040809225209735</v>
      </c>
      <c r="AH204" s="176">
        <v>43.55977259263841</v>
      </c>
    </row>
    <row spans="1:34" r="207" x14ac:dyDescent="0.25">
      <c r="A207" s="8" t="s">
        <v>7</v>
      </c>
      <c r="B207" s="24" t="s">
        <v>126</v>
      </c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72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152"/>
    </row>
    <row spans="1:34" r="208" x14ac:dyDescent="0.25">
      <c r="B208" s="24" t="s">
        <v>708</v>
      </c>
      <c r="C208" s="24">
        <v>2022</v>
      </c>
      <c r="D208" s="24">
        <f>C208+1</f>
        <v>2023</v>
      </c>
      <c r="E208" s="24">
        <f ref="E208:AA208" t="shared" si="151">D208+1</f>
        <v>2024</v>
      </c>
      <c r="F208" s="24">
        <f t="shared" si="151"/>
        <v>2025</v>
      </c>
      <c r="G208" s="24">
        <f t="shared" si="151"/>
        <v>2026</v>
      </c>
      <c r="H208" s="24">
        <f t="shared" si="151"/>
        <v>2027</v>
      </c>
      <c r="I208" s="24">
        <f t="shared" si="151"/>
        <v>2028</v>
      </c>
      <c r="J208" s="24">
        <f t="shared" si="151"/>
        <v>2029</v>
      </c>
      <c r="K208" s="24">
        <f t="shared" si="151"/>
        <v>2030</v>
      </c>
      <c r="L208" s="24">
        <f t="shared" si="151"/>
        <v>2031</v>
      </c>
      <c r="M208" s="72">
        <f>L208+1</f>
        <v>2032</v>
      </c>
      <c r="N208" s="24">
        <f t="shared" si="151"/>
        <v>2033</v>
      </c>
      <c r="O208" s="24">
        <f t="shared" si="151"/>
        <v>2034</v>
      </c>
      <c r="P208" s="24">
        <f t="shared" si="151"/>
        <v>2035</v>
      </c>
      <c r="Q208" s="24">
        <f t="shared" si="151"/>
        <v>2036</v>
      </c>
      <c r="R208" s="24">
        <f t="shared" si="151"/>
        <v>2037</v>
      </c>
      <c r="S208" s="24">
        <f t="shared" si="151"/>
        <v>2038</v>
      </c>
      <c r="T208" s="24">
        <f t="shared" si="151"/>
        <v>2039</v>
      </c>
      <c r="U208" s="24">
        <f t="shared" si="151"/>
        <v>2040</v>
      </c>
      <c r="V208" s="24">
        <f t="shared" si="151"/>
        <v>2041</v>
      </c>
      <c r="W208" s="24">
        <f t="shared" si="151"/>
        <v>2042</v>
      </c>
      <c r="X208" s="24">
        <f t="shared" si="151"/>
        <v>2043</v>
      </c>
      <c r="Y208" s="24">
        <f t="shared" si="151"/>
        <v>2044</v>
      </c>
      <c r="Z208" s="24">
        <f t="shared" si="151"/>
        <v>2045</v>
      </c>
      <c r="AA208" s="24">
        <f t="shared" si="151"/>
        <v>2046</v>
      </c>
      <c r="AB208" s="152"/>
    </row>
    <row spans="2:35" r="209" x14ac:dyDescent="0.25">
      <c r="M209" s="159"/>
    </row>
    <row spans="2:35" r="210" x14ac:dyDescent="0.25">
      <c r="B210" s="151" t="s">
        <v>88</v>
      </c>
      <c r="M210" s="159"/>
    </row>
    <row spans="2:35" r="211" x14ac:dyDescent="0.25">
      <c r="B211" s="8" t="s">
        <v>90</v>
      </c>
      <c r="C211" s="156">
        <f>Bear!C149</f>
        <v>221725.66666666669</v>
      </c>
      <c r="D211" s="156">
        <f>Bear!D149</f>
        <v>334898.14236111112</v>
      </c>
      <c r="E211" s="156">
        <f>Bear!E149</f>
        <v>674415.5694444445</v>
      </c>
      <c r="F211" s="156">
        <f>Bear!F149</f>
        <v>674415.5694444445</v>
      </c>
      <c r="G211" s="156">
        <f>Bear!G149</f>
        <v>674415.5694444445</v>
      </c>
      <c r="H211" s="156">
        <f>Bear!H149</f>
        <v>674415.5694444445</v>
      </c>
      <c r="I211" s="156">
        <f>Bear!I149</f>
        <v>674415.5694444445</v>
      </c>
      <c r="J211" s="156">
        <f>Bear!J149</f>
        <v>674415.5694444445</v>
      </c>
      <c r="K211" s="156">
        <f>Bear!K149</f>
        <v>674415.5694444445</v>
      </c>
      <c r="L211" s="156">
        <f>Bear!L149</f>
        <v>674415.5694444445</v>
      </c>
      <c r="M211" s="160">
        <f>P148</f>
        <v>867962.01522075024</v>
      </c>
      <c r="N211" s="156">
        <f>Q148</f>
        <v>867962.01522075024</v>
      </c>
      <c r="O211" s="156">
        <f ref="O211" t="shared" si="152">R148</f>
        <v>867962.01522075024</v>
      </c>
      <c r="P211" s="156">
        <f ref="P211" t="shared" si="153">S148</f>
        <v>867962.01522075024</v>
      </c>
      <c r="Q211" s="156">
        <f ref="Q211" t="shared" si="154">T148</f>
        <v>867962.01522075024</v>
      </c>
      <c r="R211" s="156">
        <f ref="R211" t="shared" si="155">U148</f>
        <v>867962.01522075024</v>
      </c>
      <c r="S211" s="156">
        <f ref="S211" t="shared" si="156">V148</f>
        <v>867962.01522075024</v>
      </c>
      <c r="T211" s="156">
        <f ref="T211" t="shared" si="157">W148</f>
        <v>867962.01522075024</v>
      </c>
      <c r="U211" s="156">
        <f ref="U211" t="shared" si="158">X148</f>
        <v>387317.39061725291</v>
      </c>
      <c r="V211" s="156" t="e">
        <f ref="V211" t="shared" si="159">Y148</f>
        <v>#REF!</v>
      </c>
      <c r="W211" s="156" t="e">
        <f ref="W211" t="shared" si="160">Z148</f>
        <v>#REF!</v>
      </c>
      <c r="X211" s="156" t="e">
        <f ref="X211" t="shared" si="161">AA148</f>
        <v>#REF!</v>
      </c>
      <c r="Y211" s="156">
        <f ref="Y211" t="shared" si="162">AB148</f>
        <v>0</v>
      </c>
      <c r="Z211" s="156" t="e">
        <f>#REF!</f>
        <v>#REF!</v>
      </c>
      <c r="AA211" s="156" t="e">
        <f>#REF!</f>
        <v>#REF!</v>
      </c>
      <c r="AC211" s="151" t="s">
        <v>697</v>
      </c>
    </row>
    <row spans="2:35" r="212" x14ac:dyDescent="0.25">
      <c r="B212" s="8" t="s">
        <v>45</v>
      </c>
      <c r="C212" s="156">
        <f>Bear!C150</f>
        <v>254242.96464743541</v>
      </c>
      <c r="D212" s="156">
        <f>Bear!D150</f>
        <v>171096.6331042246</v>
      </c>
      <c r="E212" s="156">
        <f>Bear!E150</f>
        <v>330651.65995606186</v>
      </c>
      <c r="F212" s="156">
        <f>Bear!F150</f>
        <v>317151.65995606186</v>
      </c>
      <c r="G212" s="156">
        <f>Bear!G150</f>
        <v>317151.65995606186</v>
      </c>
      <c r="H212" s="156">
        <f>Bear!H150</f>
        <v>321729.94730498258</v>
      </c>
      <c r="I212" s="156">
        <f>Bear!I150</f>
        <v>317151.65995606186</v>
      </c>
      <c r="J212" s="156">
        <f>Bear!J150</f>
        <v>317151.65995606186</v>
      </c>
      <c r="K212" s="156">
        <f>Bear!K150</f>
        <v>317151.65995606186</v>
      </c>
      <c r="L212" s="156">
        <f>Bear!L150</f>
        <v>317151.65995606186</v>
      </c>
      <c r="M212" s="160">
        <f>P151</f>
        <v>0</v>
      </c>
      <c r="N212" s="156">
        <f>Q151</f>
        <v>0</v>
      </c>
      <c r="O212" s="156">
        <f ref="O212" t="shared" si="163">R151</f>
        <v>0</v>
      </c>
      <c r="P212" s="156">
        <f ref="P212" t="shared" si="164">S151</f>
        <v>0</v>
      </c>
      <c r="Q212" s="156">
        <f ref="Q212" t="shared" si="165">T151</f>
        <v>0</v>
      </c>
      <c r="R212" s="156">
        <f ref="R212" t="shared" si="166">U151</f>
        <v>0</v>
      </c>
      <c r="S212" s="156">
        <f ref="S212" t="shared" si="167">V151</f>
        <v>0</v>
      </c>
      <c r="T212" s="156">
        <f ref="T212" t="shared" si="168">W151</f>
        <v>0</v>
      </c>
      <c r="U212" s="156">
        <f ref="U212" t="shared" si="169">X151</f>
        <v>0</v>
      </c>
      <c r="V212" s="156">
        <f ref="V212" t="shared" si="170">Y151</f>
        <v>0</v>
      </c>
      <c r="W212" s="156">
        <f ref="W212" t="shared" si="171">Z151</f>
        <v>0</v>
      </c>
      <c r="X212" s="156">
        <f ref="X212" t="shared" si="172">AA151</f>
        <v>0</v>
      </c>
      <c r="Y212" s="156">
        <f ref="Y212" t="shared" si="173">AB151</f>
        <v>0</v>
      </c>
      <c r="Z212" s="156" t="e">
        <f>#REF!</f>
        <v>#REF!</v>
      </c>
      <c r="AA212" s="156" t="e">
        <f>#REF!</f>
        <v>#REF!</v>
      </c>
      <c r="AC212" s="8" t="s">
        <v>698</v>
      </c>
      <c r="AD212" s="156">
        <f>L212+L216</f>
        <v>397151.65995606186</v>
      </c>
    </row>
    <row spans="2:35" r="213" x14ac:dyDescent="0.25">
      <c r="B213" s="8" t="s">
        <v>92</v>
      </c>
      <c r="C213" s="156">
        <f>Bear!C151</f>
        <v>26034.479579897386</v>
      </c>
      <c r="D213" s="156">
        <f>Bear!D151</f>
        <v>35930.292951887168</v>
      </c>
      <c r="E213" s="156">
        <f>Bear!E151</f>
        <v>69436.848590772992</v>
      </c>
      <c r="F213" s="156">
        <f>Bear!F151</f>
        <v>66601.848590772992</v>
      </c>
      <c r="G213" s="156">
        <f>Bear!G151</f>
        <v>66601.848590772992</v>
      </c>
      <c r="H213" s="156">
        <f>Bear!H151</f>
        <v>67563.288934046344</v>
      </c>
      <c r="I213" s="156">
        <f>Bear!I151</f>
        <v>66601.848590772992</v>
      </c>
      <c r="J213" s="156">
        <f>Bear!J151</f>
        <v>66601.848590772992</v>
      </c>
      <c r="K213" s="156">
        <f>Bear!K151</f>
        <v>66601.848590772992</v>
      </c>
      <c r="L213" s="156">
        <f>Bear!L151</f>
        <v>66601.848590772992</v>
      </c>
      <c r="M213" s="160">
        <f>P153</f>
        <v>45038.026041666679</v>
      </c>
      <c r="N213" s="156">
        <f>Q153</f>
        <v>45038.026041666679</v>
      </c>
      <c r="O213" s="156">
        <f ref="O213:O214" t="shared" si="174">R153</f>
        <v>45038.026041666679</v>
      </c>
      <c r="P213" s="156">
        <f ref="P213:P214" t="shared" si="175">S153</f>
        <v>45038.026041666679</v>
      </c>
      <c r="Q213" s="156">
        <f ref="Q213:Q214" t="shared" si="176">T153</f>
        <v>45038.026041666679</v>
      </c>
      <c r="R213" s="156">
        <f ref="R213:R214" t="shared" si="177">U153</f>
        <v>45038.026041666679</v>
      </c>
      <c r="S213" s="156">
        <f ref="S213:S214" t="shared" si="178">V153</f>
        <v>45038.026041666679</v>
      </c>
      <c r="T213" s="156">
        <f ref="T213:T214" t="shared" si="179">W153</f>
        <v>45038.026041666679</v>
      </c>
      <c r="U213" s="156">
        <f ref="U213:U214" t="shared" si="180">X153</f>
        <v>22634.495138888895</v>
      </c>
      <c r="V213" s="156">
        <f ref="V213:V214" t="shared" si="181">Y153</f>
        <v>22634.495138888895</v>
      </c>
      <c r="W213" s="156" t="e">
        <f ref="W213:W214" t="shared" si="182">Z153</f>
        <v>#REF!</v>
      </c>
      <c r="X213" s="156" t="e">
        <f ref="X213:X214" t="shared" si="183">AA153</f>
        <v>#REF!</v>
      </c>
      <c r="Y213" s="156">
        <f ref="Y213:Y214" t="shared" si="184">AB153</f>
        <v>0</v>
      </c>
      <c r="Z213" s="156" t="e">
        <f>#REF!</f>
        <v>#REF!</v>
      </c>
      <c r="AA213" s="156" t="e">
        <f>#REF!</f>
        <v>#REF!</v>
      </c>
      <c r="AC213" s="8" t="s">
        <v>395</v>
      </c>
      <c r="AD213" s="157">
        <f>WACC!$C$23</f>
        <v>9.2732112753142262E-2</v>
      </c>
    </row>
    <row spans="2:35" r="214" x14ac:dyDescent="0.25">
      <c r="B214" s="8" t="s">
        <v>48</v>
      </c>
      <c r="C214" s="156">
        <f>Bear!C152</f>
        <v>228208.48506753801</v>
      </c>
      <c r="D214" s="156">
        <f>Bear!D152</f>
        <v>135166.34015233745</v>
      </c>
      <c r="E214" s="156">
        <f>Bear!E152</f>
        <v>261214.81136528886</v>
      </c>
      <c r="F214" s="156">
        <f>Bear!F152</f>
        <v>250549.81136528886</v>
      </c>
      <c r="G214" s="156">
        <f>Bear!G152</f>
        <v>250549.81136528886</v>
      </c>
      <c r="H214" s="156">
        <f>Bear!H152</f>
        <v>254166.65837093623</v>
      </c>
      <c r="I214" s="156">
        <f>Bear!I152</f>
        <v>250549.81136528886</v>
      </c>
      <c r="J214" s="156">
        <f>Bear!J152</f>
        <v>250549.81136528886</v>
      </c>
      <c r="K214" s="156">
        <f>Bear!K152</f>
        <v>250549.81136528886</v>
      </c>
      <c r="L214" s="156">
        <f>Bear!L152</f>
        <v>250549.81136528886</v>
      </c>
      <c r="M214" s="160">
        <f>P154</f>
        <v>0</v>
      </c>
      <c r="N214" s="156">
        <f>Q154</f>
        <v>0</v>
      </c>
      <c r="O214" s="156">
        <f t="shared" si="174"/>
        <v>0</v>
      </c>
      <c r="P214" s="156">
        <f t="shared" si="175"/>
        <v>0</v>
      </c>
      <c r="Q214" s="156">
        <f t="shared" si="176"/>
        <v>0</v>
      </c>
      <c r="R214" s="156">
        <f t="shared" si="177"/>
        <v>0</v>
      </c>
      <c r="S214" s="156">
        <f t="shared" si="178"/>
        <v>0</v>
      </c>
      <c r="T214" s="156">
        <f t="shared" si="179"/>
        <v>-170267.09857885761</v>
      </c>
      <c r="U214" s="156">
        <f t="shared" si="180"/>
        <v>219620.45382755814</v>
      </c>
      <c r="V214" s="156" t="e">
        <f t="shared" si="181"/>
        <v>#REF!</v>
      </c>
      <c r="W214" s="156" t="e">
        <f t="shared" si="182"/>
        <v>#REF!</v>
      </c>
      <c r="X214" s="156" t="e">
        <f t="shared" si="183"/>
        <v>#REF!</v>
      </c>
      <c r="Y214" s="156">
        <f t="shared" si="184"/>
        <v>0</v>
      </c>
      <c r="Z214" s="156" t="e">
        <f>#REF!</f>
        <v>#REF!</v>
      </c>
      <c r="AA214" s="156" t="e">
        <f>#REF!</f>
        <v>#REF!</v>
      </c>
      <c r="AC214" s="8" t="s">
        <v>711</v>
      </c>
      <c r="AD214" s="178">
        <f>COMPS!$S$24-4</f>
        <v>6.2534745569079391</v>
      </c>
    </row>
    <row spans="2:35" r="215" x14ac:dyDescent="0.25"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9"/>
      <c r="AC215" s="8" t="s">
        <v>700</v>
      </c>
      <c r="AD215" s="156">
        <f>AD212*AD214</f>
        <v>2483577.8007689863</v>
      </c>
    </row>
    <row spans="2:35" r="216" x14ac:dyDescent="0.25">
      <c r="B216" s="8" t="s">
        <v>93</v>
      </c>
      <c r="C216" s="156">
        <f>Bear!C154</f>
        <v>40000</v>
      </c>
      <c r="D216" s="156">
        <f>Bear!D154</f>
        <v>80000</v>
      </c>
      <c r="E216" s="156">
        <f>Bear!E154</f>
        <v>80000</v>
      </c>
      <c r="F216" s="156">
        <f>Bear!F154</f>
        <v>80000</v>
      </c>
      <c r="G216" s="156">
        <f>Bear!G154</f>
        <v>80000</v>
      </c>
      <c r="H216" s="156">
        <f>Bear!H154</f>
        <v>80000</v>
      </c>
      <c r="I216" s="156">
        <f>Bear!I154</f>
        <v>80000</v>
      </c>
      <c r="J216" s="156">
        <f>Bear!J154</f>
        <v>80000</v>
      </c>
      <c r="K216" s="156">
        <f>Bear!K154</f>
        <v>80000</v>
      </c>
      <c r="L216" s="156">
        <f>Bear!L154</f>
        <v>80000</v>
      </c>
      <c r="M216" s="160">
        <f ref="M216:N218" t="shared" si="185">P155</f>
        <v>800651.96598272608</v>
      </c>
      <c r="N216" s="156">
        <f t="shared" si="185"/>
        <v>800651.96598272608</v>
      </c>
      <c r="O216" s="156">
        <f ref="O216:O218" t="shared" si="186">R155</f>
        <v>800651.96598272608</v>
      </c>
      <c r="P216" s="156">
        <f ref="P216:P218" t="shared" si="187">S155</f>
        <v>800651.96598272608</v>
      </c>
      <c r="Q216" s="156">
        <f ref="Q216:Q218" t="shared" si="188">T155</f>
        <v>800651.96598272608</v>
      </c>
      <c r="R216" s="156">
        <f ref="R216:R218" t="shared" si="189">U155</f>
        <v>800651.96598272608</v>
      </c>
      <c r="S216" s="156">
        <f ref="S216:S218" t="shared" si="190">V155</f>
        <v>800651.96598272608</v>
      </c>
      <c r="T216" s="156">
        <f ref="T216:T218" t="shared" si="191">W155</f>
        <v>970919.06456158368</v>
      </c>
      <c r="U216" s="156">
        <f ref="U216:U218" t="shared" si="192">X155</f>
        <v>143725.78962118278</v>
      </c>
      <c r="V216" s="156" t="e">
        <f ref="V216:V218" t="shared" si="193">Y155</f>
        <v>#REF!</v>
      </c>
      <c r="W216" s="156" t="e">
        <f ref="W216:W218" t="shared" si="194">Z155</f>
        <v>#REF!</v>
      </c>
      <c r="X216" s="156" t="e">
        <f ref="X216:X218" t="shared" si="195">AA155</f>
        <v>#REF!</v>
      </c>
      <c r="Y216" s="156">
        <f ref="Y216:Y218" t="shared" si="196">AB155</f>
        <v>0</v>
      </c>
      <c r="Z216" s="156" t="e">
        <f>#REF!</f>
        <v>#REF!</v>
      </c>
      <c r="AA216" s="156" t="e">
        <f>#REF!</f>
        <v>#REF!</v>
      </c>
      <c r="AC216" s="8" t="s">
        <v>701</v>
      </c>
      <c r="AD216" s="156">
        <f>AD215/(1+AD213)^L221</f>
        <v>1023153.2968844703</v>
      </c>
    </row>
    <row spans="2:35" r="217" x14ac:dyDescent="0.25">
      <c r="B217" s="8" t="s">
        <v>53</v>
      </c>
      <c r="C217" s="156">
        <f>Bear!C155</f>
        <v>22172.566666666669</v>
      </c>
      <c r="D217" s="156">
        <f>Bear!D155</f>
        <v>33489.814236111117</v>
      </c>
      <c r="E217" s="156">
        <f>Bear!E155</f>
        <v>67441.556944444455</v>
      </c>
      <c r="F217" s="156">
        <f>Bear!F155</f>
        <v>67441.556944444455</v>
      </c>
      <c r="G217" s="156">
        <f>Bear!G155</f>
        <v>67441.556944444455</v>
      </c>
      <c r="H217" s="156">
        <f>Bear!H155</f>
        <v>67441.556944444455</v>
      </c>
      <c r="I217" s="156">
        <f>Bear!I155</f>
        <v>67441.556944444455</v>
      </c>
      <c r="J217" s="156">
        <f>Bear!J155</f>
        <v>67441.556944444455</v>
      </c>
      <c r="K217" s="156">
        <f>Bear!K155</f>
        <v>67441.556944444455</v>
      </c>
      <c r="L217" s="156">
        <f>Bear!L155</f>
        <v>67441.556944444455</v>
      </c>
      <c r="M217" s="160">
        <f t="shared" si="185"/>
        <v>0</v>
      </c>
      <c r="N217" s="156">
        <f t="shared" si="185"/>
        <v>0</v>
      </c>
      <c r="O217" s="156">
        <f t="shared" si="186"/>
        <v>0</v>
      </c>
      <c r="P217" s="156">
        <f t="shared" si="187"/>
        <v>0</v>
      </c>
      <c r="Q217" s="156">
        <f t="shared" si="188"/>
        <v>0</v>
      </c>
      <c r="R217" s="156">
        <f t="shared" si="189"/>
        <v>0</v>
      </c>
      <c r="S217" s="156">
        <f t="shared" si="190"/>
        <v>0</v>
      </c>
      <c r="T217" s="156">
        <f t="shared" si="191"/>
        <v>0</v>
      </c>
      <c r="U217" s="156">
        <f t="shared" si="192"/>
        <v>0</v>
      </c>
      <c r="V217" s="156">
        <f t="shared" si="193"/>
        <v>0</v>
      </c>
      <c r="W217" s="156">
        <f t="shared" si="194"/>
        <v>0</v>
      </c>
      <c r="X217" s="156">
        <f t="shared" si="195"/>
        <v>0</v>
      </c>
      <c r="Y217" s="156">
        <f t="shared" si="196"/>
        <v>0</v>
      </c>
      <c r="Z217" s="156" t="e">
        <f>#REF!</f>
        <v>#REF!</v>
      </c>
      <c r="AA217" s="156" t="e">
        <f>#REF!</f>
        <v>#REF!</v>
      </c>
      <c r="AC217" s="151" t="s">
        <v>702</v>
      </c>
      <c r="AD217" s="156">
        <f>SUM(C223:L223)+AD216</f>
        <v>2852871.6460575932</v>
      </c>
      <c r="AI217" s="156"/>
    </row>
    <row spans="2:35" r="218" s="2" x14ac:dyDescent="0.25" customFormat="1">
      <c r="B218" s="2" t="s">
        <v>79</v>
      </c>
      <c r="C218" s="156">
        <f>Bear!C156</f>
        <v>8278.7461564250116</v>
      </c>
      <c r="D218" s="156">
        <f>Bear!D156</f>
        <v>-19774.310295467512</v>
      </c>
      <c r="E218" s="156">
        <f>Bear!E156</f>
        <v>-171216.12009882444</v>
      </c>
      <c r="F218" s="156">
        <f>Bear!F156</f>
        <v>0</v>
      </c>
      <c r="G218" s="156">
        <f>Bear!G156</f>
        <v>1040.8685882863065</v>
      </c>
      <c r="H218" s="156">
        <f>Bear!H156</f>
        <v>-1040.8685882863065</v>
      </c>
      <c r="I218" s="156">
        <f>Bear!I156</f>
        <v>0</v>
      </c>
      <c r="J218" s="156">
        <f>Bear!J156</f>
        <v>0</v>
      </c>
      <c r="K218" s="156">
        <f>Bear!K156</f>
        <v>0</v>
      </c>
      <c r="L218" s="156">
        <f>Bear!L156</f>
        <v>-37169.945514108695</v>
      </c>
      <c r="M218" s="29">
        <f t="shared" si="185"/>
        <v>14</v>
      </c>
      <c r="N218" s="2">
        <f t="shared" si="185"/>
        <v>15</v>
      </c>
      <c r="O218" s="2">
        <f t="shared" si="186"/>
        <v>16</v>
      </c>
      <c r="P218" s="2">
        <f t="shared" si="187"/>
        <v>17</v>
      </c>
      <c r="Q218" s="2">
        <f t="shared" si="188"/>
        <v>18</v>
      </c>
      <c r="R218" s="2">
        <f t="shared" si="189"/>
        <v>19</v>
      </c>
      <c r="S218" s="2">
        <f t="shared" si="190"/>
        <v>20</v>
      </c>
      <c r="T218" s="2">
        <f t="shared" si="191"/>
        <v>21</v>
      </c>
      <c r="U218" s="2">
        <f t="shared" si="192"/>
        <v>22</v>
      </c>
      <c r="V218" s="2">
        <f t="shared" si="193"/>
        <v>23</v>
      </c>
      <c r="W218" s="2">
        <f t="shared" si="194"/>
        <v>24</v>
      </c>
      <c r="X218" s="2">
        <f t="shared" si="195"/>
        <v>25</v>
      </c>
      <c r="Y218" s="2">
        <f t="shared" si="196"/>
        <v>0</v>
      </c>
      <c r="Z218" s="2" t="e">
        <f>#REF!</f>
        <v>#REF!</v>
      </c>
      <c r="AA218" s="2" t="e">
        <f>#REF!</f>
        <v>#REF!</v>
      </c>
      <c r="AI218" s="76"/>
    </row>
    <row spans="2:35" r="219" x14ac:dyDescent="0.25">
      <c r="B219" s="8" t="s">
        <v>94</v>
      </c>
      <c r="C219" s="156">
        <f>Bear!C157</f>
        <v>237757.17224444629</v>
      </c>
      <c r="D219" s="156">
        <f>Bear!D157</f>
        <v>201450.83621169382</v>
      </c>
      <c r="E219" s="156">
        <f>Bear!E157</f>
        <v>444989.37451966881</v>
      </c>
      <c r="F219" s="156">
        <f>Bear!F157</f>
        <v>263108.25442084437</v>
      </c>
      <c r="G219" s="156">
        <f>Bear!G157</f>
        <v>262067.38583255807</v>
      </c>
      <c r="H219" s="156">
        <f>Bear!H157</f>
        <v>267765.97001477808</v>
      </c>
      <c r="I219" s="156">
        <f>Bear!I157</f>
        <v>263108.25442084437</v>
      </c>
      <c r="J219" s="156">
        <f>Bear!J157</f>
        <v>263108.25442084437</v>
      </c>
      <c r="K219" s="156">
        <f>Bear!K157</f>
        <v>263108.25442084437</v>
      </c>
      <c r="L219" s="156">
        <f>Bear!L157</f>
        <v>300278.19993495307</v>
      </c>
      <c r="M219" s="160">
        <f ref="M219" t="shared" si="197">M214+M216-M217-M218</f>
        <v>800637.96598272608</v>
      </c>
      <c r="N219" s="156">
        <f ref="N219" t="shared" si="198">N214+N216-N217-N218</f>
        <v>800636.96598272608</v>
      </c>
      <c r="O219" s="156">
        <f ref="O219" t="shared" si="199">O214+O216-O217-O218</f>
        <v>800635.96598272608</v>
      </c>
      <c r="P219" s="156">
        <f ref="P219" t="shared" si="200">P214+P216-P217-P218</f>
        <v>800634.96598272608</v>
      </c>
      <c r="Q219" s="156">
        <f ref="Q219" t="shared" si="201">Q214+Q216-Q217-Q218</f>
        <v>800633.96598272608</v>
      </c>
      <c r="R219" s="156">
        <f ref="R219" t="shared" si="202">R214+R216-R217-R218</f>
        <v>800632.96598272608</v>
      </c>
      <c r="S219" s="156">
        <f ref="S219" t="shared" si="203">S214+S216-S217-S218</f>
        <v>800631.96598272608</v>
      </c>
      <c r="T219" s="156">
        <f ref="T219" t="shared" si="204">T214+T216-T217-T218</f>
        <v>800630.96598272608</v>
      </c>
      <c r="U219" s="156">
        <f ref="U219" t="shared" si="205">U214+U216-U217-U218</f>
        <v>363324.24344874092</v>
      </c>
      <c r="V219" s="156" t="e">
        <f ref="V219" t="shared" si="206">V214+V216-V217-V218</f>
        <v>#REF!</v>
      </c>
      <c r="W219" s="156" t="e">
        <f ref="W219" t="shared" si="207">W214+W216-W217-W218</f>
        <v>#REF!</v>
      </c>
      <c r="X219" s="156" t="e">
        <f ref="X219" t="shared" si="208">X214+X216-X217-X218</f>
        <v>#REF!</v>
      </c>
      <c r="Y219" s="156">
        <f ref="Y219" t="shared" si="209">Y214+Y216-Y217-Y218</f>
        <v>0</v>
      </c>
      <c r="Z219" s="156" t="e">
        <f ref="Z219" t="shared" si="210">Z214+Z216-Z217-Z218</f>
        <v>#REF!</v>
      </c>
      <c r="AA219" s="156" t="e">
        <f ref="AA219" t="shared" si="211">AA214+AA216-AA217-AA218</f>
        <v>#REF!</v>
      </c>
      <c r="AC219" s="8" t="s">
        <v>109</v>
      </c>
      <c r="AD219" s="156">
        <f>WACC!$C$20*1000</f>
        <v>1656000</v>
      </c>
      <c r="AI219" s="162"/>
    </row>
    <row spans="2:35" r="220" x14ac:dyDescent="0.25"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9"/>
      <c r="AC220" s="8" t="s">
        <v>703</v>
      </c>
      <c r="AD220" s="156">
        <f>'Liquidity Position'!$E$11</f>
        <v>1185036.3999999999</v>
      </c>
      <c r="AI220" s="156"/>
    </row>
    <row spans="2:35" r="221" x14ac:dyDescent="0.25">
      <c r="B221" s="8" t="s">
        <v>95</v>
      </c>
      <c r="C221" s="158">
        <v>1</v>
      </c>
      <c r="D221" s="158">
        <f>C221+1</f>
        <v>2</v>
      </c>
      <c r="E221" s="158">
        <f ref="E221:L221" t="shared" si="212">D221+1</f>
        <v>3</v>
      </c>
      <c r="F221" s="158">
        <f t="shared" si="212"/>
        <v>4</v>
      </c>
      <c r="G221" s="158">
        <f t="shared" si="212"/>
        <v>5</v>
      </c>
      <c r="H221" s="158">
        <f t="shared" si="212"/>
        <v>6</v>
      </c>
      <c r="I221" s="158">
        <f t="shared" si="212"/>
        <v>7</v>
      </c>
      <c r="J221" s="158">
        <f t="shared" si="212"/>
        <v>8</v>
      </c>
      <c r="K221" s="158">
        <f t="shared" si="212"/>
        <v>9</v>
      </c>
      <c r="L221" s="158">
        <f t="shared" si="212"/>
        <v>10</v>
      </c>
      <c r="M221" s="159">
        <f>L221+1</f>
        <v>11</v>
      </c>
      <c r="N221" s="8">
        <f ref="N221:AA221" t="shared" si="213">M221+1</f>
        <v>12</v>
      </c>
      <c r="O221" s="8">
        <f t="shared" si="213"/>
        <v>13</v>
      </c>
      <c r="P221" s="8">
        <f t="shared" si="213"/>
        <v>14</v>
      </c>
      <c r="Q221" s="8">
        <f t="shared" si="213"/>
        <v>15</v>
      </c>
      <c r="R221" s="8">
        <f t="shared" si="213"/>
        <v>16</v>
      </c>
      <c r="S221" s="8">
        <f t="shared" si="213"/>
        <v>17</v>
      </c>
      <c r="T221" s="8">
        <f t="shared" si="213"/>
        <v>18</v>
      </c>
      <c r="U221" s="8">
        <f t="shared" si="213"/>
        <v>19</v>
      </c>
      <c r="V221" s="8">
        <f t="shared" si="213"/>
        <v>20</v>
      </c>
      <c r="W221" s="8">
        <f t="shared" si="213"/>
        <v>21</v>
      </c>
      <c r="X221" s="8">
        <f t="shared" si="213"/>
        <v>22</v>
      </c>
      <c r="Y221" s="8">
        <f t="shared" si="213"/>
        <v>23</v>
      </c>
      <c r="Z221" s="8">
        <f t="shared" si="213"/>
        <v>24</v>
      </c>
      <c r="AA221" s="8">
        <f t="shared" si="213"/>
        <v>25</v>
      </c>
      <c r="AD221" s="156"/>
      <c r="AI221" s="156"/>
    </row>
    <row spans="2:35" r="222" x14ac:dyDescent="0.25"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9"/>
      <c r="AC222" s="8" t="s">
        <v>704</v>
      </c>
      <c r="AD222" s="156">
        <f>AD217-AD219+AD220</f>
        <v>2381908.0460575931</v>
      </c>
      <c r="AI222" s="156"/>
    </row>
    <row spans="2:35" r="223" x14ac:dyDescent="0.25">
      <c r="B223" s="151" t="s">
        <v>96</v>
      </c>
      <c r="C223" s="156">
        <f>Bear!C161</f>
        <v>227445.19888140581</v>
      </c>
      <c r="D223" s="156">
        <f>Bear!D161</f>
        <v>176359.36046554451</v>
      </c>
      <c r="E223" s="156">
        <f>Bear!E161</f>
        <v>356504.79514449072</v>
      </c>
      <c r="F223" s="156">
        <f>Bear!F161</f>
        <v>192901.89847694815</v>
      </c>
      <c r="G223" s="156">
        <f>Bear!G161</f>
        <v>175833.36966254623</v>
      </c>
      <c r="H223" s="156">
        <f>Bear!H161</f>
        <v>164410.66979685661</v>
      </c>
      <c r="I223" s="156">
        <f>Bear!I161</f>
        <v>147841.1674846891</v>
      </c>
      <c r="J223" s="156">
        <f>Bear!J161</f>
        <v>135294.9783018665</v>
      </c>
      <c r="K223" s="156">
        <f>Bear!K161</f>
        <v>123813.49163519168</v>
      </c>
      <c r="L223" s="156">
        <f>Bear!L161</f>
        <v>129313.41932358363</v>
      </c>
      <c r="M223" s="160">
        <f>M219/(1+WACC!$C$23)^M221</f>
        <v>301845.99158712174</v>
      </c>
      <c r="N223" s="156">
        <f>N219/(1+WACC!$C$23)^N221</f>
        <v>276230.20414379344</v>
      </c>
      <c r="O223" s="156">
        <f>O219/(1+WACC!$C$23)^O221</f>
        <v>252788.26887843371</v>
      </c>
      <c r="P223" s="156">
        <f>P219/(1+WACC!$C$23)^P221</f>
        <v>231335.70450967425</v>
      </c>
      <c r="Q223" s="156">
        <f>Q219/(1+WACC!$C$23)^Q221</f>
        <v>211703.68553233726</v>
      </c>
      <c r="R223" s="156">
        <f>R219/(1+WACC!$C$23)^R221</f>
        <v>193737.71360931682</v>
      </c>
      <c r="S223" s="156">
        <f>S219/(1+WACC!$C$23)^S221</f>
        <v>177296.4017141489</v>
      </c>
      <c r="T223" s="156">
        <f>T219/(1+WACC!$C$23)^T221</f>
        <v>162250.36145582015</v>
      </c>
      <c r="U223" s="156">
        <f>U219/(1+WACC!$C$23)^U221</f>
        <v>67380.458434742686</v>
      </c>
      <c r="V223" s="156" t="e">
        <f>V219/(1+WACC!$C$23)^V221</f>
        <v>#REF!</v>
      </c>
      <c r="W223" s="156" t="e">
        <f>W219/(1+WACC!$C$23)^W221</f>
        <v>#REF!</v>
      </c>
      <c r="X223" s="156" t="e">
        <f>X219/(1+WACC!$C$23)^X221</f>
        <v>#REF!</v>
      </c>
      <c r="Y223" s="156">
        <f>Y219/(1+WACC!$C$23)^Y221</f>
        <v>0</v>
      </c>
      <c r="Z223" s="156" t="e">
        <f>Z219/(1+WACC!$C$23)^Z221</f>
        <v>#REF!</v>
      </c>
      <c r="AA223" s="156" t="e">
        <f>AA219/(1+WACC!$C$23)^AA221</f>
        <v>#REF!</v>
      </c>
      <c r="AC223" s="8" t="s">
        <v>705</v>
      </c>
      <c r="AD223" s="156">
        <f>WACC!$C$18*1000</f>
        <v>108222.60400000001</v>
      </c>
    </row>
    <row spans="2:35" r="224" x14ac:dyDescent="0.25">
      <c r="B224" s="151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C224" s="8" t="s">
        <v>214</v>
      </c>
      <c r="AD224" s="176">
        <f>AD222/AD223</f>
        <v>22.009339620562013</v>
      </c>
    </row>
    <row spans="2:34" r="225" x14ac:dyDescent="0.25">
      <c r="B225" s="151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</row>
    <row spans="2:34" r="226" x14ac:dyDescent="0.25">
      <c r="B226" s="151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C226" s="8" t="s">
        <v>710</v>
      </c>
    </row>
    <row spans="2:34" r="227" x14ac:dyDescent="0.25">
      <c r="B227" s="151"/>
      <c r="C227" s="177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</row>
    <row spans="2:34" r="230" x14ac:dyDescent="0.25">
      <c r="AC230" s="151" t="s">
        <v>706</v>
      </c>
    </row>
    <row spans="2:34" r="231" x14ac:dyDescent="0.25">
      <c r="AC231" s="179">
        <f>AD224</f>
        <v>22.009339620562013</v>
      </c>
      <c r="AD231" s="178">
        <v>6</v>
      </c>
      <c r="AE231" s="178">
        <v>6.5</v>
      </c>
      <c r="AF231" s="178">
        <v>7</v>
      </c>
      <c r="AG231" s="178">
        <v>7.5</v>
      </c>
      <c r="AH231" s="178">
        <v>8</v>
      </c>
    </row>
    <row spans="2:34" r="232" x14ac:dyDescent="0.25">
      <c r="AC232" s="157">
        <v>9.1300000000000006E-2</v>
      </c>
      <c r="AD232" s="176">
        <f r2="AD213" ref="AD232:AH236" dtr="1" t="dataTable" dt2D="1" r1="AD214"/>
        <v>21.745874042690428</v>
      </c>
      <c r="AE232" s="176">
        <v>22.511764846475163</v>
      </c>
      <c r="AF232" s="176">
        <v>23.277655650259895</v>
      </c>
      <c r="AG232" s="176">
        <v>24.043546454044627</v>
      </c>
      <c r="AH232" s="176">
        <v>24.809437257829359</v>
      </c>
    </row>
    <row spans="2:34" r="233" x14ac:dyDescent="0.25">
      <c r="AC233" s="157">
        <v>9.2799999999999994E-2</v>
      </c>
      <c r="AD233" s="176">
        <v>21.62049710344299</v>
      </c>
      <c r="AE233" s="176">
        <v>22.375939828957105</v>
      </c>
      <c r="AF233" s="176">
        <v>23.131382554471216</v>
      </c>
      <c r="AG233" s="176">
        <v>23.886825279985331</v>
      </c>
      <c r="AH233" s="176">
        <v>24.642268005499442</v>
      </c>
    </row>
    <row spans="2:34" r="234" x14ac:dyDescent="0.25">
      <c r="AC234" s="157">
        <v>9.4299999999999995E-2</v>
      </c>
      <c r="AD234" s="176">
        <v>21.496998993206244</v>
      </c>
      <c r="AE234" s="176">
        <v>22.242150209533957</v>
      </c>
      <c r="AF234" s="176">
        <v>22.987301425861673</v>
      </c>
      <c r="AG234" s="176">
        <v>23.73245264218939</v>
      </c>
      <c r="AH234" s="176">
        <v>24.47760385851711</v>
      </c>
    </row>
    <row spans="2:34" r="235" x14ac:dyDescent="0.25">
      <c r="AC235" s="157">
        <v>9.5799999999999996E-2</v>
      </c>
      <c r="AD235" s="176">
        <v>21.375349039169997</v>
      </c>
      <c r="AE235" s="176">
        <v>22.110362759328023</v>
      </c>
      <c r="AF235" s="176">
        <v>22.845376479486053</v>
      </c>
      <c r="AG235" s="176">
        <v>23.580390199644082</v>
      </c>
      <c r="AH235" s="176">
        <v>24.315403919802115</v>
      </c>
    </row>
    <row spans="2:34" r="236" x14ac:dyDescent="0.25">
      <c r="AC236" s="157">
        <v>9.7299999999999998E-2</v>
      </c>
      <c r="AD236" s="176">
        <v>21.255517110264147</v>
      </c>
      <c r="AE236" s="176">
        <v>21.980544836346688</v>
      </c>
      <c r="AF236" s="176">
        <v>22.705572562429232</v>
      </c>
      <c r="AG236" s="176">
        <v>23.430600288511776</v>
      </c>
      <c r="AH236" s="176">
        <v>24.155628014594317</v>
      </c>
    </row>
  </sheetData>
  <conditionalFormatting sqref="AD168:AH172">
    <cfRule type="colorScale" priority="5">
      <colorScale>
        <cfvo type="min"/>
        <cfvo val="50" type="percentile"/>
        <cfvo type="max"/>
        <color rgb="FFF8696B"/>
        <color rgb="FFFFEB84"/>
        <color rgb="FF63BE7B"/>
      </colorScale>
    </cfRule>
  </conditionalFormatting>
  <conditionalFormatting sqref="AD200:AH204">
    <cfRule type="colorScale" priority="2">
      <colorScale>
        <cfvo type="min"/>
        <cfvo val="50" type="percentile"/>
        <cfvo type="max"/>
        <color rgb="FFF8696B"/>
        <color rgb="FFFFEB84"/>
        <color rgb="FF63BE7B"/>
      </colorScale>
    </cfRule>
  </conditionalFormatting>
  <conditionalFormatting sqref="AD232:AH236">
    <cfRule type="colorScale" priority="1">
      <colorScale>
        <cfvo type="min"/>
        <cfvo val="50" type="percentile"/>
        <cfvo type="max"/>
        <color rgb="FFF8696B"/>
        <color rgb="FFFFEB84"/>
        <color rgb="FF63BE7B"/>
      </colorScale>
    </cfRule>
  </conditionalFormatting>
  <pageMargins top="0.75" left="0.7" footer="0.3" bottom="0.75" header="0.3" right="0.7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E6613-E52D-493A-9BE8-A8992D9774D2}">
  <dimension ref="A1:AH184"/>
  <sheetViews>
    <sheetView workbookViewId="0" showGridLines="0" topLeftCell="A4">
      <selection activeCell="B14" sqref="B14"/>
    </sheetView>
  </sheetViews>
  <sheetFormatPr defaultColWidth="8.7109375" outlineLevelRow="1" defaultRowHeight="15" outlineLevelCol="2" x14ac:dyDescent="0.25"/>
  <cols>
    <col customWidth="1" min="1" max="1" width="2.140625" style="8" bestFit="1"/>
    <col customWidth="1" min="2" max="2" width="62.42578125" style="8" bestFit="1"/>
    <col outlineLevel="2" customWidth="1" min="3" max="4" width="8.7109375" style="8"/>
    <col outlineLevel="2" customWidth="1" min="5" max="5" width="11.140625" style="8"/>
    <col outlineLevel="1" customWidth="1" min="6" max="10" width="11.140625" style="8"/>
    <col customWidth="1" min="11" max="12" width="11.140625" style="8" bestFit="1"/>
    <col outlineLevel="1" customWidth="1" min="13" max="27" width="11.140625" style="8" bestFit="1"/>
    <col customWidth="1" min="28" max="31" width="11.140625" style="8" bestFit="1"/>
    <col min="32" max="32" width="8.7109375" style="8"/>
    <col customWidth="1" min="33" max="33" width="22.28515625" style="8" bestFit="1"/>
    <col customWidth="1" min="34" max="34" width="9" style="8" bestFit="1"/>
    <col min="35" max="16384" width="8.7109375" style="8"/>
  </cols>
  <sheetData>
    <row spans="1:31" r="1" x14ac:dyDescent="0.25">
      <c r="A1" s="151" t="s">
        <v>112</v>
      </c>
    </row>
    <row spans="1:31" r="3" x14ac:dyDescent="0.25">
      <c r="B3" s="24" t="s">
        <v>8</v>
      </c>
      <c r="C3" s="24">
        <v>2019</v>
      </c>
      <c r="D3" s="24">
        <v>2020</v>
      </c>
      <c r="E3" s="24">
        <v>2021</v>
      </c>
      <c r="F3" s="24">
        <v>2022</v>
      </c>
      <c r="G3" s="24">
        <f>F3+1</f>
        <v>2023</v>
      </c>
      <c r="H3" s="24">
        <f ref="H3:U3" t="shared" si="0">G3+1</f>
        <v>2024</v>
      </c>
      <c r="I3" s="24">
        <f t="shared" si="0"/>
        <v>2025</v>
      </c>
      <c r="J3" s="24">
        <f t="shared" si="0"/>
        <v>2026</v>
      </c>
      <c r="K3" s="24">
        <f t="shared" si="0"/>
        <v>2027</v>
      </c>
      <c r="L3" s="24">
        <f t="shared" si="0"/>
        <v>2028</v>
      </c>
      <c r="M3" s="24">
        <f t="shared" si="0"/>
        <v>2029</v>
      </c>
      <c r="N3" s="24">
        <f t="shared" si="0"/>
        <v>2030</v>
      </c>
      <c r="O3" s="24">
        <f t="shared" si="0"/>
        <v>2031</v>
      </c>
      <c r="P3" s="24">
        <f t="shared" si="0"/>
        <v>2032</v>
      </c>
      <c r="Q3" s="24">
        <f t="shared" si="0"/>
        <v>2033</v>
      </c>
      <c r="R3" s="24">
        <f t="shared" si="0"/>
        <v>2034</v>
      </c>
      <c r="S3" s="24">
        <f t="shared" si="0"/>
        <v>2035</v>
      </c>
      <c r="T3" s="24">
        <f t="shared" si="0"/>
        <v>2036</v>
      </c>
      <c r="U3" s="24">
        <f t="shared" si="0"/>
        <v>2037</v>
      </c>
      <c r="V3" s="24"/>
      <c r="W3" s="24"/>
      <c r="X3" s="24"/>
      <c r="Y3" s="24"/>
      <c r="Z3" s="24"/>
      <c r="AA3" s="24"/>
      <c r="AB3" s="24"/>
      <c r="AC3" s="24"/>
      <c r="AD3" s="24"/>
      <c r="AE3" s="24"/>
    </row>
    <row spans="1:31" r="4" x14ac:dyDescent="0.25">
      <c r="B4" s="2" t="s">
        <v>9</v>
      </c>
      <c r="C4" s="2">
        <v>2.4</v>
      </c>
      <c r="D4" s="2">
        <v>2.4</v>
      </c>
      <c r="E4" s="2">
        <v>2.4</v>
      </c>
      <c r="F4" s="29">
        <v>2.4</v>
      </c>
      <c r="G4" s="2">
        <v>2.4</v>
      </c>
      <c r="H4" s="2">
        <v>2.4</v>
      </c>
      <c r="I4" s="2">
        <v>2.4</v>
      </c>
      <c r="J4" s="2">
        <v>2.4</v>
      </c>
      <c r="K4" s="2">
        <v>2.4</v>
      </c>
      <c r="L4" s="2">
        <v>2.4</v>
      </c>
      <c r="M4" s="2">
        <v>2.4</v>
      </c>
      <c r="N4" s="2">
        <v>2.4</v>
      </c>
      <c r="O4" s="2">
        <v>2.4</v>
      </c>
      <c r="P4" s="2">
        <v>2.4</v>
      </c>
      <c r="Q4" s="2">
        <v>2.4</v>
      </c>
      <c r="R4" s="2">
        <v>2.4</v>
      </c>
      <c r="S4" s="2">
        <v>2.4</v>
      </c>
      <c r="T4" s="2">
        <v>2.4</v>
      </c>
      <c r="U4" s="2">
        <v>2.4</v>
      </c>
      <c r="V4" s="2"/>
      <c r="W4" s="2"/>
      <c r="X4" s="2"/>
      <c r="Y4" s="2"/>
      <c r="Z4" s="2"/>
      <c r="AA4" s="2"/>
      <c r="AB4" s="2"/>
      <c r="AC4" s="2"/>
      <c r="AD4" s="2"/>
      <c r="AE4" s="2"/>
    </row>
    <row spans="1:31" r="5" x14ac:dyDescent="0.25">
      <c r="B5" s="2" t="s">
        <v>10</v>
      </c>
      <c r="C5" s="2">
        <v>1.2</v>
      </c>
      <c r="D5" s="2">
        <v>1.2</v>
      </c>
      <c r="E5" s="2">
        <v>1.2</v>
      </c>
      <c r="F5" s="29">
        <v>1.2</v>
      </c>
      <c r="G5" s="2">
        <v>1.4</v>
      </c>
      <c r="H5" s="203">
        <v>1.6</v>
      </c>
      <c r="I5" s="2">
        <v>1.8</v>
      </c>
      <c r="J5" s="2">
        <v>2</v>
      </c>
      <c r="K5" s="208">
        <v>0</v>
      </c>
      <c r="L5" s="2">
        <v>2.4</v>
      </c>
      <c r="M5" s="2">
        <v>2.4</v>
      </c>
      <c r="N5" s="2">
        <v>2.4</v>
      </c>
      <c r="O5" s="2">
        <v>2.4</v>
      </c>
      <c r="P5" s="2">
        <v>2.4</v>
      </c>
      <c r="Q5" s="2">
        <v>2.4</v>
      </c>
      <c r="R5" s="2">
        <v>2.4</v>
      </c>
      <c r="S5" s="2">
        <v>2.4</v>
      </c>
      <c r="T5" s="2">
        <v>2.4</v>
      </c>
      <c r="U5" s="2">
        <v>2.4</v>
      </c>
      <c r="V5" s="2"/>
      <c r="W5" s="2"/>
      <c r="X5" s="2"/>
      <c r="Y5" s="2"/>
      <c r="Z5" s="2"/>
      <c r="AA5" s="2"/>
      <c r="AB5" s="2"/>
      <c r="AC5" s="2"/>
      <c r="AD5" s="2"/>
      <c r="AE5" s="2"/>
    </row>
    <row spans="1:31" r="6" x14ac:dyDescent="0.25">
      <c r="B6" s="2" t="s">
        <v>11</v>
      </c>
      <c r="C6" s="20">
        <v>218096</v>
      </c>
      <c r="D6" s="20">
        <v>226061</v>
      </c>
      <c r="E6" s="20">
        <v>221020</v>
      </c>
      <c r="F6" s="220">
        <f>F7*F5</f>
        <v>221725.66666666669</v>
      </c>
      <c r="G6" s="20">
        <f ref="G6:U6" t="shared" si="1">G7*G5</f>
        <v>258679.94444444444</v>
      </c>
      <c r="H6" s="20">
        <f t="shared" si="1"/>
        <v>295634.22222222225</v>
      </c>
      <c r="I6" s="20">
        <f t="shared" si="1"/>
        <v>332588.50000000006</v>
      </c>
      <c r="J6" s="20">
        <f t="shared" si="1"/>
        <v>369542.77777777781</v>
      </c>
      <c r="K6" s="208">
        <f t="shared" si="1"/>
        <v>0</v>
      </c>
      <c r="L6" s="20">
        <f t="shared" si="1"/>
        <v>443451.33333333337</v>
      </c>
      <c r="M6" s="20">
        <f t="shared" si="1"/>
        <v>443451.33333333337</v>
      </c>
      <c r="N6" s="20">
        <f t="shared" si="1"/>
        <v>443451.33333333337</v>
      </c>
      <c r="O6" s="20">
        <f t="shared" si="1"/>
        <v>443451.33333333337</v>
      </c>
      <c r="P6" s="20">
        <f t="shared" si="1"/>
        <v>443451.33333333337</v>
      </c>
      <c r="Q6" s="20">
        <f t="shared" si="1"/>
        <v>443451.33333333337</v>
      </c>
      <c r="R6" s="20">
        <f t="shared" si="1"/>
        <v>443451.33333333337</v>
      </c>
      <c r="S6" s="20">
        <f t="shared" si="1"/>
        <v>443451.33333333337</v>
      </c>
      <c r="T6" s="20">
        <f t="shared" si="1"/>
        <v>443451.33333333337</v>
      </c>
      <c r="U6" s="20">
        <f t="shared" si="1"/>
        <v>443451.33333333337</v>
      </c>
      <c r="V6" s="20"/>
      <c r="W6" s="20"/>
      <c r="X6" s="20"/>
      <c r="Y6" s="20"/>
      <c r="Z6" s="20"/>
      <c r="AA6" s="20"/>
      <c r="AB6" s="20"/>
      <c r="AC6" s="20"/>
      <c r="AD6" s="20"/>
      <c r="AE6" s="20"/>
    </row>
    <row spans="1:31" r="7" x14ac:dyDescent="0.25">
      <c r="B7" s="18" t="s">
        <v>12</v>
      </c>
      <c r="C7" s="20">
        <f>C6/C5</f>
        <v>181746.66666666669</v>
      </c>
      <c r="D7" s="20">
        <f ref="D7:E7" t="shared" si="2">D6/D5</f>
        <v>188384.16666666669</v>
      </c>
      <c r="E7" s="20">
        <f t="shared" si="2"/>
        <v>184183.33333333334</v>
      </c>
      <c r="F7" s="220">
        <f>AVERAGE($C$7:$E$7)</f>
        <v>184771.38888888891</v>
      </c>
      <c r="G7" s="20">
        <f ref="G7:U7" t="shared" si="3">AVERAGE($C$7:$E$7)</f>
        <v>184771.38888888891</v>
      </c>
      <c r="H7" s="20">
        <f t="shared" si="3"/>
        <v>184771.38888888891</v>
      </c>
      <c r="I7" s="20">
        <f t="shared" si="3"/>
        <v>184771.38888888891</v>
      </c>
      <c r="J7" s="20">
        <f t="shared" si="3"/>
        <v>184771.38888888891</v>
      </c>
      <c r="K7" s="208"/>
      <c r="L7" s="20">
        <f t="shared" si="3"/>
        <v>184771.38888888891</v>
      </c>
      <c r="M7" s="20">
        <f t="shared" si="3"/>
        <v>184771.38888888891</v>
      </c>
      <c r="N7" s="20">
        <f t="shared" si="3"/>
        <v>184771.38888888891</v>
      </c>
      <c r="O7" s="20">
        <f t="shared" si="3"/>
        <v>184771.38888888891</v>
      </c>
      <c r="P7" s="20">
        <f t="shared" si="3"/>
        <v>184771.38888888891</v>
      </c>
      <c r="Q7" s="20">
        <f t="shared" si="3"/>
        <v>184771.38888888891</v>
      </c>
      <c r="R7" s="20">
        <f t="shared" si="3"/>
        <v>184771.38888888891</v>
      </c>
      <c r="S7" s="20">
        <f t="shared" si="3"/>
        <v>184771.38888888891</v>
      </c>
      <c r="T7" s="20">
        <f t="shared" si="3"/>
        <v>184771.38888888891</v>
      </c>
      <c r="U7" s="20">
        <f t="shared" si="3"/>
        <v>184771.38888888891</v>
      </c>
      <c r="V7" s="20"/>
      <c r="W7" s="20"/>
      <c r="X7" s="20"/>
      <c r="Y7" s="20"/>
      <c r="Z7" s="20"/>
      <c r="AA7" s="20"/>
      <c r="AB7" s="20"/>
      <c r="AC7" s="20"/>
      <c r="AD7" s="20"/>
      <c r="AE7" s="20"/>
    </row>
    <row spans="1:31" r="8" x14ac:dyDescent="0.25">
      <c r="B8" s="2"/>
      <c r="C8" s="2"/>
      <c r="D8" s="2"/>
      <c r="E8" s="2"/>
      <c r="F8" s="29"/>
      <c r="G8" s="2"/>
      <c r="H8" s="2"/>
      <c r="I8" s="2"/>
      <c r="J8" s="2"/>
      <c r="K8" s="208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spans="1:31" r="9" x14ac:dyDescent="0.25">
      <c r="B9" s="2" t="s">
        <v>13</v>
      </c>
      <c r="C9" s="20">
        <v>55284</v>
      </c>
      <c r="D9" s="20">
        <v>52104</v>
      </c>
      <c r="E9" s="20">
        <f>E6*E10</f>
        <v>53483.653510713877</v>
      </c>
      <c r="F9" s="220">
        <f>F6*F10</f>
        <v>53654.414670310573</v>
      </c>
      <c r="G9" s="20">
        <f ref="G9:U9" t="shared" si="4">G6*G10</f>
        <v>62596.817115362326</v>
      </c>
      <c r="H9" s="20">
        <f t="shared" si="4"/>
        <v>71539.219560414087</v>
      </c>
      <c r="I9" s="20">
        <f t="shared" si="4"/>
        <v>80481.622005465862</v>
      </c>
      <c r="J9" s="20">
        <f t="shared" si="4"/>
        <v>89424.024450517609</v>
      </c>
      <c r="K9" s="208">
        <f t="shared" si="4"/>
        <v>0</v>
      </c>
      <c r="L9" s="20">
        <f t="shared" si="4"/>
        <v>107308.82934062115</v>
      </c>
      <c r="M9" s="20">
        <f t="shared" si="4"/>
        <v>107308.82934062115</v>
      </c>
      <c r="N9" s="20">
        <f t="shared" si="4"/>
        <v>107308.82934062115</v>
      </c>
      <c r="O9" s="20">
        <f t="shared" si="4"/>
        <v>107308.82934062115</v>
      </c>
      <c r="P9" s="20">
        <f t="shared" si="4"/>
        <v>107308.82934062115</v>
      </c>
      <c r="Q9" s="20">
        <f t="shared" si="4"/>
        <v>107308.82934062115</v>
      </c>
      <c r="R9" s="20">
        <f t="shared" si="4"/>
        <v>107308.82934062115</v>
      </c>
      <c r="S9" s="20">
        <f t="shared" si="4"/>
        <v>107308.82934062115</v>
      </c>
      <c r="T9" s="20">
        <f t="shared" si="4"/>
        <v>107308.82934062115</v>
      </c>
      <c r="U9" s="20">
        <f t="shared" si="4"/>
        <v>107308.82934062115</v>
      </c>
      <c r="V9" s="20"/>
      <c r="W9" s="20"/>
      <c r="X9" s="20"/>
      <c r="Y9" s="20"/>
      <c r="Z9" s="20"/>
      <c r="AA9" s="20"/>
      <c r="AB9" s="20"/>
      <c r="AC9" s="20"/>
      <c r="AD9" s="20"/>
      <c r="AE9" s="20"/>
    </row>
    <row spans="1:31" r="10" x14ac:dyDescent="0.25">
      <c r="B10" s="18" t="s">
        <v>14</v>
      </c>
      <c r="C10" s="74">
        <f>C9/C6</f>
        <v>0.25348470398356687</v>
      </c>
      <c r="D10" s="74">
        <f ref="D10" t="shared" si="5">D9/D6</f>
        <v>0.23048646161876662</v>
      </c>
      <c r="E10" s="74">
        <f>AVERAGE($C$10:$D$10)</f>
        <v>0.24198558280116675</v>
      </c>
      <c r="F10" s="75">
        <f>AVERAGE($C$10:$E$10)</f>
        <v>0.24198558280116675</v>
      </c>
      <c r="G10" s="76">
        <f ref="G10:U10" t="shared" si="6">AVERAGE($C$10:$E$10)</f>
        <v>0.24198558280116675</v>
      </c>
      <c r="H10" s="76">
        <f t="shared" si="6"/>
        <v>0.24198558280116675</v>
      </c>
      <c r="I10" s="76">
        <f t="shared" si="6"/>
        <v>0.24198558280116675</v>
      </c>
      <c r="J10" s="76">
        <f t="shared" si="6"/>
        <v>0.24198558280116675</v>
      </c>
      <c r="K10" s="208"/>
      <c r="L10" s="76">
        <f t="shared" si="6"/>
        <v>0.24198558280116675</v>
      </c>
      <c r="M10" s="76">
        <f t="shared" si="6"/>
        <v>0.24198558280116675</v>
      </c>
      <c r="N10" s="76">
        <f t="shared" si="6"/>
        <v>0.24198558280116675</v>
      </c>
      <c r="O10" s="76">
        <f t="shared" si="6"/>
        <v>0.24198558280116675</v>
      </c>
      <c r="P10" s="76">
        <f t="shared" si="6"/>
        <v>0.24198558280116675</v>
      </c>
      <c r="Q10" s="76">
        <f t="shared" si="6"/>
        <v>0.24198558280116675</v>
      </c>
      <c r="R10" s="76">
        <f t="shared" si="6"/>
        <v>0.24198558280116675</v>
      </c>
      <c r="S10" s="76">
        <f t="shared" si="6"/>
        <v>0.24198558280116675</v>
      </c>
      <c r="T10" s="76">
        <f t="shared" si="6"/>
        <v>0.24198558280116675</v>
      </c>
      <c r="U10" s="76">
        <f t="shared" si="6"/>
        <v>0.24198558280116675</v>
      </c>
      <c r="V10" s="76"/>
      <c r="W10" s="76"/>
      <c r="X10" s="76"/>
      <c r="Y10" s="76"/>
      <c r="Z10" s="76"/>
      <c r="AA10" s="76"/>
      <c r="AB10" s="76"/>
      <c r="AC10" s="76"/>
      <c r="AD10" s="76"/>
      <c r="AE10" s="76"/>
    </row>
    <row spans="1:31" r="11" x14ac:dyDescent="0.25">
      <c r="B11" s="18"/>
      <c r="C11" s="74"/>
      <c r="D11" s="74"/>
      <c r="E11" s="74"/>
      <c r="F11" s="222"/>
      <c r="G11" s="76"/>
      <c r="H11" s="76"/>
      <c r="I11" s="76"/>
      <c r="J11" s="76"/>
      <c r="K11" s="208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</row>
    <row spans="1:31" r="12" x14ac:dyDescent="0.25">
      <c r="B12" s="2" t="s">
        <v>15</v>
      </c>
      <c r="C12" s="20"/>
      <c r="D12" s="20"/>
      <c r="E12" s="20"/>
      <c r="F12" s="221">
        <f>F19+F25</f>
        <v>171898</v>
      </c>
      <c r="G12" s="221">
        <f ref="G12:J12" t="shared" si="7">G19+G25</f>
        <v>111157.74999999999</v>
      </c>
      <c r="H12" s="221">
        <f t="shared" si="7"/>
        <v>53190.000000000007</v>
      </c>
      <c r="I12" s="221">
        <f t="shared" si="7"/>
        <v>43287.75</v>
      </c>
      <c r="J12" s="221">
        <f t="shared" si="7"/>
        <v>34958.249999999978</v>
      </c>
      <c r="K12" s="223">
        <v>0</v>
      </c>
      <c r="L12" s="223">
        <v>0</v>
      </c>
      <c r="M12" s="223">
        <v>0</v>
      </c>
      <c r="N12" s="223">
        <v>0</v>
      </c>
      <c r="O12" s="223">
        <v>0</v>
      </c>
      <c r="P12" s="223">
        <v>0</v>
      </c>
      <c r="Q12" s="223">
        <v>0</v>
      </c>
      <c r="R12" s="223">
        <v>0</v>
      </c>
      <c r="S12" s="223">
        <v>0</v>
      </c>
      <c r="T12" s="223">
        <v>0</v>
      </c>
      <c r="U12" s="223">
        <v>0</v>
      </c>
      <c r="V12" s="20"/>
      <c r="W12" s="20"/>
      <c r="X12" s="20"/>
      <c r="Y12" s="20"/>
      <c r="Z12" s="20"/>
      <c r="AA12" s="20"/>
      <c r="AB12" s="20"/>
      <c r="AC12" s="20"/>
      <c r="AD12" s="20"/>
      <c r="AE12" s="20"/>
    </row>
    <row spans="1:31" r="13" x14ac:dyDescent="0.25">
      <c r="B13" s="2"/>
      <c r="C13" s="2"/>
      <c r="D13" s="2"/>
      <c r="E13" s="65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spans="1:31" r="14" x14ac:dyDescent="0.25">
      <c r="A14" s="8" t="s">
        <v>7</v>
      </c>
      <c r="B14" s="2" t="s">
        <v>16</v>
      </c>
      <c r="C14" s="2"/>
      <c r="D14" s="2"/>
      <c r="E14" s="6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spans="1:31" outlineLevel="1" r="15" x14ac:dyDescent="0.25">
      <c r="B15" s="69" t="s">
        <v>17</v>
      </c>
      <c r="C15" s="69"/>
      <c r="D15" s="69"/>
      <c r="E15" s="77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</row>
    <row spans="1:31" outlineLevel="1" r="16" x14ac:dyDescent="0.25">
      <c r="B16" s="2" t="s">
        <v>113</v>
      </c>
      <c r="C16" s="2"/>
      <c r="D16" s="2"/>
      <c r="E16" s="65"/>
      <c r="F16" s="226">
        <f>'TTF and brentForward Curve'!Z4</f>
        <v>100.24</v>
      </c>
      <c r="G16" s="226">
        <f>'TTF and brentForward Curve'!Z5</f>
        <v>89.132499999999993</v>
      </c>
      <c r="H16" s="226">
        <f>'TTF and brentForward Curve'!Z6</f>
        <v>79.7</v>
      </c>
      <c r="I16" s="226">
        <f>'TTF and brentForward Curve'!Z7</f>
        <v>76.032499999999999</v>
      </c>
      <c r="J16" s="226">
        <f>'TTF and brentForward Curve'!Z8</f>
        <v>72.947499999999991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spans="1:31" outlineLevel="1" r="17" x14ac:dyDescent="0.25">
      <c r="B17" s="2" t="s">
        <v>19</v>
      </c>
      <c r="C17" s="2"/>
      <c r="D17" s="2"/>
      <c r="E17" s="65"/>
      <c r="F17" s="226">
        <f>F16-60</f>
        <v>40.239999999999995</v>
      </c>
      <c r="G17" s="226">
        <f ref="G17:J17" t="shared" si="8">G16-60</f>
        <v>29.132499999999993</v>
      </c>
      <c r="H17" s="226">
        <f t="shared" si="8"/>
        <v>19.700000000000003</v>
      </c>
      <c r="I17" s="226">
        <f t="shared" si="8"/>
        <v>16.032499999999999</v>
      </c>
      <c r="J17" s="226">
        <f t="shared" si="8"/>
        <v>12.947499999999991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spans="1:31" outlineLevel="1" r="18" x14ac:dyDescent="0.25">
      <c r="B18" s="2" t="s">
        <v>20</v>
      </c>
      <c r="C18" s="2"/>
      <c r="D18" s="2"/>
      <c r="E18" s="2"/>
      <c r="F18" s="20">
        <f ref="F18:J18" t="shared" si="9">2.7*1000</f>
        <v>2700</v>
      </c>
      <c r="G18" s="20">
        <f t="shared" si="9"/>
        <v>2700</v>
      </c>
      <c r="H18" s="20">
        <f t="shared" si="9"/>
        <v>2700</v>
      </c>
      <c r="I18" s="20">
        <f t="shared" si="9"/>
        <v>2700</v>
      </c>
      <c r="J18" s="20">
        <f t="shared" si="9"/>
        <v>2700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spans="1:31" outlineLevel="1" r="19" x14ac:dyDescent="0.25">
      <c r="B19" s="2" t="s">
        <v>114</v>
      </c>
      <c r="C19" s="2"/>
      <c r="D19" s="2"/>
      <c r="E19" s="2"/>
      <c r="F19" s="21">
        <f>F18*F17</f>
        <v>108647.99999999999</v>
      </c>
      <c r="G19" s="21">
        <f ref="G19:J19" t="shared" si="10">G18*G17</f>
        <v>78657.749999999985</v>
      </c>
      <c r="H19" s="21">
        <f t="shared" si="10"/>
        <v>53190.000000000007</v>
      </c>
      <c r="I19" s="21">
        <f t="shared" si="10"/>
        <v>43287.75</v>
      </c>
      <c r="J19" s="21">
        <f t="shared" si="10"/>
        <v>34958.249999999978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spans="1:31" outlineLevel="1" r="20" x14ac:dyDescent="0.25">
      <c r="B20" s="69" t="s">
        <v>22</v>
      </c>
      <c r="C20" s="69"/>
      <c r="D20" s="69"/>
      <c r="E20" s="77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</row>
    <row spans="1:31" outlineLevel="1" r="21" x14ac:dyDescent="0.25">
      <c r="B21" s="2" t="s">
        <v>23</v>
      </c>
      <c r="C21" s="2"/>
      <c r="D21" s="2"/>
      <c r="E21" s="2"/>
      <c r="F21" s="224">
        <v>61000</v>
      </c>
      <c r="G21" s="20"/>
      <c r="H21" s="20"/>
      <c r="I21" s="20"/>
      <c r="J21" s="20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spans="1:31" outlineLevel="1" r="22" x14ac:dyDescent="0.25">
      <c r="B22" s="2" t="s">
        <v>24</v>
      </c>
      <c r="C22" s="2"/>
      <c r="D22" s="2"/>
      <c r="E22" s="2"/>
      <c r="F22" s="226">
        <v>25</v>
      </c>
      <c r="G22" s="226">
        <v>20</v>
      </c>
      <c r="H22" s="226">
        <v>15</v>
      </c>
      <c r="I22" s="226">
        <v>15</v>
      </c>
      <c r="J22" s="226">
        <v>15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spans="1:31" outlineLevel="1" r="23" x14ac:dyDescent="0.25">
      <c r="B23" s="2" t="s">
        <v>25</v>
      </c>
      <c r="C23" s="2"/>
      <c r="D23" s="2"/>
      <c r="E23" s="2"/>
      <c r="F23" s="226">
        <f>F22-15</f>
        <v>10</v>
      </c>
      <c r="G23" s="226">
        <f ref="G23:J23" t="shared" si="11">G22-15</f>
        <v>5</v>
      </c>
      <c r="H23" s="208">
        <f t="shared" si="11"/>
        <v>0</v>
      </c>
      <c r="I23" s="208">
        <f t="shared" si="11"/>
        <v>0</v>
      </c>
      <c r="J23" s="208">
        <f t="shared" si="11"/>
        <v>0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spans="1:31" outlineLevel="1" r="24" x14ac:dyDescent="0.25">
      <c r="B24" s="2" t="s">
        <v>26</v>
      </c>
      <c r="C24" s="2"/>
      <c r="D24" s="2"/>
      <c r="E24" s="2"/>
      <c r="F24" s="20">
        <v>900</v>
      </c>
      <c r="G24" s="20">
        <v>6500</v>
      </c>
      <c r="H24" s="20">
        <v>6500</v>
      </c>
      <c r="I24" s="20">
        <v>6500</v>
      </c>
      <c r="J24" s="20">
        <v>6500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spans="1:31" outlineLevel="1" r="25" x14ac:dyDescent="0.25">
      <c r="B25" s="2" t="s">
        <v>27</v>
      </c>
      <c r="C25" s="2"/>
      <c r="D25" s="2"/>
      <c r="E25" s="2"/>
      <c r="F25" s="21">
        <f>F23*F24*0.25+F21</f>
        <v>63250</v>
      </c>
      <c r="G25" s="21">
        <f>G23*G24</f>
        <v>32500</v>
      </c>
      <c r="H25" s="225">
        <f ref="H25:J25" t="shared" si="12">H23*H24</f>
        <v>0</v>
      </c>
      <c r="I25" s="225">
        <f t="shared" si="12"/>
        <v>0</v>
      </c>
      <c r="J25" s="225">
        <f t="shared" si="12"/>
        <v>0</v>
      </c>
      <c r="K25" s="20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spans="1:31" outlineLevel="1" r="26" x14ac:dyDescent="0.25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spans="1:31" r="27" x14ac:dyDescent="0.25">
      <c r="A27" s="8" t="s">
        <v>40</v>
      </c>
      <c r="B27" s="24" t="s">
        <v>28</v>
      </c>
      <c r="C27" s="24">
        <v>2019</v>
      </c>
      <c r="D27" s="24">
        <v>2020</v>
      </c>
      <c r="E27" s="24">
        <v>2021</v>
      </c>
      <c r="F27" s="24">
        <v>2022</v>
      </c>
      <c r="G27" s="24">
        <f>F27+1</f>
        <v>2023</v>
      </c>
      <c r="H27" s="24">
        <f ref="H27" t="shared" si="13">G27+1</f>
        <v>2024</v>
      </c>
      <c r="I27" s="24">
        <f ref="I27" t="shared" si="14">H27+1</f>
        <v>2025</v>
      </c>
      <c r="J27" s="24">
        <f ref="J27" t="shared" si="15">I27+1</f>
        <v>2026</v>
      </c>
      <c r="K27" s="24">
        <f ref="K27" t="shared" si="16">J27+1</f>
        <v>2027</v>
      </c>
      <c r="L27" s="24">
        <f ref="L27" t="shared" si="17">K27+1</f>
        <v>2028</v>
      </c>
      <c r="M27" s="24">
        <f ref="M27" t="shared" si="18">L27+1</f>
        <v>2029</v>
      </c>
      <c r="N27" s="24">
        <f ref="N27" t="shared" si="19">M27+1</f>
        <v>2030</v>
      </c>
      <c r="O27" s="24">
        <f ref="O27" t="shared" si="20">N27+1</f>
        <v>2031</v>
      </c>
      <c r="P27" s="24">
        <f ref="P27" t="shared" si="21">O27+1</f>
        <v>2032</v>
      </c>
      <c r="Q27" s="24">
        <f ref="Q27" t="shared" si="22">P27+1</f>
        <v>2033</v>
      </c>
      <c r="R27" s="24">
        <f ref="R27" t="shared" si="23">Q27+1</f>
        <v>2034</v>
      </c>
      <c r="S27" s="24">
        <f ref="S27" t="shared" si="24">R27+1</f>
        <v>2035</v>
      </c>
      <c r="T27" s="24">
        <f ref="T27" t="shared" si="25">S27+1</f>
        <v>2036</v>
      </c>
      <c r="U27" s="24">
        <f ref="U27" t="shared" si="26">T27+1</f>
        <v>2037</v>
      </c>
      <c r="V27" s="2"/>
      <c r="W27" s="2"/>
      <c r="X27" s="2"/>
      <c r="Y27" s="2"/>
      <c r="Z27" s="2"/>
      <c r="AA27" s="2"/>
      <c r="AB27" s="2"/>
      <c r="AC27" s="2"/>
      <c r="AD27" s="2"/>
      <c r="AE27" s="2"/>
    </row>
    <row spans="1:31" r="28" x14ac:dyDescent="0.25">
      <c r="B28" s="2" t="s">
        <v>29</v>
      </c>
      <c r="C28" s="20">
        <v>1526</v>
      </c>
      <c r="D28" s="20">
        <v>1672</v>
      </c>
      <c r="E28" s="20">
        <f ref="E28:U28" t="shared" si="27">E29*E6</f>
        <v>1590.5872880762745</v>
      </c>
      <c r="F28" s="20">
        <f t="shared" si="27"/>
        <v>1595.6656720669505</v>
      </c>
      <c r="G28" s="20">
        <f t="shared" si="27"/>
        <v>1861.6099507447755</v>
      </c>
      <c r="H28" s="20">
        <f t="shared" si="27"/>
        <v>2127.5542294226007</v>
      </c>
      <c r="I28" s="20">
        <f t="shared" si="27"/>
        <v>2393.4985081004261</v>
      </c>
      <c r="J28" s="20">
        <f t="shared" si="27"/>
        <v>2659.4427867782506</v>
      </c>
      <c r="K28" s="208">
        <f t="shared" si="27"/>
        <v>0</v>
      </c>
      <c r="L28" s="20">
        <f t="shared" si="27"/>
        <v>3191.331344133901</v>
      </c>
      <c r="M28" s="20">
        <f t="shared" si="27"/>
        <v>3191.331344133901</v>
      </c>
      <c r="N28" s="20">
        <f t="shared" si="27"/>
        <v>3191.331344133901</v>
      </c>
      <c r="O28" s="20">
        <f t="shared" si="27"/>
        <v>3191.331344133901</v>
      </c>
      <c r="P28" s="20">
        <f t="shared" si="27"/>
        <v>3191.331344133901</v>
      </c>
      <c r="Q28" s="20">
        <f t="shared" si="27"/>
        <v>3191.331344133901</v>
      </c>
      <c r="R28" s="20">
        <f t="shared" si="27"/>
        <v>3191.331344133901</v>
      </c>
      <c r="S28" s="20">
        <f t="shared" si="27"/>
        <v>3191.331344133901</v>
      </c>
      <c r="T28" s="20">
        <f t="shared" si="27"/>
        <v>3191.331344133901</v>
      </c>
      <c r="U28" s="20">
        <f t="shared" si="27"/>
        <v>3191.331344133901</v>
      </c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spans="1:31" r="29" x14ac:dyDescent="0.25">
      <c r="B29" s="18" t="s">
        <v>14</v>
      </c>
      <c r="C29" s="74">
        <f>C28/C6</f>
        <v>6.996918788056636E-3</v>
      </c>
      <c r="D29" s="74">
        <f>D28/D6</f>
        <v>7.3962337599143592E-3</v>
      </c>
      <c r="E29" s="74">
        <f>AVERAGE($C$29:$D$29)</f>
        <v>7.1965762739854972E-3</v>
      </c>
      <c r="F29" s="76">
        <f>AVERAGE($C$29:$E$29)</f>
        <v>7.1965762739854972E-3</v>
      </c>
      <c r="G29" s="76">
        <f>AVERAGE($C$29:$E$29)</f>
        <v>7.1965762739854972E-3</v>
      </c>
      <c r="H29" s="76">
        <f>AVERAGE($C$29:$E$29)</f>
        <v>7.1965762739854972E-3</v>
      </c>
      <c r="I29" s="76">
        <f>AVERAGE($C$29:$E$29)</f>
        <v>7.1965762739854972E-3</v>
      </c>
      <c r="J29" s="76">
        <f>AVERAGE($C$29:$E$29)</f>
        <v>7.1965762739854972E-3</v>
      </c>
      <c r="K29" s="208"/>
      <c r="L29" s="76">
        <f>AVERAGE($C$29:$E$29)</f>
        <v>7.1965762739854972E-3</v>
      </c>
      <c r="M29" s="76">
        <f ref="M29:U29" t="shared" si="28">AVERAGE($C$29:$E$29)</f>
        <v>7.1965762739854972E-3</v>
      </c>
      <c r="N29" s="76">
        <f t="shared" si="28"/>
        <v>7.1965762739854972E-3</v>
      </c>
      <c r="O29" s="76">
        <f t="shared" si="28"/>
        <v>7.1965762739854972E-3</v>
      </c>
      <c r="P29" s="76">
        <f t="shared" si="28"/>
        <v>7.1965762739854972E-3</v>
      </c>
      <c r="Q29" s="76">
        <f t="shared" si="28"/>
        <v>7.1965762739854972E-3</v>
      </c>
      <c r="R29" s="76">
        <f t="shared" si="28"/>
        <v>7.1965762739854972E-3</v>
      </c>
      <c r="S29" s="76">
        <f t="shared" si="28"/>
        <v>7.1965762739854972E-3</v>
      </c>
      <c r="T29" s="76">
        <f t="shared" si="28"/>
        <v>7.1965762739854972E-3</v>
      </c>
      <c r="U29" s="76">
        <f t="shared" si="28"/>
        <v>7.1965762739854972E-3</v>
      </c>
      <c r="V29" s="76"/>
      <c r="W29" s="76"/>
      <c r="X29" s="76"/>
      <c r="Y29" s="76"/>
      <c r="Z29" s="76"/>
      <c r="AA29" s="76"/>
      <c r="AB29" s="76"/>
      <c r="AC29" s="76"/>
      <c r="AD29" s="76"/>
      <c r="AE29" s="76"/>
    </row>
    <row spans="1:31" r="30" x14ac:dyDescent="0.25">
      <c r="B30" s="2" t="s">
        <v>30</v>
      </c>
      <c r="C30" s="20">
        <v>3173</v>
      </c>
      <c r="D30" s="20">
        <v>2793</v>
      </c>
      <c r="E30" s="20">
        <f ref="E30:U30" t="shared" si="29">E31*E6</f>
        <v>2973.12915066914</v>
      </c>
      <c r="F30" s="20">
        <f t="shared" si="29"/>
        <v>2982.6216768537488</v>
      </c>
      <c r="G30" s="20">
        <f t="shared" si="29"/>
        <v>3479.7252896627065</v>
      </c>
      <c r="H30" s="20">
        <f t="shared" si="29"/>
        <v>3976.8289024716651</v>
      </c>
      <c r="I30" s="20">
        <f t="shared" si="29"/>
        <v>4473.9325152806232</v>
      </c>
      <c r="J30" s="20">
        <f t="shared" si="29"/>
        <v>4971.0361280895813</v>
      </c>
      <c r="K30" s="208">
        <f t="shared" si="29"/>
        <v>0</v>
      </c>
      <c r="L30" s="20">
        <f t="shared" si="29"/>
        <v>5965.2433537074976</v>
      </c>
      <c r="M30" s="20">
        <f t="shared" si="29"/>
        <v>5965.2433537074976</v>
      </c>
      <c r="N30" s="20">
        <f t="shared" si="29"/>
        <v>5965.2433537074976</v>
      </c>
      <c r="O30" s="20">
        <f t="shared" si="29"/>
        <v>5965.2433537074976</v>
      </c>
      <c r="P30" s="20">
        <f t="shared" si="29"/>
        <v>5965.2433537074976</v>
      </c>
      <c r="Q30" s="20">
        <f t="shared" si="29"/>
        <v>5965.2433537074976</v>
      </c>
      <c r="R30" s="20">
        <f t="shared" si="29"/>
        <v>5965.2433537074976</v>
      </c>
      <c r="S30" s="20">
        <f t="shared" si="29"/>
        <v>5965.2433537074976</v>
      </c>
      <c r="T30" s="20">
        <f t="shared" si="29"/>
        <v>5965.2433537074976</v>
      </c>
      <c r="U30" s="20">
        <f t="shared" si="29"/>
        <v>5965.2433537074976</v>
      </c>
      <c r="V30" s="20"/>
      <c r="W30" s="20"/>
      <c r="X30" s="20"/>
      <c r="Y30" s="20"/>
      <c r="Z30" s="20"/>
      <c r="AA30" s="20"/>
      <c r="AB30" s="20"/>
      <c r="AC30" s="20"/>
      <c r="AD30" s="20"/>
      <c r="AE30" s="20"/>
    </row>
    <row spans="1:31" r="31" x14ac:dyDescent="0.25">
      <c r="B31" s="18" t="s">
        <v>14</v>
      </c>
      <c r="C31" s="74">
        <f>C30/C6</f>
        <v>1.4548639131391681E-2</v>
      </c>
      <c r="D31" s="74">
        <f>D30/D6</f>
        <v>1.2355072303493305E-2</v>
      </c>
      <c r="E31" s="74">
        <f>AVERAGE(C31:D31)</f>
        <v>1.3451855717442493E-2</v>
      </c>
      <c r="F31" s="76">
        <f>AVERAGE($C$31:$E$31)</f>
        <v>1.3451855717442493E-2</v>
      </c>
      <c r="G31" s="76">
        <f>AVERAGE($C$31:$E$31)</f>
        <v>1.3451855717442493E-2</v>
      </c>
      <c r="H31" s="76">
        <f>AVERAGE($C$31:$E$31)</f>
        <v>1.3451855717442493E-2</v>
      </c>
      <c r="I31" s="76">
        <f>AVERAGE($C$31:$E$31)</f>
        <v>1.3451855717442493E-2</v>
      </c>
      <c r="J31" s="76">
        <f>AVERAGE($C$31:$E$31)</f>
        <v>1.3451855717442493E-2</v>
      </c>
      <c r="K31" s="208"/>
      <c r="L31" s="76">
        <f>AVERAGE($C$31:$E$31)</f>
        <v>1.3451855717442493E-2</v>
      </c>
      <c r="M31" s="76">
        <f ref="M31:U31" t="shared" si="30">AVERAGE($C$31:$E$31)</f>
        <v>1.3451855717442493E-2</v>
      </c>
      <c r="N31" s="76">
        <f t="shared" si="30"/>
        <v>1.3451855717442493E-2</v>
      </c>
      <c r="O31" s="76">
        <f t="shared" si="30"/>
        <v>1.3451855717442493E-2</v>
      </c>
      <c r="P31" s="76">
        <f t="shared" si="30"/>
        <v>1.3451855717442493E-2</v>
      </c>
      <c r="Q31" s="76">
        <f t="shared" si="30"/>
        <v>1.3451855717442493E-2</v>
      </c>
      <c r="R31" s="76">
        <f t="shared" si="30"/>
        <v>1.3451855717442493E-2</v>
      </c>
      <c r="S31" s="76">
        <f t="shared" si="30"/>
        <v>1.3451855717442493E-2</v>
      </c>
      <c r="T31" s="76">
        <f t="shared" si="30"/>
        <v>1.3451855717442493E-2</v>
      </c>
      <c r="U31" s="76">
        <f t="shared" si="30"/>
        <v>1.3451855717442493E-2</v>
      </c>
      <c r="V31" s="76"/>
      <c r="W31" s="76"/>
      <c r="X31" s="76"/>
      <c r="Y31" s="76"/>
      <c r="Z31" s="76"/>
      <c r="AA31" s="76"/>
      <c r="AB31" s="76"/>
      <c r="AC31" s="76"/>
      <c r="AD31" s="76"/>
      <c r="AE31" s="76"/>
    </row>
    <row spans="1:31" r="32" x14ac:dyDescent="0.25">
      <c r="B32" s="2" t="s">
        <v>31</v>
      </c>
      <c r="C32" s="20">
        <v>-2962</v>
      </c>
      <c r="D32" s="208">
        <v>0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208">
        <v>0</v>
      </c>
      <c r="Q32" s="208">
        <v>0</v>
      </c>
      <c r="R32" s="208">
        <v>0</v>
      </c>
      <c r="S32" s="208">
        <v>0</v>
      </c>
      <c r="T32" s="208">
        <v>0</v>
      </c>
      <c r="U32" s="208">
        <v>0</v>
      </c>
      <c r="V32" s="2"/>
      <c r="W32" s="2"/>
      <c r="X32" s="2"/>
      <c r="Y32" s="2"/>
      <c r="Z32" s="2"/>
      <c r="AA32" s="2"/>
      <c r="AB32" s="2"/>
      <c r="AC32" s="2"/>
      <c r="AD32" s="2"/>
      <c r="AE32" s="2"/>
    </row>
    <row spans="1:31" r="33" x14ac:dyDescent="0.25">
      <c r="B33" s="18"/>
      <c r="C33" s="74"/>
      <c r="D33" s="74"/>
      <c r="E33" s="74"/>
      <c r="F33" s="2"/>
      <c r="G33" s="2"/>
      <c r="H33" s="2"/>
      <c r="I33" s="2"/>
      <c r="J33" s="2"/>
      <c r="K33" s="20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spans="1:31" r="34" x14ac:dyDescent="0.25">
      <c r="B34" s="2"/>
      <c r="C34" s="2"/>
      <c r="D34" s="2"/>
      <c r="E34" s="2"/>
      <c r="F34" s="2"/>
      <c r="G34" s="2"/>
      <c r="H34" s="2"/>
      <c r="I34" s="2"/>
      <c r="J34" s="2"/>
      <c r="K34" s="20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spans="1:31" r="35" x14ac:dyDescent="0.25">
      <c r="B35" s="2" t="s">
        <v>115</v>
      </c>
      <c r="C35" s="20"/>
      <c r="D35" s="20"/>
      <c r="E35" s="20"/>
      <c r="F35" s="20">
        <f ref="F35:U35" t="shared" si="31">F6-F9+F12-F28-F30</f>
        <v>335390.96464743541</v>
      </c>
      <c r="G35" s="20">
        <f t="shared" si="31"/>
        <v>301899.54208867461</v>
      </c>
      <c r="H35" s="20">
        <f t="shared" si="31"/>
        <v>271180.61952991388</v>
      </c>
      <c r="I35" s="20">
        <f t="shared" si="31"/>
        <v>288527.1969711532</v>
      </c>
      <c r="J35" s="20">
        <f t="shared" si="31"/>
        <v>307446.52441239235</v>
      </c>
      <c r="K35" s="208">
        <f t="shared" si="31"/>
        <v>0</v>
      </c>
      <c r="L35" s="20">
        <f t="shared" si="31"/>
        <v>326985.92929487088</v>
      </c>
      <c r="M35" s="20">
        <f t="shared" si="31"/>
        <v>326985.92929487088</v>
      </c>
      <c r="N35" s="20">
        <f t="shared" si="31"/>
        <v>326985.92929487088</v>
      </c>
      <c r="O35" s="20">
        <f t="shared" si="31"/>
        <v>326985.92929487088</v>
      </c>
      <c r="P35" s="20">
        <f t="shared" si="31"/>
        <v>326985.92929487088</v>
      </c>
      <c r="Q35" s="20">
        <f t="shared" si="31"/>
        <v>326985.92929487088</v>
      </c>
      <c r="R35" s="20">
        <f t="shared" si="31"/>
        <v>326985.92929487088</v>
      </c>
      <c r="S35" s="20">
        <f t="shared" si="31"/>
        <v>326985.92929487088</v>
      </c>
      <c r="T35" s="20">
        <f t="shared" si="31"/>
        <v>326985.92929487088</v>
      </c>
      <c r="U35" s="20">
        <f t="shared" si="31"/>
        <v>326985.92929487088</v>
      </c>
      <c r="V35" s="20"/>
      <c r="W35" s="20"/>
      <c r="X35" s="20"/>
      <c r="Y35" s="20"/>
      <c r="Z35" s="20"/>
      <c r="AA35" s="20"/>
      <c r="AB35" s="20"/>
      <c r="AC35" s="20"/>
      <c r="AD35" s="20"/>
      <c r="AE35" s="20"/>
    </row>
    <row spans="1:31" r="36" x14ac:dyDescent="0.25">
      <c r="B36" s="2"/>
      <c r="C36" s="68"/>
      <c r="D36" s="68"/>
      <c r="E36" s="68"/>
      <c r="F36" s="6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spans="1:31" r="37" x14ac:dyDescent="0.25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spans="1:31" r="40" x14ac:dyDescent="0.25">
      <c r="A40" s="2" t="s">
        <v>7</v>
      </c>
      <c r="B40" s="24" t="s">
        <v>33</v>
      </c>
      <c r="C40" s="24">
        <v>2019</v>
      </c>
      <c r="D40" s="24">
        <v>2020</v>
      </c>
      <c r="E40" s="24">
        <v>2021</v>
      </c>
      <c r="F40" s="24">
        <v>2022</v>
      </c>
      <c r="G40" s="24">
        <f>F40+1</f>
        <v>2023</v>
      </c>
      <c r="H40" s="24">
        <f ref="H40:Z40" t="shared" si="32">G40+1</f>
        <v>2024</v>
      </c>
      <c r="I40" s="24">
        <f t="shared" si="32"/>
        <v>2025</v>
      </c>
      <c r="J40" s="24">
        <f t="shared" si="32"/>
        <v>2026</v>
      </c>
      <c r="K40" s="24">
        <f t="shared" si="32"/>
        <v>2027</v>
      </c>
      <c r="L40" s="24">
        <f t="shared" si="32"/>
        <v>2028</v>
      </c>
      <c r="M40" s="24">
        <f t="shared" si="32"/>
        <v>2029</v>
      </c>
      <c r="N40" s="24">
        <f t="shared" si="32"/>
        <v>2030</v>
      </c>
      <c r="O40" s="24">
        <f t="shared" si="32"/>
        <v>2031</v>
      </c>
      <c r="P40" s="24">
        <f t="shared" si="32"/>
        <v>2032</v>
      </c>
      <c r="Q40" s="24">
        <f t="shared" si="32"/>
        <v>2033</v>
      </c>
      <c r="R40" s="24">
        <f t="shared" si="32"/>
        <v>2034</v>
      </c>
      <c r="S40" s="24">
        <f t="shared" si="32"/>
        <v>2035</v>
      </c>
      <c r="T40" s="24">
        <f t="shared" si="32"/>
        <v>2036</v>
      </c>
      <c r="U40" s="24">
        <f t="shared" si="32"/>
        <v>2037</v>
      </c>
      <c r="V40" s="24">
        <f t="shared" si="32"/>
        <v>2038</v>
      </c>
      <c r="W40" s="24">
        <f t="shared" si="32"/>
        <v>2039</v>
      </c>
      <c r="X40" s="24">
        <f t="shared" si="32"/>
        <v>2040</v>
      </c>
      <c r="Y40" s="24">
        <f t="shared" si="32"/>
        <v>2041</v>
      </c>
      <c r="Z40" s="24">
        <f t="shared" si="32"/>
        <v>2042</v>
      </c>
      <c r="AA40" s="278"/>
      <c r="AB40" s="278"/>
      <c r="AC40" s="278"/>
      <c r="AD40" s="278"/>
      <c r="AE40" s="278"/>
    </row>
    <row spans="1:31" r="41" s="2" x14ac:dyDescent="0.25" customFormat="1">
      <c r="B41" s="2" t="s">
        <v>9</v>
      </c>
      <c r="G41" s="2">
        <v>2.4500000000000002</v>
      </c>
      <c r="H41" s="2">
        <v>2.4500000000000002</v>
      </c>
      <c r="I41" s="2">
        <v>2.4500000000000002</v>
      </c>
      <c r="J41" s="2">
        <v>2.4500000000000002</v>
      </c>
      <c r="K41" s="2">
        <v>2.4500000000000002</v>
      </c>
      <c r="L41" s="2">
        <v>2.4500000000000002</v>
      </c>
      <c r="M41" s="2">
        <v>2.4500000000000002</v>
      </c>
      <c r="N41" s="2">
        <v>2.4500000000000002</v>
      </c>
      <c r="O41" s="2">
        <v>2.4500000000000002</v>
      </c>
      <c r="P41" s="2">
        <v>2.4500000000000002</v>
      </c>
      <c r="Q41" s="2">
        <v>2.4500000000000002</v>
      </c>
      <c r="R41" s="2">
        <v>2.4500000000000002</v>
      </c>
      <c r="S41" s="2">
        <v>2.4500000000000002</v>
      </c>
      <c r="T41" s="2">
        <v>2.4500000000000002</v>
      </c>
      <c r="U41" s="2">
        <v>2.4500000000000002</v>
      </c>
      <c r="V41" s="2">
        <v>2.4500000000000002</v>
      </c>
      <c r="W41" s="2">
        <v>2.4500000000000002</v>
      </c>
      <c r="X41" s="2">
        <v>2.4500000000000002</v>
      </c>
      <c r="Y41" s="2">
        <v>2.4500000000000002</v>
      </c>
      <c r="Z41" s="2">
        <v>2.4500000000000002</v>
      </c>
    </row>
    <row spans="1:31" r="42" s="2" x14ac:dyDescent="0.25" customFormat="1">
      <c r="B42" s="2" t="s">
        <v>10</v>
      </c>
      <c r="G42" s="2">
        <v>2.4500000000000002</v>
      </c>
      <c r="H42" s="2">
        <v>2.4500000000000002</v>
      </c>
      <c r="I42" s="2">
        <v>2.4500000000000002</v>
      </c>
      <c r="J42" s="2">
        <v>2.4500000000000002</v>
      </c>
      <c r="K42" s="2">
        <v>2.4500000000000002</v>
      </c>
      <c r="L42" s="2">
        <v>2.4500000000000002</v>
      </c>
      <c r="M42" s="2">
        <v>2.4500000000000002</v>
      </c>
      <c r="N42" s="2">
        <v>2.4500000000000002</v>
      </c>
      <c r="O42" s="2">
        <v>2.4500000000000002</v>
      </c>
      <c r="P42" s="2">
        <v>2.4500000000000002</v>
      </c>
      <c r="Q42" s="2">
        <v>2.4500000000000002</v>
      </c>
      <c r="R42" s="2">
        <v>2.4500000000000002</v>
      </c>
      <c r="S42" s="2">
        <v>2.4500000000000002</v>
      </c>
      <c r="T42" s="2">
        <v>2.4500000000000002</v>
      </c>
      <c r="U42" s="2">
        <v>2.4500000000000002</v>
      </c>
      <c r="V42" s="2">
        <v>2.4500000000000002</v>
      </c>
      <c r="W42" s="2">
        <v>2.4500000000000002</v>
      </c>
      <c r="X42" s="2">
        <v>2.4500000000000002</v>
      </c>
      <c r="Y42" s="2">
        <v>2.4500000000000002</v>
      </c>
      <c r="Z42" s="2">
        <v>2.4500000000000002</v>
      </c>
    </row>
    <row spans="1:31" r="43" s="2" x14ac:dyDescent="0.25" customFormat="1">
      <c r="B43" s="2" t="s">
        <v>11</v>
      </c>
      <c r="C43" s="20"/>
      <c r="D43" s="20"/>
      <c r="E43" s="20"/>
      <c r="F43" s="20"/>
      <c r="G43" s="20">
        <f>(G44*G42)/4</f>
        <v>113172.47569444447</v>
      </c>
      <c r="H43" s="20">
        <f ref="H43:Z43" t="shared" si="33">H44*H42</f>
        <v>452689.90277777787</v>
      </c>
      <c r="I43" s="20">
        <f t="shared" si="33"/>
        <v>452689.90277777787</v>
      </c>
      <c r="J43" s="20">
        <f t="shared" si="33"/>
        <v>452689.90277777787</v>
      </c>
      <c r="K43" s="20">
        <f t="shared" si="33"/>
        <v>452689.90277777787</v>
      </c>
      <c r="L43" s="20">
        <f t="shared" si="33"/>
        <v>452689.90277777787</v>
      </c>
      <c r="M43" s="20">
        <f t="shared" si="33"/>
        <v>452689.90277777787</v>
      </c>
      <c r="N43" s="20">
        <f t="shared" si="33"/>
        <v>452689.90277777787</v>
      </c>
      <c r="O43" s="20">
        <f t="shared" si="33"/>
        <v>452689.90277777787</v>
      </c>
      <c r="P43" s="20">
        <f t="shared" si="33"/>
        <v>452689.90277777787</v>
      </c>
      <c r="Q43" s="20">
        <f t="shared" si="33"/>
        <v>452689.90277777787</v>
      </c>
      <c r="R43" s="20">
        <f t="shared" si="33"/>
        <v>452689.90277777787</v>
      </c>
      <c r="S43" s="20">
        <f t="shared" si="33"/>
        <v>452689.90277777787</v>
      </c>
      <c r="T43" s="20">
        <f t="shared" si="33"/>
        <v>452689.90277777787</v>
      </c>
      <c r="U43" s="20">
        <f t="shared" si="33"/>
        <v>452689.90277777787</v>
      </c>
      <c r="V43" s="20">
        <f t="shared" si="33"/>
        <v>452689.90277777787</v>
      </c>
      <c r="W43" s="20">
        <f t="shared" si="33"/>
        <v>452689.90277777787</v>
      </c>
      <c r="X43" s="20">
        <f t="shared" si="33"/>
        <v>452689.90277777787</v>
      </c>
      <c r="Y43" s="20">
        <f t="shared" si="33"/>
        <v>452689.90277777787</v>
      </c>
      <c r="Z43" s="20">
        <f t="shared" si="33"/>
        <v>452689.90277777787</v>
      </c>
      <c r="AA43" s="20"/>
      <c r="AB43" s="20"/>
      <c r="AC43" s="20"/>
      <c r="AD43" s="20"/>
      <c r="AE43" s="20"/>
    </row>
    <row spans="1:31" r="44" s="2" x14ac:dyDescent="0.25" customFormat="1">
      <c r="B44" s="18" t="s">
        <v>12</v>
      </c>
      <c r="C44" s="20"/>
      <c r="D44" s="20"/>
      <c r="E44" s="20"/>
      <c r="F44" s="20"/>
      <c r="G44" s="20">
        <f>AVERAGE($C$7:$E$7)</f>
        <v>184771.38888888891</v>
      </c>
      <c r="H44" s="20">
        <f ref="H44:Z44" t="shared" si="34">AVERAGE($C$7:$E$7)</f>
        <v>184771.38888888891</v>
      </c>
      <c r="I44" s="20">
        <f t="shared" si="34"/>
        <v>184771.38888888891</v>
      </c>
      <c r="J44" s="20">
        <f t="shared" si="34"/>
        <v>184771.38888888891</v>
      </c>
      <c r="K44" s="20">
        <f t="shared" si="34"/>
        <v>184771.38888888891</v>
      </c>
      <c r="L44" s="20">
        <f t="shared" si="34"/>
        <v>184771.38888888891</v>
      </c>
      <c r="M44" s="20">
        <f t="shared" si="34"/>
        <v>184771.38888888891</v>
      </c>
      <c r="N44" s="20">
        <f t="shared" si="34"/>
        <v>184771.38888888891</v>
      </c>
      <c r="O44" s="20">
        <f t="shared" si="34"/>
        <v>184771.38888888891</v>
      </c>
      <c r="P44" s="20">
        <f t="shared" si="34"/>
        <v>184771.38888888891</v>
      </c>
      <c r="Q44" s="20">
        <f t="shared" si="34"/>
        <v>184771.38888888891</v>
      </c>
      <c r="R44" s="20">
        <f t="shared" si="34"/>
        <v>184771.38888888891</v>
      </c>
      <c r="S44" s="20">
        <f t="shared" si="34"/>
        <v>184771.38888888891</v>
      </c>
      <c r="T44" s="20">
        <f t="shared" si="34"/>
        <v>184771.38888888891</v>
      </c>
      <c r="U44" s="20">
        <f t="shared" si="34"/>
        <v>184771.38888888891</v>
      </c>
      <c r="V44" s="20">
        <f t="shared" si="34"/>
        <v>184771.38888888891</v>
      </c>
      <c r="W44" s="20">
        <f t="shared" si="34"/>
        <v>184771.38888888891</v>
      </c>
      <c r="X44" s="20">
        <f t="shared" si="34"/>
        <v>184771.38888888891</v>
      </c>
      <c r="Y44" s="20">
        <f t="shared" si="34"/>
        <v>184771.38888888891</v>
      </c>
      <c r="Z44" s="20">
        <f t="shared" si="34"/>
        <v>184771.38888888891</v>
      </c>
      <c r="AA44" s="20"/>
      <c r="AB44" s="20"/>
      <c r="AC44" s="20"/>
      <c r="AD44" s="20"/>
      <c r="AE44" s="20"/>
    </row>
    <row spans="1:31" r="45" s="2" x14ac:dyDescent="0.25" customFormat="1"/>
    <row spans="1:31" r="46" s="2" x14ac:dyDescent="0.25" customFormat="1">
      <c r="B46" s="2" t="s">
        <v>13</v>
      </c>
      <c r="C46" s="20"/>
      <c r="D46" s="20"/>
      <c r="E46" s="20"/>
      <c r="F46" s="20"/>
      <c r="G46" s="20">
        <f ref="G46:Z46" t="shared" si="35">G43*G47</f>
        <v>27386.107487971021</v>
      </c>
      <c r="H46" s="20">
        <f t="shared" si="35"/>
        <v>109544.42995188409</v>
      </c>
      <c r="I46" s="20">
        <f t="shared" si="35"/>
        <v>109544.42995188409</v>
      </c>
      <c r="J46" s="20">
        <f t="shared" si="35"/>
        <v>109544.42995188409</v>
      </c>
      <c r="K46" s="20">
        <f t="shared" si="35"/>
        <v>109544.42995188409</v>
      </c>
      <c r="L46" s="20">
        <f t="shared" si="35"/>
        <v>109544.42995188409</v>
      </c>
      <c r="M46" s="20">
        <f t="shared" si="35"/>
        <v>109544.42995188409</v>
      </c>
      <c r="N46" s="20">
        <f t="shared" si="35"/>
        <v>109544.42995188409</v>
      </c>
      <c r="O46" s="20">
        <f t="shared" si="35"/>
        <v>109544.42995188409</v>
      </c>
      <c r="P46" s="20">
        <f t="shared" si="35"/>
        <v>109544.42995188409</v>
      </c>
      <c r="Q46" s="20">
        <f t="shared" si="35"/>
        <v>109544.42995188409</v>
      </c>
      <c r="R46" s="20">
        <f t="shared" si="35"/>
        <v>109544.42995188409</v>
      </c>
      <c r="S46" s="20">
        <f t="shared" si="35"/>
        <v>109544.42995188409</v>
      </c>
      <c r="T46" s="20">
        <f t="shared" si="35"/>
        <v>109544.42995188409</v>
      </c>
      <c r="U46" s="20">
        <f t="shared" si="35"/>
        <v>109544.42995188409</v>
      </c>
      <c r="V46" s="20">
        <f t="shared" si="35"/>
        <v>109544.42995188409</v>
      </c>
      <c r="W46" s="20">
        <f t="shared" si="35"/>
        <v>109544.42995188409</v>
      </c>
      <c r="X46" s="20">
        <f t="shared" si="35"/>
        <v>109544.42995188409</v>
      </c>
      <c r="Y46" s="20">
        <f t="shared" si="35"/>
        <v>109544.42995188409</v>
      </c>
      <c r="Z46" s="20">
        <f t="shared" si="35"/>
        <v>109544.42995188409</v>
      </c>
      <c r="AA46" s="20"/>
      <c r="AB46" s="20"/>
      <c r="AC46" s="20"/>
      <c r="AD46" s="20"/>
      <c r="AE46" s="20"/>
    </row>
    <row spans="1:31" r="47" s="2" x14ac:dyDescent="0.25" customFormat="1">
      <c r="B47" s="18" t="s">
        <v>14</v>
      </c>
      <c r="C47" s="74"/>
      <c r="D47" s="74"/>
      <c r="E47" s="74"/>
      <c r="F47" s="76"/>
      <c r="G47" s="76">
        <f ref="G47:Z47" t="shared" si="36">AVERAGE($C$10:$E$10)</f>
        <v>0.24198558280116675</v>
      </c>
      <c r="H47" s="76">
        <f t="shared" si="36"/>
        <v>0.24198558280116675</v>
      </c>
      <c r="I47" s="76">
        <f t="shared" si="36"/>
        <v>0.24198558280116675</v>
      </c>
      <c r="J47" s="76">
        <f t="shared" si="36"/>
        <v>0.24198558280116675</v>
      </c>
      <c r="K47" s="76">
        <f t="shared" si="36"/>
        <v>0.24198558280116675</v>
      </c>
      <c r="L47" s="76">
        <f t="shared" si="36"/>
        <v>0.24198558280116675</v>
      </c>
      <c r="M47" s="76">
        <f t="shared" si="36"/>
        <v>0.24198558280116675</v>
      </c>
      <c r="N47" s="76">
        <f t="shared" si="36"/>
        <v>0.24198558280116675</v>
      </c>
      <c r="O47" s="76">
        <f t="shared" si="36"/>
        <v>0.24198558280116675</v>
      </c>
      <c r="P47" s="76">
        <f t="shared" si="36"/>
        <v>0.24198558280116675</v>
      </c>
      <c r="Q47" s="76">
        <f t="shared" si="36"/>
        <v>0.24198558280116675</v>
      </c>
      <c r="R47" s="76">
        <f t="shared" si="36"/>
        <v>0.24198558280116675</v>
      </c>
      <c r="S47" s="76">
        <f t="shared" si="36"/>
        <v>0.24198558280116675</v>
      </c>
      <c r="T47" s="76">
        <f t="shared" si="36"/>
        <v>0.24198558280116675</v>
      </c>
      <c r="U47" s="76">
        <f t="shared" si="36"/>
        <v>0.24198558280116675</v>
      </c>
      <c r="V47" s="76">
        <f t="shared" si="36"/>
        <v>0.24198558280116675</v>
      </c>
      <c r="W47" s="76">
        <f t="shared" si="36"/>
        <v>0.24198558280116675</v>
      </c>
      <c r="X47" s="76">
        <f t="shared" si="36"/>
        <v>0.24198558280116675</v>
      </c>
      <c r="Y47" s="76">
        <f t="shared" si="36"/>
        <v>0.24198558280116675</v>
      </c>
      <c r="Z47" s="76">
        <f t="shared" si="36"/>
        <v>0.24198558280116675</v>
      </c>
      <c r="AA47" s="76"/>
      <c r="AB47" s="76"/>
      <c r="AC47" s="76"/>
      <c r="AD47" s="76"/>
      <c r="AE47" s="76"/>
    </row>
    <row spans="1:31" r="48" s="2" x14ac:dyDescent="0.25" customFormat="1"/>
    <row spans="1:31" r="49" s="2" x14ac:dyDescent="0.25" customFormat="1">
      <c r="B49" s="2" t="s">
        <v>29</v>
      </c>
      <c r="C49" s="20"/>
      <c r="D49" s="20"/>
      <c r="E49" s="20"/>
      <c r="F49" s="20"/>
      <c r="G49" s="20">
        <f>G50*G43</f>
        <v>814.45435345083945</v>
      </c>
      <c r="H49" s="20">
        <f ref="H49:Z49" t="shared" si="37">H50*H43</f>
        <v>3257.8174138033578</v>
      </c>
      <c r="I49" s="20">
        <f t="shared" si="37"/>
        <v>3257.8174138033578</v>
      </c>
      <c r="J49" s="20">
        <f t="shared" si="37"/>
        <v>3257.8174138033578</v>
      </c>
      <c r="K49" s="20">
        <f t="shared" si="37"/>
        <v>3257.8174138033578</v>
      </c>
      <c r="L49" s="20">
        <f t="shared" si="37"/>
        <v>3257.8174138033578</v>
      </c>
      <c r="M49" s="20">
        <f t="shared" si="37"/>
        <v>3257.8174138033578</v>
      </c>
      <c r="N49" s="20">
        <f t="shared" si="37"/>
        <v>3257.8174138033578</v>
      </c>
      <c r="O49" s="20">
        <f t="shared" si="37"/>
        <v>3257.8174138033578</v>
      </c>
      <c r="P49" s="20">
        <f t="shared" si="37"/>
        <v>3257.8174138033578</v>
      </c>
      <c r="Q49" s="20">
        <f t="shared" si="37"/>
        <v>3257.8174138033578</v>
      </c>
      <c r="R49" s="20">
        <f t="shared" si="37"/>
        <v>3257.8174138033578</v>
      </c>
      <c r="S49" s="20">
        <f t="shared" si="37"/>
        <v>3257.8174138033578</v>
      </c>
      <c r="T49" s="20">
        <f t="shared" si="37"/>
        <v>3257.8174138033578</v>
      </c>
      <c r="U49" s="20">
        <f t="shared" si="37"/>
        <v>3257.8174138033578</v>
      </c>
      <c r="V49" s="20">
        <f t="shared" si="37"/>
        <v>3257.8174138033578</v>
      </c>
      <c r="W49" s="20">
        <f t="shared" si="37"/>
        <v>3257.8174138033578</v>
      </c>
      <c r="X49" s="20">
        <f t="shared" si="37"/>
        <v>3257.8174138033578</v>
      </c>
      <c r="Y49" s="20">
        <f t="shared" si="37"/>
        <v>3257.8174138033578</v>
      </c>
      <c r="Z49" s="20">
        <f t="shared" si="37"/>
        <v>3257.8174138033578</v>
      </c>
      <c r="AA49" s="20"/>
      <c r="AB49" s="20"/>
      <c r="AC49" s="20"/>
      <c r="AD49" s="20"/>
      <c r="AE49" s="20"/>
    </row>
    <row spans="1:31" r="50" s="2" x14ac:dyDescent="0.25" customFormat="1">
      <c r="B50" s="18" t="s">
        <v>14</v>
      </c>
      <c r="C50" s="74"/>
      <c r="D50" s="74"/>
      <c r="E50" s="74"/>
      <c r="F50" s="76"/>
      <c r="G50" s="76">
        <f ref="G50:Z50" t="shared" si="38">AVERAGE($C$29:$E$29)</f>
        <v>7.1965762739854972E-3</v>
      </c>
      <c r="H50" s="76">
        <f t="shared" si="38"/>
        <v>7.1965762739854972E-3</v>
      </c>
      <c r="I50" s="76">
        <f t="shared" si="38"/>
        <v>7.1965762739854972E-3</v>
      </c>
      <c r="J50" s="76">
        <f t="shared" si="38"/>
        <v>7.1965762739854972E-3</v>
      </c>
      <c r="K50" s="76">
        <f t="shared" si="38"/>
        <v>7.1965762739854972E-3</v>
      </c>
      <c r="L50" s="76">
        <f t="shared" si="38"/>
        <v>7.1965762739854972E-3</v>
      </c>
      <c r="M50" s="76">
        <f t="shared" si="38"/>
        <v>7.1965762739854972E-3</v>
      </c>
      <c r="N50" s="76">
        <f t="shared" si="38"/>
        <v>7.1965762739854972E-3</v>
      </c>
      <c r="O50" s="76">
        <f t="shared" si="38"/>
        <v>7.1965762739854972E-3</v>
      </c>
      <c r="P50" s="76">
        <f t="shared" si="38"/>
        <v>7.1965762739854972E-3</v>
      </c>
      <c r="Q50" s="76">
        <f t="shared" si="38"/>
        <v>7.1965762739854972E-3</v>
      </c>
      <c r="R50" s="76">
        <f t="shared" si="38"/>
        <v>7.1965762739854972E-3</v>
      </c>
      <c r="S50" s="76">
        <f t="shared" si="38"/>
        <v>7.1965762739854972E-3</v>
      </c>
      <c r="T50" s="76">
        <f t="shared" si="38"/>
        <v>7.1965762739854972E-3</v>
      </c>
      <c r="U50" s="76">
        <f t="shared" si="38"/>
        <v>7.1965762739854972E-3</v>
      </c>
      <c r="V50" s="76">
        <f t="shared" si="38"/>
        <v>7.1965762739854972E-3</v>
      </c>
      <c r="W50" s="76">
        <f t="shared" si="38"/>
        <v>7.1965762739854972E-3</v>
      </c>
      <c r="X50" s="76">
        <f t="shared" si="38"/>
        <v>7.1965762739854972E-3</v>
      </c>
      <c r="Y50" s="76">
        <f t="shared" si="38"/>
        <v>7.1965762739854972E-3</v>
      </c>
      <c r="Z50" s="76">
        <f t="shared" si="38"/>
        <v>7.1965762739854972E-3</v>
      </c>
      <c r="AA50" s="76"/>
      <c r="AB50" s="76"/>
      <c r="AC50" s="76"/>
      <c r="AD50" s="76"/>
      <c r="AE50" s="76"/>
    </row>
    <row spans="1:31" r="51" s="2" x14ac:dyDescent="0.25" customFormat="1">
      <c r="B51" s="2" t="s">
        <v>30</v>
      </c>
      <c r="C51" s="20"/>
      <c r="D51" s="20"/>
      <c r="E51" s="20"/>
      <c r="F51" s="20"/>
      <c r="G51" s="20">
        <f>G52*G43</f>
        <v>1522.3798142274343</v>
      </c>
      <c r="H51" s="20">
        <f ref="H51:Z51" t="shared" si="39">H52*H43</f>
        <v>6089.5192569097371</v>
      </c>
      <c r="I51" s="20">
        <f t="shared" si="39"/>
        <v>6089.5192569097371</v>
      </c>
      <c r="J51" s="20">
        <f t="shared" si="39"/>
        <v>6089.5192569097371</v>
      </c>
      <c r="K51" s="20">
        <f t="shared" si="39"/>
        <v>6089.5192569097371</v>
      </c>
      <c r="L51" s="20">
        <f t="shared" si="39"/>
        <v>6089.5192569097371</v>
      </c>
      <c r="M51" s="20">
        <f t="shared" si="39"/>
        <v>6089.5192569097371</v>
      </c>
      <c r="N51" s="20">
        <f t="shared" si="39"/>
        <v>6089.5192569097371</v>
      </c>
      <c r="O51" s="20">
        <f t="shared" si="39"/>
        <v>6089.5192569097371</v>
      </c>
      <c r="P51" s="20">
        <f t="shared" si="39"/>
        <v>6089.5192569097371</v>
      </c>
      <c r="Q51" s="20">
        <f t="shared" si="39"/>
        <v>6089.5192569097371</v>
      </c>
      <c r="R51" s="20">
        <f t="shared" si="39"/>
        <v>6089.5192569097371</v>
      </c>
      <c r="S51" s="20">
        <f t="shared" si="39"/>
        <v>6089.5192569097371</v>
      </c>
      <c r="T51" s="20">
        <f t="shared" si="39"/>
        <v>6089.5192569097371</v>
      </c>
      <c r="U51" s="20">
        <f t="shared" si="39"/>
        <v>6089.5192569097371</v>
      </c>
      <c r="V51" s="20">
        <f t="shared" si="39"/>
        <v>6089.5192569097371</v>
      </c>
      <c r="W51" s="20">
        <f t="shared" si="39"/>
        <v>6089.5192569097371</v>
      </c>
      <c r="X51" s="20">
        <f t="shared" si="39"/>
        <v>6089.5192569097371</v>
      </c>
      <c r="Y51" s="20">
        <f t="shared" si="39"/>
        <v>6089.5192569097371</v>
      </c>
      <c r="Z51" s="20">
        <f t="shared" si="39"/>
        <v>6089.5192569097371</v>
      </c>
      <c r="AA51" s="20"/>
      <c r="AB51" s="20"/>
      <c r="AC51" s="20"/>
      <c r="AD51" s="20"/>
      <c r="AE51" s="20"/>
    </row>
    <row spans="1:31" r="52" s="2" x14ac:dyDescent="0.25" customFormat="1">
      <c r="B52" s="18" t="s">
        <v>14</v>
      </c>
      <c r="C52" s="74"/>
      <c r="D52" s="74"/>
      <c r="E52" s="74"/>
      <c r="F52" s="76"/>
      <c r="G52" s="76">
        <f ref="G52:Z52" t="shared" si="40">AVERAGE($C$31:$E$31)</f>
        <v>1.3451855717442493E-2</v>
      </c>
      <c r="H52" s="76">
        <f t="shared" si="40"/>
        <v>1.3451855717442493E-2</v>
      </c>
      <c r="I52" s="76">
        <f t="shared" si="40"/>
        <v>1.3451855717442493E-2</v>
      </c>
      <c r="J52" s="76">
        <f t="shared" si="40"/>
        <v>1.3451855717442493E-2</v>
      </c>
      <c r="K52" s="76">
        <f t="shared" si="40"/>
        <v>1.3451855717442493E-2</v>
      </c>
      <c r="L52" s="76">
        <f t="shared" si="40"/>
        <v>1.3451855717442493E-2</v>
      </c>
      <c r="M52" s="76">
        <f t="shared" si="40"/>
        <v>1.3451855717442493E-2</v>
      </c>
      <c r="N52" s="76">
        <f t="shared" si="40"/>
        <v>1.3451855717442493E-2</v>
      </c>
      <c r="O52" s="76">
        <f t="shared" si="40"/>
        <v>1.3451855717442493E-2</v>
      </c>
      <c r="P52" s="76">
        <f t="shared" si="40"/>
        <v>1.3451855717442493E-2</v>
      </c>
      <c r="Q52" s="76">
        <f t="shared" si="40"/>
        <v>1.3451855717442493E-2</v>
      </c>
      <c r="R52" s="76">
        <f t="shared" si="40"/>
        <v>1.3451855717442493E-2</v>
      </c>
      <c r="S52" s="76">
        <f t="shared" si="40"/>
        <v>1.3451855717442493E-2</v>
      </c>
      <c r="T52" s="76">
        <f t="shared" si="40"/>
        <v>1.3451855717442493E-2</v>
      </c>
      <c r="U52" s="76">
        <f t="shared" si="40"/>
        <v>1.3451855717442493E-2</v>
      </c>
      <c r="V52" s="76">
        <f t="shared" si="40"/>
        <v>1.3451855717442493E-2</v>
      </c>
      <c r="W52" s="76">
        <f t="shared" si="40"/>
        <v>1.3451855717442493E-2</v>
      </c>
      <c r="X52" s="76">
        <f t="shared" si="40"/>
        <v>1.3451855717442493E-2</v>
      </c>
      <c r="Y52" s="76">
        <f t="shared" si="40"/>
        <v>1.3451855717442493E-2</v>
      </c>
      <c r="Z52" s="76">
        <f t="shared" si="40"/>
        <v>1.3451855717442493E-2</v>
      </c>
      <c r="AA52" s="76"/>
      <c r="AB52" s="76"/>
      <c r="AC52" s="76"/>
      <c r="AD52" s="76"/>
      <c r="AE52" s="76"/>
    </row>
    <row spans="1:31" r="53" s="2" x14ac:dyDescent="0.25" customFormat="1">
      <c r="B53" s="2" t="s">
        <v>31</v>
      </c>
      <c r="G53" s="208">
        <v>0</v>
      </c>
      <c r="H53" s="208">
        <v>0</v>
      </c>
      <c r="I53" s="208">
        <v>0</v>
      </c>
      <c r="J53" s="208">
        <v>0</v>
      </c>
      <c r="K53" s="208">
        <v>0</v>
      </c>
      <c r="L53" s="208">
        <v>0</v>
      </c>
      <c r="M53" s="208">
        <v>0</v>
      </c>
      <c r="N53" s="208">
        <v>0</v>
      </c>
      <c r="O53" s="208">
        <v>0</v>
      </c>
      <c r="P53" s="208">
        <v>0</v>
      </c>
      <c r="Q53" s="208">
        <v>0</v>
      </c>
      <c r="R53" s="208">
        <v>0</v>
      </c>
      <c r="S53" s="208">
        <v>0</v>
      </c>
      <c r="T53" s="208">
        <v>0</v>
      </c>
      <c r="U53" s="208">
        <v>0</v>
      </c>
      <c r="V53" s="208">
        <v>0</v>
      </c>
      <c r="W53" s="208">
        <v>0</v>
      </c>
      <c r="X53" s="208">
        <v>0</v>
      </c>
      <c r="Y53" s="208">
        <v>0</v>
      </c>
      <c r="Z53" s="208">
        <v>0</v>
      </c>
    </row>
    <row spans="1:31" r="54" s="2" x14ac:dyDescent="0.25" customFormat="1"/>
    <row spans="1:31" r="55" s="2" x14ac:dyDescent="0.25" customFormat="1">
      <c r="B55" s="2" t="s">
        <v>34</v>
      </c>
      <c r="G55" s="20">
        <f>(G43-G46-G49-G51)*0.25</f>
        <v>20862.383509698793</v>
      </c>
      <c r="H55" s="20">
        <f ref="H55:Z55" t="shared" si="41">H43-H46-H49-H51</f>
        <v>333798.13615518069</v>
      </c>
      <c r="I55" s="20">
        <f t="shared" si="41"/>
        <v>333798.13615518069</v>
      </c>
      <c r="J55" s="20">
        <f t="shared" si="41"/>
        <v>333798.13615518069</v>
      </c>
      <c r="K55" s="20">
        <f t="shared" si="41"/>
        <v>333798.13615518069</v>
      </c>
      <c r="L55" s="20">
        <f t="shared" si="41"/>
        <v>333798.13615518069</v>
      </c>
      <c r="M55" s="20">
        <f t="shared" si="41"/>
        <v>333798.13615518069</v>
      </c>
      <c r="N55" s="20">
        <f t="shared" si="41"/>
        <v>333798.13615518069</v>
      </c>
      <c r="O55" s="20">
        <f t="shared" si="41"/>
        <v>333798.13615518069</v>
      </c>
      <c r="P55" s="20">
        <f t="shared" si="41"/>
        <v>333798.13615518069</v>
      </c>
      <c r="Q55" s="20">
        <f t="shared" si="41"/>
        <v>333798.13615518069</v>
      </c>
      <c r="R55" s="20">
        <f t="shared" si="41"/>
        <v>333798.13615518069</v>
      </c>
      <c r="S55" s="20">
        <f t="shared" si="41"/>
        <v>333798.13615518069</v>
      </c>
      <c r="T55" s="20">
        <f t="shared" si="41"/>
        <v>333798.13615518069</v>
      </c>
      <c r="U55" s="20">
        <f t="shared" si="41"/>
        <v>333798.13615518069</v>
      </c>
      <c r="V55" s="20">
        <f t="shared" si="41"/>
        <v>333798.13615518069</v>
      </c>
      <c r="W55" s="20">
        <f t="shared" si="41"/>
        <v>333798.13615518069</v>
      </c>
      <c r="X55" s="20">
        <f t="shared" si="41"/>
        <v>333798.13615518069</v>
      </c>
      <c r="Y55" s="20">
        <f t="shared" si="41"/>
        <v>333798.13615518069</v>
      </c>
      <c r="Z55" s="20">
        <f t="shared" si="41"/>
        <v>333798.13615518069</v>
      </c>
      <c r="AA55" s="20"/>
      <c r="AB55" s="20"/>
      <c r="AC55" s="20"/>
      <c r="AD55" s="20"/>
      <c r="AE55" s="20"/>
    </row>
    <row spans="1:31" r="56" s="2" x14ac:dyDescent="0.25" customFormat="1">
      <c r="B56" s="2" t="s">
        <v>35</v>
      </c>
      <c r="G56" s="73">
        <v>0.7</v>
      </c>
      <c r="H56" s="73">
        <v>0.7</v>
      </c>
      <c r="I56" s="73">
        <v>0.7</v>
      </c>
      <c r="J56" s="73">
        <v>0.7</v>
      </c>
      <c r="K56" s="73">
        <v>0.7</v>
      </c>
      <c r="L56" s="73">
        <v>0.7</v>
      </c>
      <c r="M56" s="73">
        <v>0.7</v>
      </c>
      <c r="N56" s="73">
        <v>0.7</v>
      </c>
      <c r="O56" s="73">
        <v>0.7</v>
      </c>
      <c r="P56" s="73">
        <v>0.7</v>
      </c>
      <c r="Q56" s="73">
        <v>0.7</v>
      </c>
      <c r="R56" s="73">
        <v>0.7</v>
      </c>
      <c r="S56" s="73">
        <v>0.7</v>
      </c>
      <c r="T56" s="73">
        <v>0.7</v>
      </c>
      <c r="U56" s="73">
        <v>0.7</v>
      </c>
      <c r="V56" s="73">
        <v>0.7</v>
      </c>
      <c r="W56" s="73">
        <v>0.7</v>
      </c>
      <c r="X56" s="73">
        <v>0.7</v>
      </c>
      <c r="Y56" s="73">
        <v>0.7</v>
      </c>
      <c r="Z56" s="73">
        <v>0.7</v>
      </c>
      <c r="AA56" s="73"/>
      <c r="AB56" s="73"/>
      <c r="AC56" s="73"/>
      <c r="AD56" s="73"/>
      <c r="AE56" s="73"/>
    </row>
    <row spans="1:31" r="57" s="2" x14ac:dyDescent="0.25" customFormat="1">
      <c r="B57" s="2" t="s">
        <v>36</v>
      </c>
      <c r="G57" s="20">
        <f>G55*G56</f>
        <v>14603.668456789153</v>
      </c>
      <c r="H57" s="20">
        <f ref="H57:Z57" t="shared" si="42">H55*H56</f>
        <v>233658.69530862645</v>
      </c>
      <c r="I57" s="20">
        <f t="shared" si="42"/>
        <v>233658.69530862645</v>
      </c>
      <c r="J57" s="20">
        <f t="shared" si="42"/>
        <v>233658.69530862645</v>
      </c>
      <c r="K57" s="20">
        <f t="shared" si="42"/>
        <v>233658.69530862645</v>
      </c>
      <c r="L57" s="20">
        <f t="shared" si="42"/>
        <v>233658.69530862645</v>
      </c>
      <c r="M57" s="20">
        <f t="shared" si="42"/>
        <v>233658.69530862645</v>
      </c>
      <c r="N57" s="20">
        <f t="shared" si="42"/>
        <v>233658.69530862645</v>
      </c>
      <c r="O57" s="20">
        <f t="shared" si="42"/>
        <v>233658.69530862645</v>
      </c>
      <c r="P57" s="20">
        <f t="shared" si="42"/>
        <v>233658.69530862645</v>
      </c>
      <c r="Q57" s="20">
        <f t="shared" si="42"/>
        <v>233658.69530862645</v>
      </c>
      <c r="R57" s="20">
        <f t="shared" si="42"/>
        <v>233658.69530862645</v>
      </c>
      <c r="S57" s="20">
        <f t="shared" si="42"/>
        <v>233658.69530862645</v>
      </c>
      <c r="T57" s="20">
        <f t="shared" si="42"/>
        <v>233658.69530862645</v>
      </c>
      <c r="U57" s="20">
        <f t="shared" si="42"/>
        <v>233658.69530862645</v>
      </c>
      <c r="V57" s="20">
        <f t="shared" si="42"/>
        <v>233658.69530862645</v>
      </c>
      <c r="W57" s="20">
        <f t="shared" si="42"/>
        <v>233658.69530862645</v>
      </c>
      <c r="X57" s="20">
        <f t="shared" si="42"/>
        <v>233658.69530862645</v>
      </c>
      <c r="Y57" s="20">
        <f t="shared" si="42"/>
        <v>233658.69530862645</v>
      </c>
      <c r="Z57" s="20">
        <f t="shared" si="42"/>
        <v>233658.69530862645</v>
      </c>
      <c r="AA57" s="20"/>
      <c r="AB57" s="20"/>
      <c r="AC57" s="20"/>
      <c r="AD57" s="20"/>
      <c r="AE57" s="20"/>
    </row>
    <row spans="1:31" r="59" x14ac:dyDescent="0.25">
      <c r="J59" s="156"/>
    </row>
    <row spans="1:31" r="61" s="2" x14ac:dyDescent="0.25" customFormat="1">
      <c r="A61" s="2" t="s">
        <v>7</v>
      </c>
      <c r="B61" s="24" t="s">
        <v>37</v>
      </c>
      <c r="C61" s="24">
        <v>2019</v>
      </c>
      <c r="D61" s="24">
        <v>2020</v>
      </c>
      <c r="E61" s="24">
        <v>2021</v>
      </c>
      <c r="F61" s="24">
        <v>2022</v>
      </c>
      <c r="G61" s="24">
        <f>F61+1</f>
        <v>2023</v>
      </c>
      <c r="H61" s="24">
        <f ref="H61:AD61" t="shared" si="43">G61+1</f>
        <v>2024</v>
      </c>
      <c r="I61" s="24">
        <f t="shared" si="43"/>
        <v>2025</v>
      </c>
      <c r="J61" s="24">
        <f t="shared" si="43"/>
        <v>2026</v>
      </c>
      <c r="K61" s="24">
        <f t="shared" si="43"/>
        <v>2027</v>
      </c>
      <c r="L61" s="24">
        <f t="shared" si="43"/>
        <v>2028</v>
      </c>
      <c r="M61" s="24">
        <f t="shared" si="43"/>
        <v>2029</v>
      </c>
      <c r="N61" s="24">
        <f t="shared" si="43"/>
        <v>2030</v>
      </c>
      <c r="O61" s="24">
        <f t="shared" si="43"/>
        <v>2031</v>
      </c>
      <c r="P61" s="24">
        <f t="shared" si="43"/>
        <v>2032</v>
      </c>
      <c r="Q61" s="24">
        <f t="shared" si="43"/>
        <v>2033</v>
      </c>
      <c r="R61" s="24">
        <f t="shared" si="43"/>
        <v>2034</v>
      </c>
      <c r="S61" s="24">
        <f t="shared" si="43"/>
        <v>2035</v>
      </c>
      <c r="T61" s="24">
        <f t="shared" si="43"/>
        <v>2036</v>
      </c>
      <c r="U61" s="24">
        <f t="shared" si="43"/>
        <v>2037</v>
      </c>
      <c r="V61" s="24">
        <f t="shared" si="43"/>
        <v>2038</v>
      </c>
      <c r="W61" s="24">
        <f t="shared" si="43"/>
        <v>2039</v>
      </c>
      <c r="X61" s="24">
        <f t="shared" si="43"/>
        <v>2040</v>
      </c>
      <c r="Y61" s="24">
        <f t="shared" si="43"/>
        <v>2041</v>
      </c>
      <c r="Z61" s="24">
        <f t="shared" si="43"/>
        <v>2042</v>
      </c>
      <c r="AA61" s="24">
        <f t="shared" si="43"/>
        <v>2043</v>
      </c>
      <c r="AB61" s="24">
        <f t="shared" si="43"/>
        <v>2044</v>
      </c>
      <c r="AC61" s="24">
        <f t="shared" si="43"/>
        <v>2045</v>
      </c>
      <c r="AD61" s="24">
        <f t="shared" si="43"/>
        <v>2046</v>
      </c>
      <c r="AE61" s="24"/>
    </row>
    <row spans="1:31" r="62" s="153" x14ac:dyDescent="0.25" customFormat="1">
      <c r="B62" s="154" t="s">
        <v>38</v>
      </c>
      <c r="C62" s="154"/>
      <c r="D62" s="154"/>
      <c r="E62" s="154"/>
      <c r="F62" s="154"/>
      <c r="G62" s="154"/>
      <c r="H62" s="154"/>
      <c r="I62" s="154"/>
      <c r="J62" s="154"/>
      <c r="K62" s="153">
        <v>1</v>
      </c>
      <c r="L62" s="153">
        <v>1</v>
      </c>
      <c r="M62" s="153">
        <v>1</v>
      </c>
      <c r="N62" s="153">
        <v>1</v>
      </c>
      <c r="O62" s="153">
        <v>1</v>
      </c>
      <c r="P62" s="153">
        <v>1</v>
      </c>
      <c r="Q62" s="153">
        <v>1</v>
      </c>
      <c r="R62" s="153">
        <v>1</v>
      </c>
      <c r="S62" s="153">
        <v>1</v>
      </c>
      <c r="T62" s="153">
        <v>1</v>
      </c>
      <c r="U62" s="153">
        <v>1</v>
      </c>
      <c r="V62" s="153">
        <v>1</v>
      </c>
      <c r="W62" s="153">
        <v>1</v>
      </c>
      <c r="X62" s="153">
        <v>1</v>
      </c>
      <c r="Y62" s="153">
        <v>1</v>
      </c>
      <c r="Z62" s="153">
        <v>1</v>
      </c>
      <c r="AA62" s="153">
        <v>1</v>
      </c>
      <c r="AB62" s="153">
        <v>1</v>
      </c>
      <c r="AC62" s="153">
        <v>1</v>
      </c>
      <c r="AD62" s="153">
        <v>1</v>
      </c>
      <c r="AE62" s="154"/>
    </row>
    <row spans="1:31" r="63" s="2" x14ac:dyDescent="0.25" customFormat="1">
      <c r="B63" s="2" t="s">
        <v>9</v>
      </c>
      <c r="K63" s="2">
        <v>2.4500000000000002</v>
      </c>
      <c r="L63" s="2">
        <v>2.4500000000000002</v>
      </c>
      <c r="M63" s="2">
        <v>2.4500000000000002</v>
      </c>
      <c r="N63" s="2">
        <v>2.4500000000000002</v>
      </c>
      <c r="O63" s="2">
        <v>2.4500000000000002</v>
      </c>
      <c r="P63" s="2">
        <v>2.4500000000000002</v>
      </c>
      <c r="Q63" s="2">
        <v>2.4500000000000002</v>
      </c>
      <c r="R63" s="2">
        <v>2.4500000000000002</v>
      </c>
      <c r="S63" s="2">
        <v>2.4500000000000002</v>
      </c>
      <c r="T63" s="2">
        <v>2.4500000000000002</v>
      </c>
      <c r="U63" s="2">
        <v>2.4500000000000002</v>
      </c>
      <c r="V63" s="2">
        <v>2.4500000000000002</v>
      </c>
      <c r="W63" s="2">
        <v>2.4500000000000002</v>
      </c>
      <c r="X63" s="2">
        <v>2.4500000000000002</v>
      </c>
      <c r="Y63" s="2">
        <v>2.4500000000000002</v>
      </c>
      <c r="Z63" s="2">
        <v>2.4500000000000002</v>
      </c>
      <c r="AA63" s="2">
        <v>2.4500000000000002</v>
      </c>
      <c r="AB63" s="2">
        <v>2.4500000000000002</v>
      </c>
      <c r="AC63" s="2">
        <v>2.4500000000000002</v>
      </c>
      <c r="AD63" s="2">
        <v>2.4500000000000002</v>
      </c>
    </row>
    <row spans="1:31" r="64" s="2" x14ac:dyDescent="0.25" customFormat="1">
      <c r="B64" s="2" t="s">
        <v>39</v>
      </c>
      <c r="K64" s="155">
        <f>K62*K63</f>
        <v>2.4500000000000002</v>
      </c>
      <c r="L64" s="155">
        <f ref="L64:AD64" t="shared" si="44">L62*L63</f>
        <v>2.4500000000000002</v>
      </c>
      <c r="M64" s="155">
        <f t="shared" si="44"/>
        <v>2.4500000000000002</v>
      </c>
      <c r="N64" s="155">
        <f t="shared" si="44"/>
        <v>2.4500000000000002</v>
      </c>
      <c r="O64" s="155">
        <f t="shared" si="44"/>
        <v>2.4500000000000002</v>
      </c>
      <c r="P64" s="155">
        <f t="shared" si="44"/>
        <v>2.4500000000000002</v>
      </c>
      <c r="Q64" s="155">
        <f t="shared" si="44"/>
        <v>2.4500000000000002</v>
      </c>
      <c r="R64" s="155">
        <f t="shared" si="44"/>
        <v>2.4500000000000002</v>
      </c>
      <c r="S64" s="155">
        <f t="shared" si="44"/>
        <v>2.4500000000000002</v>
      </c>
      <c r="T64" s="155">
        <f t="shared" si="44"/>
        <v>2.4500000000000002</v>
      </c>
      <c r="U64" s="155">
        <f t="shared" si="44"/>
        <v>2.4500000000000002</v>
      </c>
      <c r="V64" s="155">
        <f t="shared" si="44"/>
        <v>2.4500000000000002</v>
      </c>
      <c r="W64" s="155">
        <f t="shared" si="44"/>
        <v>2.4500000000000002</v>
      </c>
      <c r="X64" s="155">
        <f t="shared" si="44"/>
        <v>2.4500000000000002</v>
      </c>
      <c r="Y64" s="155">
        <f t="shared" si="44"/>
        <v>2.4500000000000002</v>
      </c>
      <c r="Z64" s="155">
        <f t="shared" si="44"/>
        <v>2.4500000000000002</v>
      </c>
      <c r="AA64" s="155">
        <f t="shared" si="44"/>
        <v>2.4500000000000002</v>
      </c>
      <c r="AB64" s="155">
        <f t="shared" si="44"/>
        <v>2.4500000000000002</v>
      </c>
      <c r="AC64" s="155">
        <f t="shared" si="44"/>
        <v>2.4500000000000002</v>
      </c>
      <c r="AD64" s="155">
        <f t="shared" si="44"/>
        <v>2.4500000000000002</v>
      </c>
    </row>
    <row spans="2:30" r="65" s="2" x14ac:dyDescent="0.25" customFormat="1">
      <c r="B65" s="2" t="s">
        <v>11</v>
      </c>
      <c r="C65" s="20"/>
      <c r="D65" s="20"/>
      <c r="E65" s="20"/>
      <c r="F65" s="20"/>
      <c r="G65" s="20"/>
      <c r="H65" s="20"/>
      <c r="I65" s="20"/>
      <c r="J65" s="20"/>
      <c r="K65" s="20">
        <f ref="K65:AD65" t="shared" si="45">K66*K64</f>
        <v>452689.90277777787</v>
      </c>
      <c r="L65" s="20">
        <f t="shared" si="45"/>
        <v>452689.90277777787</v>
      </c>
      <c r="M65" s="20">
        <f t="shared" si="45"/>
        <v>452689.90277777787</v>
      </c>
      <c r="N65" s="20">
        <f t="shared" si="45"/>
        <v>452689.90277777787</v>
      </c>
      <c r="O65" s="20">
        <f t="shared" si="45"/>
        <v>452689.90277777787</v>
      </c>
      <c r="P65" s="20">
        <f t="shared" si="45"/>
        <v>452689.90277777787</v>
      </c>
      <c r="Q65" s="20">
        <f t="shared" si="45"/>
        <v>452689.90277777787</v>
      </c>
      <c r="R65" s="20">
        <f t="shared" si="45"/>
        <v>452689.90277777787</v>
      </c>
      <c r="S65" s="20">
        <f t="shared" si="45"/>
        <v>452689.90277777787</v>
      </c>
      <c r="T65" s="20">
        <f t="shared" si="45"/>
        <v>452689.90277777787</v>
      </c>
      <c r="U65" s="20">
        <f t="shared" si="45"/>
        <v>452689.90277777787</v>
      </c>
      <c r="V65" s="20">
        <f t="shared" si="45"/>
        <v>452689.90277777787</v>
      </c>
      <c r="W65" s="20">
        <f t="shared" si="45"/>
        <v>452689.90277777787</v>
      </c>
      <c r="X65" s="20">
        <f t="shared" si="45"/>
        <v>452689.90277777787</v>
      </c>
      <c r="Y65" s="20">
        <f t="shared" si="45"/>
        <v>452689.90277777787</v>
      </c>
      <c r="Z65" s="20">
        <f t="shared" si="45"/>
        <v>452689.90277777787</v>
      </c>
      <c r="AA65" s="20">
        <f t="shared" si="45"/>
        <v>452689.90277777787</v>
      </c>
      <c r="AB65" s="20">
        <f t="shared" si="45"/>
        <v>452689.90277777787</v>
      </c>
      <c r="AC65" s="20">
        <f t="shared" si="45"/>
        <v>452689.90277777787</v>
      </c>
      <c r="AD65" s="20">
        <f t="shared" si="45"/>
        <v>452689.90277777787</v>
      </c>
    </row>
    <row spans="2:30" r="66" s="2" x14ac:dyDescent="0.25" customFormat="1">
      <c r="B66" s="18" t="s">
        <v>12</v>
      </c>
      <c r="C66" s="20"/>
      <c r="D66" s="20"/>
      <c r="E66" s="20"/>
      <c r="F66" s="20"/>
      <c r="G66" s="20"/>
      <c r="H66" s="20"/>
      <c r="I66" s="20"/>
      <c r="J66" s="20"/>
      <c r="K66" s="20">
        <f ref="K66:AD66" t="shared" si="46">AVERAGE($C$7:$E$7)</f>
        <v>184771.38888888891</v>
      </c>
      <c r="L66" s="20">
        <f t="shared" si="46"/>
        <v>184771.38888888891</v>
      </c>
      <c r="M66" s="20">
        <f t="shared" si="46"/>
        <v>184771.38888888891</v>
      </c>
      <c r="N66" s="20">
        <f t="shared" si="46"/>
        <v>184771.38888888891</v>
      </c>
      <c r="O66" s="20">
        <f t="shared" si="46"/>
        <v>184771.38888888891</v>
      </c>
      <c r="P66" s="20">
        <f t="shared" si="46"/>
        <v>184771.38888888891</v>
      </c>
      <c r="Q66" s="20">
        <f t="shared" si="46"/>
        <v>184771.38888888891</v>
      </c>
      <c r="R66" s="20">
        <f t="shared" si="46"/>
        <v>184771.38888888891</v>
      </c>
      <c r="S66" s="20">
        <f t="shared" si="46"/>
        <v>184771.38888888891</v>
      </c>
      <c r="T66" s="20">
        <f t="shared" si="46"/>
        <v>184771.38888888891</v>
      </c>
      <c r="U66" s="20">
        <f t="shared" si="46"/>
        <v>184771.38888888891</v>
      </c>
      <c r="V66" s="20">
        <f t="shared" si="46"/>
        <v>184771.38888888891</v>
      </c>
      <c r="W66" s="20">
        <f t="shared" si="46"/>
        <v>184771.38888888891</v>
      </c>
      <c r="X66" s="20">
        <f t="shared" si="46"/>
        <v>184771.38888888891</v>
      </c>
      <c r="Y66" s="20">
        <f t="shared" si="46"/>
        <v>184771.38888888891</v>
      </c>
      <c r="Z66" s="20">
        <f t="shared" si="46"/>
        <v>184771.38888888891</v>
      </c>
      <c r="AA66" s="20">
        <f t="shared" si="46"/>
        <v>184771.38888888891</v>
      </c>
      <c r="AB66" s="20">
        <f t="shared" si="46"/>
        <v>184771.38888888891</v>
      </c>
      <c r="AC66" s="20">
        <f t="shared" si="46"/>
        <v>184771.38888888891</v>
      </c>
      <c r="AD66" s="20">
        <f t="shared" si="46"/>
        <v>184771.38888888891</v>
      </c>
    </row>
    <row spans="2:30" r="67" s="2" x14ac:dyDescent="0.25" customFormat="1"/>
    <row spans="2:30" r="68" s="2" x14ac:dyDescent="0.25" customFormat="1">
      <c r="B68" s="2" t="s">
        <v>13</v>
      </c>
      <c r="C68" s="20"/>
      <c r="D68" s="20"/>
      <c r="E68" s="20"/>
      <c r="F68" s="20"/>
      <c r="G68" s="20"/>
      <c r="H68" s="20"/>
      <c r="I68" s="20"/>
      <c r="J68" s="20"/>
      <c r="K68" s="20">
        <f ref="K68:AD68" t="shared" si="47">K65*K69</f>
        <v>109544.42995188409</v>
      </c>
      <c r="L68" s="20">
        <f t="shared" si="47"/>
        <v>109544.42995188409</v>
      </c>
      <c r="M68" s="20">
        <f t="shared" si="47"/>
        <v>109544.42995188409</v>
      </c>
      <c r="N68" s="20">
        <f t="shared" si="47"/>
        <v>109544.42995188409</v>
      </c>
      <c r="O68" s="20">
        <f t="shared" si="47"/>
        <v>109544.42995188409</v>
      </c>
      <c r="P68" s="20">
        <f t="shared" si="47"/>
        <v>109544.42995188409</v>
      </c>
      <c r="Q68" s="20">
        <f t="shared" si="47"/>
        <v>109544.42995188409</v>
      </c>
      <c r="R68" s="20">
        <f t="shared" si="47"/>
        <v>109544.42995188409</v>
      </c>
      <c r="S68" s="20">
        <f t="shared" si="47"/>
        <v>109544.42995188409</v>
      </c>
      <c r="T68" s="20">
        <f t="shared" si="47"/>
        <v>109544.42995188409</v>
      </c>
      <c r="U68" s="20">
        <f t="shared" si="47"/>
        <v>109544.42995188409</v>
      </c>
      <c r="V68" s="20">
        <f t="shared" si="47"/>
        <v>109544.42995188409</v>
      </c>
      <c r="W68" s="20">
        <f t="shared" si="47"/>
        <v>109544.42995188409</v>
      </c>
      <c r="X68" s="20">
        <f t="shared" si="47"/>
        <v>109544.42995188409</v>
      </c>
      <c r="Y68" s="20">
        <f t="shared" si="47"/>
        <v>109544.42995188409</v>
      </c>
      <c r="Z68" s="20">
        <f t="shared" si="47"/>
        <v>109544.42995188409</v>
      </c>
      <c r="AA68" s="20">
        <f t="shared" si="47"/>
        <v>109544.42995188409</v>
      </c>
      <c r="AB68" s="20">
        <f t="shared" si="47"/>
        <v>109544.42995188409</v>
      </c>
      <c r="AC68" s="20">
        <f t="shared" si="47"/>
        <v>109544.42995188409</v>
      </c>
      <c r="AD68" s="20">
        <f t="shared" si="47"/>
        <v>109544.42995188409</v>
      </c>
    </row>
    <row spans="2:30" r="69" s="2" x14ac:dyDescent="0.25" customFormat="1">
      <c r="B69" s="18" t="s">
        <v>14</v>
      </c>
      <c r="C69" s="74"/>
      <c r="D69" s="74"/>
      <c r="E69" s="74"/>
      <c r="F69" s="76"/>
      <c r="G69" s="76"/>
      <c r="H69" s="76"/>
      <c r="I69" s="76"/>
      <c r="J69" s="76"/>
      <c r="K69" s="76">
        <f ref="K69:AD69" t="shared" si="48">AVERAGE($C$10:$E$10)</f>
        <v>0.24198558280116675</v>
      </c>
      <c r="L69" s="76">
        <f t="shared" si="48"/>
        <v>0.24198558280116675</v>
      </c>
      <c r="M69" s="76">
        <f t="shared" si="48"/>
        <v>0.24198558280116675</v>
      </c>
      <c r="N69" s="76">
        <f t="shared" si="48"/>
        <v>0.24198558280116675</v>
      </c>
      <c r="O69" s="76">
        <f t="shared" si="48"/>
        <v>0.24198558280116675</v>
      </c>
      <c r="P69" s="76">
        <f t="shared" si="48"/>
        <v>0.24198558280116675</v>
      </c>
      <c r="Q69" s="76">
        <f t="shared" si="48"/>
        <v>0.24198558280116675</v>
      </c>
      <c r="R69" s="76">
        <f t="shared" si="48"/>
        <v>0.24198558280116675</v>
      </c>
      <c r="S69" s="76">
        <f t="shared" si="48"/>
        <v>0.24198558280116675</v>
      </c>
      <c r="T69" s="76">
        <f t="shared" si="48"/>
        <v>0.24198558280116675</v>
      </c>
      <c r="U69" s="76">
        <f t="shared" si="48"/>
        <v>0.24198558280116675</v>
      </c>
      <c r="V69" s="76">
        <f t="shared" si="48"/>
        <v>0.24198558280116675</v>
      </c>
      <c r="W69" s="76">
        <f t="shared" si="48"/>
        <v>0.24198558280116675</v>
      </c>
      <c r="X69" s="76">
        <f t="shared" si="48"/>
        <v>0.24198558280116675</v>
      </c>
      <c r="Y69" s="76">
        <f t="shared" si="48"/>
        <v>0.24198558280116675</v>
      </c>
      <c r="Z69" s="76">
        <f t="shared" si="48"/>
        <v>0.24198558280116675</v>
      </c>
      <c r="AA69" s="76">
        <f t="shared" si="48"/>
        <v>0.24198558280116675</v>
      </c>
      <c r="AB69" s="76">
        <f t="shared" si="48"/>
        <v>0.24198558280116675</v>
      </c>
      <c r="AC69" s="76">
        <f t="shared" si="48"/>
        <v>0.24198558280116675</v>
      </c>
      <c r="AD69" s="76">
        <f t="shared" si="48"/>
        <v>0.24198558280116675</v>
      </c>
    </row>
    <row spans="2:30" r="70" s="2" x14ac:dyDescent="0.25" customFormat="1"/>
    <row spans="2:30" r="71" s="2" x14ac:dyDescent="0.25" customFormat="1">
      <c r="B71" s="2" t="s">
        <v>29</v>
      </c>
      <c r="C71" s="20"/>
      <c r="D71" s="20"/>
      <c r="E71" s="20"/>
      <c r="F71" s="20"/>
      <c r="G71" s="20"/>
      <c r="H71" s="20"/>
      <c r="I71" s="20"/>
      <c r="J71" s="20"/>
      <c r="K71" s="20">
        <f ref="K71:AD71" t="shared" si="49">K72*K65</f>
        <v>3257.8174138033578</v>
      </c>
      <c r="L71" s="20">
        <f t="shared" si="49"/>
        <v>3257.8174138033578</v>
      </c>
      <c r="M71" s="20">
        <f t="shared" si="49"/>
        <v>3257.8174138033578</v>
      </c>
      <c r="N71" s="20">
        <f t="shared" si="49"/>
        <v>3257.8174138033578</v>
      </c>
      <c r="O71" s="20">
        <f t="shared" si="49"/>
        <v>3257.8174138033578</v>
      </c>
      <c r="P71" s="20">
        <f t="shared" si="49"/>
        <v>3257.8174138033578</v>
      </c>
      <c r="Q71" s="20">
        <f t="shared" si="49"/>
        <v>3257.8174138033578</v>
      </c>
      <c r="R71" s="20">
        <f t="shared" si="49"/>
        <v>3257.8174138033578</v>
      </c>
      <c r="S71" s="20">
        <f t="shared" si="49"/>
        <v>3257.8174138033578</v>
      </c>
      <c r="T71" s="20">
        <f t="shared" si="49"/>
        <v>3257.8174138033578</v>
      </c>
      <c r="U71" s="20">
        <f t="shared" si="49"/>
        <v>3257.8174138033578</v>
      </c>
      <c r="V71" s="20">
        <f t="shared" si="49"/>
        <v>3257.8174138033578</v>
      </c>
      <c r="W71" s="20">
        <f t="shared" si="49"/>
        <v>3257.8174138033578</v>
      </c>
      <c r="X71" s="20">
        <f t="shared" si="49"/>
        <v>3257.8174138033578</v>
      </c>
      <c r="Y71" s="20">
        <f t="shared" si="49"/>
        <v>3257.8174138033578</v>
      </c>
      <c r="Z71" s="20">
        <f t="shared" si="49"/>
        <v>3257.8174138033578</v>
      </c>
      <c r="AA71" s="20">
        <f t="shared" si="49"/>
        <v>3257.8174138033578</v>
      </c>
      <c r="AB71" s="20">
        <f t="shared" si="49"/>
        <v>3257.8174138033578</v>
      </c>
      <c r="AC71" s="20">
        <f t="shared" si="49"/>
        <v>3257.8174138033578</v>
      </c>
      <c r="AD71" s="20">
        <f t="shared" si="49"/>
        <v>3257.8174138033578</v>
      </c>
    </row>
    <row spans="2:30" r="72" s="2" x14ac:dyDescent="0.25" customFormat="1">
      <c r="B72" s="18" t="s">
        <v>14</v>
      </c>
      <c r="C72" s="74"/>
      <c r="D72" s="74"/>
      <c r="E72" s="74"/>
      <c r="F72" s="76"/>
      <c r="G72" s="76"/>
      <c r="H72" s="76"/>
      <c r="I72" s="76"/>
      <c r="J72" s="76"/>
      <c r="K72" s="76">
        <f ref="K72:AD72" t="shared" si="50">AVERAGE($C$29:$E$29)</f>
        <v>7.1965762739854972E-3</v>
      </c>
      <c r="L72" s="76">
        <f t="shared" si="50"/>
        <v>7.1965762739854972E-3</v>
      </c>
      <c r="M72" s="76">
        <f t="shared" si="50"/>
        <v>7.1965762739854972E-3</v>
      </c>
      <c r="N72" s="76">
        <f t="shared" si="50"/>
        <v>7.1965762739854972E-3</v>
      </c>
      <c r="O72" s="76">
        <f t="shared" si="50"/>
        <v>7.1965762739854972E-3</v>
      </c>
      <c r="P72" s="76">
        <f t="shared" si="50"/>
        <v>7.1965762739854972E-3</v>
      </c>
      <c r="Q72" s="76">
        <f t="shared" si="50"/>
        <v>7.1965762739854972E-3</v>
      </c>
      <c r="R72" s="76">
        <f t="shared" si="50"/>
        <v>7.1965762739854972E-3</v>
      </c>
      <c r="S72" s="76">
        <f t="shared" si="50"/>
        <v>7.1965762739854972E-3</v>
      </c>
      <c r="T72" s="76">
        <f t="shared" si="50"/>
        <v>7.1965762739854972E-3</v>
      </c>
      <c r="U72" s="76">
        <f t="shared" si="50"/>
        <v>7.1965762739854972E-3</v>
      </c>
      <c r="V72" s="76">
        <f t="shared" si="50"/>
        <v>7.1965762739854972E-3</v>
      </c>
      <c r="W72" s="76">
        <f t="shared" si="50"/>
        <v>7.1965762739854972E-3</v>
      </c>
      <c r="X72" s="76">
        <f t="shared" si="50"/>
        <v>7.1965762739854972E-3</v>
      </c>
      <c r="Y72" s="76">
        <f t="shared" si="50"/>
        <v>7.1965762739854972E-3</v>
      </c>
      <c r="Z72" s="76">
        <f t="shared" si="50"/>
        <v>7.1965762739854972E-3</v>
      </c>
      <c r="AA72" s="76">
        <f t="shared" si="50"/>
        <v>7.1965762739854972E-3</v>
      </c>
      <c r="AB72" s="76">
        <f t="shared" si="50"/>
        <v>7.1965762739854972E-3</v>
      </c>
      <c r="AC72" s="76">
        <f t="shared" si="50"/>
        <v>7.1965762739854972E-3</v>
      </c>
      <c r="AD72" s="76">
        <f t="shared" si="50"/>
        <v>7.1965762739854972E-3</v>
      </c>
    </row>
    <row spans="2:30" r="73" s="2" x14ac:dyDescent="0.25" customFormat="1">
      <c r="B73" s="2" t="s">
        <v>30</v>
      </c>
      <c r="C73" s="20"/>
      <c r="D73" s="20"/>
      <c r="E73" s="20"/>
      <c r="F73" s="20"/>
      <c r="G73" s="20"/>
      <c r="H73" s="20"/>
      <c r="I73" s="20"/>
      <c r="J73" s="20"/>
      <c r="K73" s="20">
        <f ref="K73:AD73" t="shared" si="51">K74*K65</f>
        <v>6089.5192569097371</v>
      </c>
      <c r="L73" s="20">
        <f t="shared" si="51"/>
        <v>6089.5192569097371</v>
      </c>
      <c r="M73" s="20">
        <f t="shared" si="51"/>
        <v>6089.5192569097371</v>
      </c>
      <c r="N73" s="20">
        <f t="shared" si="51"/>
        <v>6089.5192569097371</v>
      </c>
      <c r="O73" s="20">
        <f t="shared" si="51"/>
        <v>6089.5192569097371</v>
      </c>
      <c r="P73" s="20">
        <f t="shared" si="51"/>
        <v>6089.5192569097371</v>
      </c>
      <c r="Q73" s="20">
        <f t="shared" si="51"/>
        <v>6089.5192569097371</v>
      </c>
      <c r="R73" s="20">
        <f t="shared" si="51"/>
        <v>6089.5192569097371</v>
      </c>
      <c r="S73" s="20">
        <f t="shared" si="51"/>
        <v>6089.5192569097371</v>
      </c>
      <c r="T73" s="20">
        <f t="shared" si="51"/>
        <v>6089.5192569097371</v>
      </c>
      <c r="U73" s="20">
        <f t="shared" si="51"/>
        <v>6089.5192569097371</v>
      </c>
      <c r="V73" s="20">
        <f t="shared" si="51"/>
        <v>6089.5192569097371</v>
      </c>
      <c r="W73" s="20">
        <f t="shared" si="51"/>
        <v>6089.5192569097371</v>
      </c>
      <c r="X73" s="20">
        <f t="shared" si="51"/>
        <v>6089.5192569097371</v>
      </c>
      <c r="Y73" s="20">
        <f t="shared" si="51"/>
        <v>6089.5192569097371</v>
      </c>
      <c r="Z73" s="20">
        <f t="shared" si="51"/>
        <v>6089.5192569097371</v>
      </c>
      <c r="AA73" s="20">
        <f t="shared" si="51"/>
        <v>6089.5192569097371</v>
      </c>
      <c r="AB73" s="20">
        <f t="shared" si="51"/>
        <v>6089.5192569097371</v>
      </c>
      <c r="AC73" s="20">
        <f t="shared" si="51"/>
        <v>6089.5192569097371</v>
      </c>
      <c r="AD73" s="20">
        <f t="shared" si="51"/>
        <v>6089.5192569097371</v>
      </c>
    </row>
    <row spans="2:30" r="74" s="2" x14ac:dyDescent="0.25" customFormat="1">
      <c r="B74" s="18" t="s">
        <v>14</v>
      </c>
      <c r="C74" s="74"/>
      <c r="D74" s="74"/>
      <c r="E74" s="74"/>
      <c r="F74" s="76"/>
      <c r="G74" s="76"/>
      <c r="H74" s="76"/>
      <c r="I74" s="76"/>
      <c r="J74" s="76"/>
      <c r="K74" s="76">
        <f ref="K74:AD74" t="shared" si="52">AVERAGE($C$31:$E$31)</f>
        <v>1.3451855717442493E-2</v>
      </c>
      <c r="L74" s="76">
        <f t="shared" si="52"/>
        <v>1.3451855717442493E-2</v>
      </c>
      <c r="M74" s="76">
        <f t="shared" si="52"/>
        <v>1.3451855717442493E-2</v>
      </c>
      <c r="N74" s="76">
        <f t="shared" si="52"/>
        <v>1.3451855717442493E-2</v>
      </c>
      <c r="O74" s="76">
        <f t="shared" si="52"/>
        <v>1.3451855717442493E-2</v>
      </c>
      <c r="P74" s="76">
        <f t="shared" si="52"/>
        <v>1.3451855717442493E-2</v>
      </c>
      <c r="Q74" s="76">
        <f t="shared" si="52"/>
        <v>1.3451855717442493E-2</v>
      </c>
      <c r="R74" s="76">
        <f t="shared" si="52"/>
        <v>1.3451855717442493E-2</v>
      </c>
      <c r="S74" s="76">
        <f t="shared" si="52"/>
        <v>1.3451855717442493E-2</v>
      </c>
      <c r="T74" s="76">
        <f t="shared" si="52"/>
        <v>1.3451855717442493E-2</v>
      </c>
      <c r="U74" s="76">
        <f t="shared" si="52"/>
        <v>1.3451855717442493E-2</v>
      </c>
      <c r="V74" s="76">
        <f t="shared" si="52"/>
        <v>1.3451855717442493E-2</v>
      </c>
      <c r="W74" s="76">
        <f t="shared" si="52"/>
        <v>1.3451855717442493E-2</v>
      </c>
      <c r="X74" s="76">
        <f t="shared" si="52"/>
        <v>1.3451855717442493E-2</v>
      </c>
      <c r="Y74" s="76">
        <f t="shared" si="52"/>
        <v>1.3451855717442493E-2</v>
      </c>
      <c r="Z74" s="76">
        <f t="shared" si="52"/>
        <v>1.3451855717442493E-2</v>
      </c>
      <c r="AA74" s="76">
        <f t="shared" si="52"/>
        <v>1.3451855717442493E-2</v>
      </c>
      <c r="AB74" s="76">
        <f t="shared" si="52"/>
        <v>1.3451855717442493E-2</v>
      </c>
      <c r="AC74" s="76">
        <f t="shared" si="52"/>
        <v>1.3451855717442493E-2</v>
      </c>
      <c r="AD74" s="76">
        <f t="shared" si="52"/>
        <v>1.3451855717442493E-2</v>
      </c>
    </row>
    <row spans="2:30" r="75" s="2" x14ac:dyDescent="0.25" customFormat="1">
      <c r="B75" s="2" t="s">
        <v>31</v>
      </c>
      <c r="K75" s="208">
        <v>0</v>
      </c>
      <c r="L75" s="208">
        <v>0</v>
      </c>
      <c r="M75" s="208">
        <v>0</v>
      </c>
      <c r="N75" s="208">
        <v>0</v>
      </c>
      <c r="O75" s="208">
        <v>0</v>
      </c>
      <c r="P75" s="208">
        <v>0</v>
      </c>
      <c r="Q75" s="208">
        <v>0</v>
      </c>
      <c r="R75" s="208">
        <v>0</v>
      </c>
      <c r="S75" s="208">
        <v>0</v>
      </c>
      <c r="T75" s="208">
        <v>0</v>
      </c>
      <c r="U75" s="208">
        <v>0</v>
      </c>
      <c r="V75" s="208">
        <v>0</v>
      </c>
      <c r="W75" s="208">
        <v>0</v>
      </c>
      <c r="X75" s="208">
        <v>0</v>
      </c>
      <c r="Y75" s="208">
        <v>0</v>
      </c>
      <c r="Z75" s="208">
        <v>0</v>
      </c>
      <c r="AA75" s="208">
        <v>0</v>
      </c>
      <c r="AB75" s="208">
        <v>0</v>
      </c>
      <c r="AC75" s="208">
        <v>0</v>
      </c>
      <c r="AD75" s="208">
        <v>0</v>
      </c>
    </row>
    <row spans="2:30" r="76" s="2" x14ac:dyDescent="0.25" customFormat="1"/>
    <row spans="2:30" r="77" s="2" x14ac:dyDescent="0.25" customFormat="1">
      <c r="B77" s="2" t="s">
        <v>32</v>
      </c>
      <c r="G77" s="20"/>
      <c r="H77" s="20"/>
      <c r="I77" s="20"/>
      <c r="J77" s="20"/>
      <c r="K77" s="20">
        <f ref="K77:AD77" t="shared" si="53">K65-K68-K71-K73</f>
        <v>333798.13615518069</v>
      </c>
      <c r="L77" s="20">
        <f t="shared" si="53"/>
        <v>333798.13615518069</v>
      </c>
      <c r="M77" s="20">
        <f t="shared" si="53"/>
        <v>333798.13615518069</v>
      </c>
      <c r="N77" s="20">
        <f t="shared" si="53"/>
        <v>333798.13615518069</v>
      </c>
      <c r="O77" s="20">
        <f t="shared" si="53"/>
        <v>333798.13615518069</v>
      </c>
      <c r="P77" s="20">
        <f t="shared" si="53"/>
        <v>333798.13615518069</v>
      </c>
      <c r="Q77" s="20">
        <f t="shared" si="53"/>
        <v>333798.13615518069</v>
      </c>
      <c r="R77" s="20">
        <f t="shared" si="53"/>
        <v>333798.13615518069</v>
      </c>
      <c r="S77" s="20">
        <f t="shared" si="53"/>
        <v>333798.13615518069</v>
      </c>
      <c r="T77" s="20">
        <f t="shared" si="53"/>
        <v>333798.13615518069</v>
      </c>
      <c r="U77" s="20">
        <f t="shared" si="53"/>
        <v>333798.13615518069</v>
      </c>
      <c r="V77" s="20">
        <f t="shared" si="53"/>
        <v>333798.13615518069</v>
      </c>
      <c r="W77" s="20">
        <f t="shared" si="53"/>
        <v>333798.13615518069</v>
      </c>
      <c r="X77" s="20">
        <f t="shared" si="53"/>
        <v>333798.13615518069</v>
      </c>
      <c r="Y77" s="20">
        <f t="shared" si="53"/>
        <v>333798.13615518069</v>
      </c>
      <c r="Z77" s="20">
        <f t="shared" si="53"/>
        <v>333798.13615518069</v>
      </c>
      <c r="AA77" s="20">
        <f t="shared" si="53"/>
        <v>333798.13615518069</v>
      </c>
      <c r="AB77" s="20">
        <f t="shared" si="53"/>
        <v>333798.13615518069</v>
      </c>
      <c r="AC77" s="20">
        <f t="shared" si="53"/>
        <v>333798.13615518069</v>
      </c>
      <c r="AD77" s="20">
        <f t="shared" si="53"/>
        <v>333798.13615518069</v>
      </c>
    </row>
    <row spans="2:30" r="78" s="2" x14ac:dyDescent="0.25" customFormat="1">
      <c r="B78" s="2" t="s">
        <v>34</v>
      </c>
      <c r="G78" s="73"/>
      <c r="H78" s="73"/>
      <c r="I78" s="73"/>
      <c r="J78" s="73"/>
      <c r="K78" s="73">
        <v>0.7</v>
      </c>
      <c r="L78" s="73">
        <v>0.7</v>
      </c>
      <c r="M78" s="73">
        <v>0.7</v>
      </c>
      <c r="N78" s="73">
        <v>0.7</v>
      </c>
      <c r="O78" s="73">
        <v>0.7</v>
      </c>
      <c r="P78" s="73">
        <v>0.7</v>
      </c>
      <c r="Q78" s="73">
        <v>0.7</v>
      </c>
      <c r="R78" s="73">
        <v>0.7</v>
      </c>
      <c r="S78" s="73">
        <v>0.7</v>
      </c>
      <c r="T78" s="73">
        <v>0.7</v>
      </c>
      <c r="U78" s="73">
        <v>0.7</v>
      </c>
      <c r="V78" s="73">
        <v>0.7</v>
      </c>
      <c r="W78" s="73">
        <v>0.7</v>
      </c>
      <c r="X78" s="73">
        <v>0.7</v>
      </c>
      <c r="Y78" s="73">
        <v>0.7</v>
      </c>
      <c r="Z78" s="73">
        <v>0.7</v>
      </c>
      <c r="AA78" s="73">
        <v>0.7</v>
      </c>
      <c r="AB78" s="73">
        <v>0.7</v>
      </c>
      <c r="AC78" s="73">
        <v>0.7</v>
      </c>
      <c r="AD78" s="73">
        <v>0.7</v>
      </c>
    </row>
    <row spans="2:30" r="79" s="2" x14ac:dyDescent="0.25" customFormat="1">
      <c r="B79" s="2" t="s">
        <v>32</v>
      </c>
      <c r="G79" s="20"/>
      <c r="H79" s="20"/>
      <c r="I79" s="20"/>
      <c r="J79" s="20"/>
      <c r="K79" s="20">
        <f ref="K79:AD79" t="shared" si="54">K77*K78</f>
        <v>233658.69530862645</v>
      </c>
      <c r="L79" s="20">
        <f t="shared" si="54"/>
        <v>233658.69530862645</v>
      </c>
      <c r="M79" s="20">
        <f t="shared" si="54"/>
        <v>233658.69530862645</v>
      </c>
      <c r="N79" s="20">
        <f t="shared" si="54"/>
        <v>233658.69530862645</v>
      </c>
      <c r="O79" s="20">
        <f t="shared" si="54"/>
        <v>233658.69530862645</v>
      </c>
      <c r="P79" s="20">
        <f t="shared" si="54"/>
        <v>233658.69530862645</v>
      </c>
      <c r="Q79" s="20">
        <f t="shared" si="54"/>
        <v>233658.69530862645</v>
      </c>
      <c r="R79" s="20">
        <f t="shared" si="54"/>
        <v>233658.69530862645</v>
      </c>
      <c r="S79" s="20">
        <f t="shared" si="54"/>
        <v>233658.69530862645</v>
      </c>
      <c r="T79" s="20">
        <f t="shared" si="54"/>
        <v>233658.69530862645</v>
      </c>
      <c r="U79" s="20">
        <f t="shared" si="54"/>
        <v>233658.69530862645</v>
      </c>
      <c r="V79" s="20">
        <f t="shared" si="54"/>
        <v>233658.69530862645</v>
      </c>
      <c r="W79" s="20">
        <f t="shared" si="54"/>
        <v>233658.69530862645</v>
      </c>
      <c r="X79" s="20">
        <f t="shared" si="54"/>
        <v>233658.69530862645</v>
      </c>
      <c r="Y79" s="20">
        <f t="shared" si="54"/>
        <v>233658.69530862645</v>
      </c>
      <c r="Z79" s="20">
        <f t="shared" si="54"/>
        <v>233658.69530862645</v>
      </c>
      <c r="AA79" s="20">
        <f t="shared" si="54"/>
        <v>233658.69530862645</v>
      </c>
      <c r="AB79" s="20">
        <f t="shared" si="54"/>
        <v>233658.69530862645</v>
      </c>
      <c r="AC79" s="20">
        <f t="shared" si="54"/>
        <v>233658.69530862645</v>
      </c>
      <c r="AD79" s="20">
        <f t="shared" si="54"/>
        <v>233658.69530862645</v>
      </c>
    </row>
    <row spans="1:30" r="82" x14ac:dyDescent="0.25">
      <c r="A82" s="8" t="s">
        <v>40</v>
      </c>
      <c r="B82" s="24" t="s">
        <v>45</v>
      </c>
      <c r="C82" s="24"/>
      <c r="D82" s="24"/>
      <c r="E82" s="24"/>
      <c r="F82" s="24">
        <v>2022</v>
      </c>
      <c r="G82" s="24">
        <v>2023</v>
      </c>
      <c r="H82" s="24">
        <v>2024</v>
      </c>
      <c r="I82" s="24">
        <v>2025</v>
      </c>
      <c r="J82" s="24">
        <v>2026</v>
      </c>
      <c r="K82" s="24">
        <v>2027</v>
      </c>
      <c r="L82" s="24">
        <v>2028</v>
      </c>
      <c r="M82" s="24">
        <v>2029</v>
      </c>
      <c r="N82" s="24">
        <v>2030</v>
      </c>
      <c r="O82" s="24">
        <v>2031</v>
      </c>
      <c r="P82" s="24">
        <v>2032</v>
      </c>
      <c r="Q82" s="24">
        <v>2033</v>
      </c>
      <c r="R82" s="24">
        <v>2034</v>
      </c>
      <c r="S82" s="24">
        <v>2035</v>
      </c>
      <c r="T82" s="24">
        <v>2036</v>
      </c>
      <c r="U82" s="24">
        <v>2037</v>
      </c>
      <c r="V82" s="24">
        <v>2038</v>
      </c>
      <c r="W82" s="24">
        <v>2039</v>
      </c>
      <c r="X82" s="24">
        <v>2040</v>
      </c>
      <c r="Y82" s="24">
        <v>2041</v>
      </c>
      <c r="Z82" s="24">
        <v>2042</v>
      </c>
      <c r="AA82" s="24">
        <v>2043</v>
      </c>
      <c r="AB82" s="24">
        <v>2044</v>
      </c>
      <c r="AC82" s="24">
        <v>2045</v>
      </c>
      <c r="AD82" s="24">
        <v>2046</v>
      </c>
    </row>
    <row spans="1:30" r="83" x14ac:dyDescent="0.25">
      <c r="B83" s="8" t="s">
        <v>42</v>
      </c>
      <c r="F83" s="156">
        <f>F6+F43+F65</f>
        <v>221725.66666666669</v>
      </c>
      <c r="G83" s="156">
        <f ref="G83:AD83" t="shared" si="55">G6+G43+G65</f>
        <v>371852.42013888888</v>
      </c>
      <c r="H83" s="156">
        <f t="shared" si="55"/>
        <v>748324.12500000012</v>
      </c>
      <c r="I83" s="156">
        <f t="shared" si="55"/>
        <v>785278.40277777798</v>
      </c>
      <c r="J83" s="156">
        <f t="shared" si="55"/>
        <v>822232.68055555574</v>
      </c>
      <c r="K83" s="156">
        <f t="shared" si="55"/>
        <v>905379.80555555574</v>
      </c>
      <c r="L83" s="156">
        <f t="shared" si="55"/>
        <v>1348831.138888889</v>
      </c>
      <c r="M83" s="156">
        <f t="shared" si="55"/>
        <v>1348831.138888889</v>
      </c>
      <c r="N83" s="156">
        <f t="shared" si="55"/>
        <v>1348831.138888889</v>
      </c>
      <c r="O83" s="156">
        <f t="shared" si="55"/>
        <v>1348831.138888889</v>
      </c>
      <c r="P83" s="156">
        <f t="shared" si="55"/>
        <v>1348831.138888889</v>
      </c>
      <c r="Q83" s="156">
        <f t="shared" si="55"/>
        <v>1348831.138888889</v>
      </c>
      <c r="R83" s="156">
        <f t="shared" si="55"/>
        <v>1348831.138888889</v>
      </c>
      <c r="S83" s="156">
        <f t="shared" si="55"/>
        <v>1348831.138888889</v>
      </c>
      <c r="T83" s="156">
        <f t="shared" si="55"/>
        <v>1348831.138888889</v>
      </c>
      <c r="U83" s="156">
        <f t="shared" si="55"/>
        <v>1348831.138888889</v>
      </c>
      <c r="V83" s="156">
        <f t="shared" si="55"/>
        <v>905379.80555555574</v>
      </c>
      <c r="W83" s="156">
        <f t="shared" si="55"/>
        <v>905379.80555555574</v>
      </c>
      <c r="X83" s="156">
        <f t="shared" si="55"/>
        <v>905379.80555555574</v>
      </c>
      <c r="Y83" s="156">
        <f t="shared" si="55"/>
        <v>905379.80555555574</v>
      </c>
      <c r="Z83" s="156">
        <f t="shared" si="55"/>
        <v>905379.80555555574</v>
      </c>
      <c r="AA83" s="156">
        <f t="shared" si="55"/>
        <v>452689.90277777787</v>
      </c>
      <c r="AB83" s="156">
        <f t="shared" si="55"/>
        <v>452689.90277777787</v>
      </c>
      <c r="AC83" s="156">
        <f t="shared" si="55"/>
        <v>452689.90277777787</v>
      </c>
      <c r="AD83" s="156">
        <f t="shared" si="55"/>
        <v>452689.90277777787</v>
      </c>
    </row>
    <row spans="1:30" r="84" x14ac:dyDescent="0.25">
      <c r="B84" s="8" t="s">
        <v>43</v>
      </c>
      <c r="F84" s="156">
        <f>F35+F57+F79</f>
        <v>335390.96464743541</v>
      </c>
      <c r="G84" s="156">
        <f ref="G84:AD84" t="shared" si="56">G35+G57+G79</f>
        <v>316503.21054546378</v>
      </c>
      <c r="H84" s="156">
        <f t="shared" si="56"/>
        <v>504839.31483854033</v>
      </c>
      <c r="I84" s="156">
        <f t="shared" si="56"/>
        <v>522185.89227977965</v>
      </c>
      <c r="J84" s="156">
        <f t="shared" si="56"/>
        <v>541105.2197210188</v>
      </c>
      <c r="K84" s="156">
        <f t="shared" si="56"/>
        <v>467317.39061725291</v>
      </c>
      <c r="L84" s="156">
        <f t="shared" si="56"/>
        <v>794303.31991212373</v>
      </c>
      <c r="M84" s="156">
        <f t="shared" si="56"/>
        <v>794303.31991212373</v>
      </c>
      <c r="N84" s="156">
        <f t="shared" si="56"/>
        <v>794303.31991212373</v>
      </c>
      <c r="O84" s="156">
        <f t="shared" si="56"/>
        <v>794303.31991212373</v>
      </c>
      <c r="P84" s="156">
        <f t="shared" si="56"/>
        <v>794303.31991212373</v>
      </c>
      <c r="Q84" s="156">
        <f t="shared" si="56"/>
        <v>794303.31991212373</v>
      </c>
      <c r="R84" s="156">
        <f t="shared" si="56"/>
        <v>794303.31991212373</v>
      </c>
      <c r="S84" s="156">
        <f t="shared" si="56"/>
        <v>794303.31991212373</v>
      </c>
      <c r="T84" s="156">
        <f t="shared" si="56"/>
        <v>794303.31991212373</v>
      </c>
      <c r="U84" s="156">
        <f t="shared" si="56"/>
        <v>794303.31991212373</v>
      </c>
      <c r="V84" s="156">
        <f t="shared" si="56"/>
        <v>467317.39061725291</v>
      </c>
      <c r="W84" s="156">
        <f t="shared" si="56"/>
        <v>467317.39061725291</v>
      </c>
      <c r="X84" s="156">
        <f t="shared" si="56"/>
        <v>467317.39061725291</v>
      </c>
      <c r="Y84" s="156">
        <f t="shared" si="56"/>
        <v>467317.39061725291</v>
      </c>
      <c r="Z84" s="156">
        <f t="shared" si="56"/>
        <v>467317.39061725291</v>
      </c>
      <c r="AA84" s="156">
        <f t="shared" si="56"/>
        <v>233658.69530862645</v>
      </c>
      <c r="AB84" s="156">
        <f t="shared" si="56"/>
        <v>233658.69530862645</v>
      </c>
      <c r="AC84" s="156">
        <f t="shared" si="56"/>
        <v>233658.69530862645</v>
      </c>
      <c r="AD84" s="156">
        <f t="shared" si="56"/>
        <v>233658.69530862645</v>
      </c>
    </row>
    <row spans="1:30" r="85" x14ac:dyDescent="0.25">
      <c r="B85" s="8" t="s">
        <v>44</v>
      </c>
      <c r="F85" s="156">
        <f>G115</f>
        <v>40000</v>
      </c>
      <c r="G85" s="156">
        <f ref="G85:AD85" t="shared" si="57">H115</f>
        <v>50000</v>
      </c>
      <c r="H85" s="156">
        <f t="shared" si="57"/>
        <v>80000</v>
      </c>
      <c r="I85" s="156">
        <f t="shared" si="57"/>
        <v>80000</v>
      </c>
      <c r="J85" s="156">
        <f t="shared" si="57"/>
        <v>80000</v>
      </c>
      <c r="K85" s="156">
        <f t="shared" si="57"/>
        <v>120000</v>
      </c>
      <c r="L85" s="156">
        <f t="shared" si="57"/>
        <v>120000</v>
      </c>
      <c r="M85" s="156">
        <f t="shared" si="57"/>
        <v>120000</v>
      </c>
      <c r="N85" s="156">
        <f t="shared" si="57"/>
        <v>120000</v>
      </c>
      <c r="O85" s="156">
        <f t="shared" si="57"/>
        <v>120000</v>
      </c>
      <c r="P85" s="156">
        <f t="shared" si="57"/>
        <v>120000</v>
      </c>
      <c r="Q85" s="156">
        <f t="shared" si="57"/>
        <v>120000</v>
      </c>
      <c r="R85" s="156">
        <f t="shared" si="57"/>
        <v>120000</v>
      </c>
      <c r="S85" s="156">
        <f t="shared" si="57"/>
        <v>120000</v>
      </c>
      <c r="T85" s="156">
        <f t="shared" si="57"/>
        <v>120000</v>
      </c>
      <c r="U85" s="156">
        <f t="shared" si="57"/>
        <v>120000</v>
      </c>
      <c r="V85" s="156">
        <f t="shared" si="57"/>
        <v>120000</v>
      </c>
      <c r="W85" s="156">
        <f t="shared" si="57"/>
        <v>120000</v>
      </c>
      <c r="X85" s="156">
        <f t="shared" si="57"/>
        <v>120000</v>
      </c>
      <c r="Y85" s="156">
        <f t="shared" si="57"/>
        <v>120000</v>
      </c>
      <c r="Z85" s="156">
        <f t="shared" si="57"/>
        <v>120000</v>
      </c>
      <c r="AA85" s="156">
        <f t="shared" si="57"/>
        <v>40000</v>
      </c>
      <c r="AB85" s="156">
        <f t="shared" si="57"/>
        <v>40000</v>
      </c>
      <c r="AC85" s="156">
        <f t="shared" si="57"/>
        <v>40000</v>
      </c>
      <c r="AD85" s="156">
        <f t="shared" si="57"/>
        <v>40000</v>
      </c>
    </row>
    <row spans="1:30" r="86" x14ac:dyDescent="0.25">
      <c r="B86" s="8" t="s">
        <v>45</v>
      </c>
      <c r="F86" s="156">
        <f ref="F86:AD86" t="shared" si="58">F84-F85</f>
        <v>295390.96464743541</v>
      </c>
      <c r="G86" s="156">
        <f t="shared" si="58"/>
        <v>266503.21054546378</v>
      </c>
      <c r="H86" s="156">
        <f t="shared" si="58"/>
        <v>424839.31483854033</v>
      </c>
      <c r="I86" s="156">
        <f t="shared" si="58"/>
        <v>442185.89227977965</v>
      </c>
      <c r="J86" s="156">
        <f t="shared" si="58"/>
        <v>461105.2197210188</v>
      </c>
      <c r="K86" s="156">
        <f t="shared" si="58"/>
        <v>347317.39061725291</v>
      </c>
      <c r="L86" s="156">
        <f t="shared" si="58"/>
        <v>674303.31991212373</v>
      </c>
      <c r="M86" s="156">
        <f t="shared" si="58"/>
        <v>674303.31991212373</v>
      </c>
      <c r="N86" s="156">
        <f t="shared" si="58"/>
        <v>674303.31991212373</v>
      </c>
      <c r="O86" s="156">
        <f t="shared" si="58"/>
        <v>674303.31991212373</v>
      </c>
      <c r="P86" s="156">
        <f t="shared" si="58"/>
        <v>674303.31991212373</v>
      </c>
      <c r="Q86" s="156">
        <f t="shared" si="58"/>
        <v>674303.31991212373</v>
      </c>
      <c r="R86" s="156">
        <f t="shared" si="58"/>
        <v>674303.31991212373</v>
      </c>
      <c r="S86" s="156">
        <f t="shared" si="58"/>
        <v>674303.31991212373</v>
      </c>
      <c r="T86" s="156">
        <f t="shared" si="58"/>
        <v>674303.31991212373</v>
      </c>
      <c r="U86" s="156">
        <f t="shared" si="58"/>
        <v>674303.31991212373</v>
      </c>
      <c r="V86" s="156">
        <f t="shared" si="58"/>
        <v>347317.39061725291</v>
      </c>
      <c r="W86" s="156">
        <f t="shared" si="58"/>
        <v>347317.39061725291</v>
      </c>
      <c r="X86" s="156">
        <f t="shared" si="58"/>
        <v>347317.39061725291</v>
      </c>
      <c r="Y86" s="156">
        <f t="shared" si="58"/>
        <v>347317.39061725291</v>
      </c>
      <c r="Z86" s="156">
        <f t="shared" si="58"/>
        <v>347317.39061725291</v>
      </c>
      <c r="AA86" s="156">
        <f t="shared" si="58"/>
        <v>193658.69530862645</v>
      </c>
      <c r="AB86" s="156">
        <f t="shared" si="58"/>
        <v>193658.69530862645</v>
      </c>
      <c r="AC86" s="156">
        <f t="shared" si="58"/>
        <v>193658.69530862645</v>
      </c>
      <c r="AD86" s="156">
        <f t="shared" si="58"/>
        <v>193658.69530862645</v>
      </c>
    </row>
    <row spans="1:30" r="87" x14ac:dyDescent="0.25">
      <c r="B87" s="8" t="s">
        <v>46</v>
      </c>
      <c r="F87" s="157">
        <v>0.1024</v>
      </c>
      <c r="G87" s="157">
        <v>0.21</v>
      </c>
      <c r="H87" s="157">
        <v>0.21</v>
      </c>
      <c r="I87" s="157">
        <v>0.21</v>
      </c>
      <c r="J87" s="157">
        <v>0.21</v>
      </c>
      <c r="K87" s="157">
        <v>0.21</v>
      </c>
      <c r="L87" s="157">
        <v>0.21</v>
      </c>
      <c r="M87" s="157">
        <v>0.21</v>
      </c>
      <c r="N87" s="157">
        <v>0.21</v>
      </c>
      <c r="O87" s="157">
        <v>0.21</v>
      </c>
      <c r="P87" s="157">
        <v>0.21</v>
      </c>
      <c r="Q87" s="157">
        <v>0.21</v>
      </c>
      <c r="R87" s="157">
        <v>0.21</v>
      </c>
      <c r="S87" s="157">
        <v>0.21</v>
      </c>
      <c r="T87" s="157">
        <v>0.21</v>
      </c>
      <c r="U87" s="157">
        <v>0.21</v>
      </c>
      <c r="V87" s="157">
        <v>0.21</v>
      </c>
      <c r="W87" s="157">
        <v>0.21</v>
      </c>
      <c r="X87" s="157">
        <v>0.21</v>
      </c>
      <c r="Y87" s="157">
        <v>0.21</v>
      </c>
      <c r="Z87" s="157">
        <v>0.21</v>
      </c>
      <c r="AA87" s="157">
        <v>0.21</v>
      </c>
      <c r="AB87" s="157">
        <v>0.21</v>
      </c>
      <c r="AC87" s="157">
        <v>0.21</v>
      </c>
      <c r="AD87" s="157">
        <v>0.21</v>
      </c>
    </row>
    <row spans="1:30" r="88" x14ac:dyDescent="0.25">
      <c r="B88" s="8" t="s">
        <v>47</v>
      </c>
      <c r="F88" s="156">
        <f>F86*F87</f>
        <v>30248.034779897389</v>
      </c>
      <c r="G88" s="156">
        <f ref="G88:AD88" t="shared" si="59">G86*G87</f>
        <v>55965.674214547391</v>
      </c>
      <c r="H88" s="156">
        <f t="shared" si="59"/>
        <v>89216.256116093471</v>
      </c>
      <c r="I88" s="156">
        <f t="shared" si="59"/>
        <v>92859.037378753725</v>
      </c>
      <c r="J88" s="156">
        <f t="shared" si="59"/>
        <v>96832.096141413946</v>
      </c>
      <c r="K88" s="156">
        <f t="shared" si="59"/>
        <v>72936.652029623103</v>
      </c>
      <c r="L88" s="156">
        <f t="shared" si="59"/>
        <v>141603.69718154598</v>
      </c>
      <c r="M88" s="156">
        <f t="shared" si="59"/>
        <v>141603.69718154598</v>
      </c>
      <c r="N88" s="156">
        <f t="shared" si="59"/>
        <v>141603.69718154598</v>
      </c>
      <c r="O88" s="156">
        <f t="shared" si="59"/>
        <v>141603.69718154598</v>
      </c>
      <c r="P88" s="156">
        <f t="shared" si="59"/>
        <v>141603.69718154598</v>
      </c>
      <c r="Q88" s="156">
        <f t="shared" si="59"/>
        <v>141603.69718154598</v>
      </c>
      <c r="R88" s="156">
        <f t="shared" si="59"/>
        <v>141603.69718154598</v>
      </c>
      <c r="S88" s="156">
        <f t="shared" si="59"/>
        <v>141603.69718154598</v>
      </c>
      <c r="T88" s="156">
        <f t="shared" si="59"/>
        <v>141603.69718154598</v>
      </c>
      <c r="U88" s="156">
        <f t="shared" si="59"/>
        <v>141603.69718154598</v>
      </c>
      <c r="V88" s="156">
        <f t="shared" si="59"/>
        <v>72936.652029623103</v>
      </c>
      <c r="W88" s="156">
        <f t="shared" si="59"/>
        <v>72936.652029623103</v>
      </c>
      <c r="X88" s="156">
        <f t="shared" si="59"/>
        <v>72936.652029623103</v>
      </c>
      <c r="Y88" s="156">
        <f t="shared" si="59"/>
        <v>72936.652029623103</v>
      </c>
      <c r="Z88" s="156">
        <f t="shared" si="59"/>
        <v>72936.652029623103</v>
      </c>
      <c r="AA88" s="156">
        <f t="shared" si="59"/>
        <v>40668.326014811551</v>
      </c>
      <c r="AB88" s="156">
        <f t="shared" si="59"/>
        <v>40668.326014811551</v>
      </c>
      <c r="AC88" s="156">
        <f t="shared" si="59"/>
        <v>40668.326014811551</v>
      </c>
      <c r="AD88" s="156">
        <f t="shared" si="59"/>
        <v>40668.326014811551</v>
      </c>
    </row>
    <row spans="1:30" r="89" x14ac:dyDescent="0.25">
      <c r="B89" s="8" t="s">
        <v>48</v>
      </c>
      <c r="F89" s="156">
        <f>F86-F88</f>
        <v>265142.92986753804</v>
      </c>
      <c r="G89" s="156">
        <f ref="G89:AD89" t="shared" si="60">G86-G88</f>
        <v>210537.53633091639</v>
      </c>
      <c r="H89" s="156">
        <f t="shared" si="60"/>
        <v>335623.05872244685</v>
      </c>
      <c r="I89" s="156">
        <f t="shared" si="60"/>
        <v>349326.85490102594</v>
      </c>
      <c r="J89" s="156">
        <f t="shared" si="60"/>
        <v>364273.12357960484</v>
      </c>
      <c r="K89" s="156">
        <f t="shared" si="60"/>
        <v>274380.73858762981</v>
      </c>
      <c r="L89" s="156">
        <f t="shared" si="60"/>
        <v>532699.62273057771</v>
      </c>
      <c r="M89" s="156">
        <f t="shared" si="60"/>
        <v>532699.62273057771</v>
      </c>
      <c r="N89" s="156">
        <f t="shared" si="60"/>
        <v>532699.62273057771</v>
      </c>
      <c r="O89" s="156">
        <f t="shared" si="60"/>
        <v>532699.62273057771</v>
      </c>
      <c r="P89" s="156">
        <f t="shared" si="60"/>
        <v>532699.62273057771</v>
      </c>
      <c r="Q89" s="156">
        <f t="shared" si="60"/>
        <v>532699.62273057771</v>
      </c>
      <c r="R89" s="156">
        <f t="shared" si="60"/>
        <v>532699.62273057771</v>
      </c>
      <c r="S89" s="156">
        <f t="shared" si="60"/>
        <v>532699.62273057771</v>
      </c>
      <c r="T89" s="156">
        <f t="shared" si="60"/>
        <v>532699.62273057771</v>
      </c>
      <c r="U89" s="156">
        <f t="shared" si="60"/>
        <v>532699.62273057771</v>
      </c>
      <c r="V89" s="156">
        <f t="shared" si="60"/>
        <v>274380.73858762981</v>
      </c>
      <c r="W89" s="156">
        <f t="shared" si="60"/>
        <v>274380.73858762981</v>
      </c>
      <c r="X89" s="156">
        <f t="shared" si="60"/>
        <v>274380.73858762981</v>
      </c>
      <c r="Y89" s="156">
        <f t="shared" si="60"/>
        <v>274380.73858762981</v>
      </c>
      <c r="Z89" s="156">
        <f t="shared" si="60"/>
        <v>274380.73858762981</v>
      </c>
      <c r="AA89" s="156">
        <f t="shared" si="60"/>
        <v>152990.3692938149</v>
      </c>
      <c r="AB89" s="156">
        <f t="shared" si="60"/>
        <v>152990.3692938149</v>
      </c>
      <c r="AC89" s="156">
        <f t="shared" si="60"/>
        <v>152990.3692938149</v>
      </c>
      <c r="AD89" s="156">
        <f t="shared" si="60"/>
        <v>152990.3692938149</v>
      </c>
    </row>
    <row spans="1:30" r="90" x14ac:dyDescent="0.25">
      <c r="B90" s="8" t="s">
        <v>49</v>
      </c>
      <c r="F90" s="156">
        <f>F85</f>
        <v>40000</v>
      </c>
      <c r="G90" s="156">
        <f ref="G90:AD90" t="shared" si="61">G85</f>
        <v>50000</v>
      </c>
      <c r="H90" s="156">
        <f t="shared" si="61"/>
        <v>80000</v>
      </c>
      <c r="I90" s="156">
        <f t="shared" si="61"/>
        <v>80000</v>
      </c>
      <c r="J90" s="156">
        <f t="shared" si="61"/>
        <v>80000</v>
      </c>
      <c r="K90" s="156">
        <f t="shared" si="61"/>
        <v>120000</v>
      </c>
      <c r="L90" s="156">
        <f t="shared" si="61"/>
        <v>120000</v>
      </c>
      <c r="M90" s="156">
        <f t="shared" si="61"/>
        <v>120000</v>
      </c>
      <c r="N90" s="156">
        <f t="shared" si="61"/>
        <v>120000</v>
      </c>
      <c r="O90" s="156">
        <f t="shared" si="61"/>
        <v>120000</v>
      </c>
      <c r="P90" s="156">
        <f t="shared" si="61"/>
        <v>120000</v>
      </c>
      <c r="Q90" s="156">
        <f t="shared" si="61"/>
        <v>120000</v>
      </c>
      <c r="R90" s="156">
        <f t="shared" si="61"/>
        <v>120000</v>
      </c>
      <c r="S90" s="156">
        <f t="shared" si="61"/>
        <v>120000</v>
      </c>
      <c r="T90" s="156">
        <f t="shared" si="61"/>
        <v>120000</v>
      </c>
      <c r="U90" s="156">
        <f t="shared" si="61"/>
        <v>120000</v>
      </c>
      <c r="V90" s="156">
        <f t="shared" si="61"/>
        <v>120000</v>
      </c>
      <c r="W90" s="156">
        <f t="shared" si="61"/>
        <v>120000</v>
      </c>
      <c r="X90" s="156">
        <f t="shared" si="61"/>
        <v>120000</v>
      </c>
      <c r="Y90" s="156">
        <f t="shared" si="61"/>
        <v>120000</v>
      </c>
      <c r="Z90" s="156">
        <f t="shared" si="61"/>
        <v>120000</v>
      </c>
      <c r="AA90" s="156">
        <f t="shared" si="61"/>
        <v>40000</v>
      </c>
      <c r="AB90" s="156">
        <f t="shared" si="61"/>
        <v>40000</v>
      </c>
      <c r="AC90" s="156">
        <f t="shared" si="61"/>
        <v>40000</v>
      </c>
      <c r="AD90" s="156">
        <f t="shared" si="61"/>
        <v>40000</v>
      </c>
    </row>
    <row spans="1:30" r="91" x14ac:dyDescent="0.25">
      <c r="B91" s="8" t="s">
        <v>50</v>
      </c>
      <c r="F91" s="156">
        <f>F100</f>
        <v>5543.1416666666673</v>
      </c>
      <c r="G91" s="156">
        <f ref="G91:AD91" t="shared" si="62">G100</f>
        <v>309296.31050347222</v>
      </c>
      <c r="H91" s="156">
        <f t="shared" si="62"/>
        <v>318708.10312500002</v>
      </c>
      <c r="I91" s="156">
        <f t="shared" si="62"/>
        <v>319631.96006944444</v>
      </c>
      <c r="J91" s="156">
        <f t="shared" si="62"/>
        <v>320555.81701388891</v>
      </c>
      <c r="K91" s="156">
        <f t="shared" si="62"/>
        <v>22634.495138888895</v>
      </c>
      <c r="L91" s="156">
        <f t="shared" si="62"/>
        <v>33720.778472222228</v>
      </c>
      <c r="M91" s="156">
        <f t="shared" si="62"/>
        <v>33720.778472222228</v>
      </c>
      <c r="N91" s="156">
        <f t="shared" si="62"/>
        <v>33720.778472222228</v>
      </c>
      <c r="O91" s="156">
        <f t="shared" si="62"/>
        <v>33720.778472222228</v>
      </c>
      <c r="P91" s="156">
        <f t="shared" si="62"/>
        <v>33720.778472222228</v>
      </c>
      <c r="Q91" s="156">
        <f t="shared" si="62"/>
        <v>33720.778472222228</v>
      </c>
      <c r="R91" s="156">
        <f t="shared" si="62"/>
        <v>33720.778472222228</v>
      </c>
      <c r="S91" s="156">
        <f t="shared" si="62"/>
        <v>33720.778472222228</v>
      </c>
      <c r="T91" s="156">
        <f t="shared" si="62"/>
        <v>33720.778472222228</v>
      </c>
      <c r="U91" s="156">
        <f t="shared" si="62"/>
        <v>33720.778472222228</v>
      </c>
      <c r="V91" s="156">
        <f t="shared" si="62"/>
        <v>22634.495138888895</v>
      </c>
      <c r="W91" s="156">
        <f t="shared" si="62"/>
        <v>22634.495138888895</v>
      </c>
      <c r="X91" s="156">
        <f t="shared" si="62"/>
        <v>22634.495138888895</v>
      </c>
      <c r="Y91" s="156">
        <f t="shared" si="62"/>
        <v>22634.495138888895</v>
      </c>
      <c r="Z91" s="156">
        <f t="shared" si="62"/>
        <v>22634.495138888895</v>
      </c>
      <c r="AA91" s="156">
        <f t="shared" si="62"/>
        <v>11317.247569444447</v>
      </c>
      <c r="AB91" s="156">
        <f t="shared" si="62"/>
        <v>11317.247569444447</v>
      </c>
      <c r="AC91" s="156">
        <f t="shared" si="62"/>
        <v>11317.247569444447</v>
      </c>
      <c r="AD91" s="156">
        <f t="shared" si="62"/>
        <v>11317.247569444447</v>
      </c>
    </row>
    <row spans="1:30" r="92" s="2" x14ac:dyDescent="0.25" customFormat="1">
      <c r="B92" s="2" t="s">
        <v>51</v>
      </c>
    </row>
    <row spans="1:30" r="93" x14ac:dyDescent="0.25">
      <c r="B93" s="8" t="s">
        <v>52</v>
      </c>
      <c r="F93" s="156">
        <f>F89+F90-F91-F92</f>
        <v>299599.78820087138</v>
      </c>
      <c r="G93" s="156">
        <f ref="G93:AD93" t="shared" si="63">G89+G90-G91-G92</f>
        <v>-48758.77417255583</v>
      </c>
      <c r="H93" s="156">
        <f t="shared" si="63"/>
        <v>96914.955597446824</v>
      </c>
      <c r="I93" s="156">
        <f t="shared" si="63"/>
        <v>109694.89483158151</v>
      </c>
      <c r="J93" s="156">
        <f t="shared" si="63"/>
        <v>123717.30656571593</v>
      </c>
      <c r="K93" s="156">
        <f t="shared" si="63"/>
        <v>371746.24344874092</v>
      </c>
      <c r="L93" s="156">
        <f t="shared" si="63"/>
        <v>618978.84425835544</v>
      </c>
      <c r="M93" s="156">
        <f t="shared" si="63"/>
        <v>618978.84425835544</v>
      </c>
      <c r="N93" s="156">
        <f t="shared" si="63"/>
        <v>618978.84425835544</v>
      </c>
      <c r="O93" s="156">
        <f t="shared" si="63"/>
        <v>618978.84425835544</v>
      </c>
      <c r="P93" s="156">
        <f t="shared" si="63"/>
        <v>618978.84425835544</v>
      </c>
      <c r="Q93" s="156">
        <f t="shared" si="63"/>
        <v>618978.84425835544</v>
      </c>
      <c r="R93" s="156">
        <f t="shared" si="63"/>
        <v>618978.84425835544</v>
      </c>
      <c r="S93" s="156">
        <f t="shared" si="63"/>
        <v>618978.84425835544</v>
      </c>
      <c r="T93" s="156">
        <f t="shared" si="63"/>
        <v>618978.84425835544</v>
      </c>
      <c r="U93" s="156">
        <f t="shared" si="63"/>
        <v>618978.84425835544</v>
      </c>
      <c r="V93" s="156">
        <f t="shared" si="63"/>
        <v>371746.24344874092</v>
      </c>
      <c r="W93" s="156">
        <f t="shared" si="63"/>
        <v>371746.24344874092</v>
      </c>
      <c r="X93" s="156">
        <f t="shared" si="63"/>
        <v>371746.24344874092</v>
      </c>
      <c r="Y93" s="156">
        <f t="shared" si="63"/>
        <v>371746.24344874092</v>
      </c>
      <c r="Z93" s="156">
        <f t="shared" si="63"/>
        <v>371746.24344874092</v>
      </c>
      <c r="AA93" s="156">
        <f t="shared" si="63"/>
        <v>181673.12172437046</v>
      </c>
      <c r="AB93" s="156">
        <f t="shared" si="63"/>
        <v>181673.12172437046</v>
      </c>
      <c r="AC93" s="156">
        <f t="shared" si="63"/>
        <v>181673.12172437046</v>
      </c>
      <c r="AD93" s="156">
        <f t="shared" si="63"/>
        <v>181673.12172437046</v>
      </c>
    </row>
    <row spans="1:30" r="94" x14ac:dyDescent="0.25"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  <c r="AD94" s="158"/>
    </row>
    <row spans="1:30" r="95" x14ac:dyDescent="0.25"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</row>
    <row spans="1:30" r="96" x14ac:dyDescent="0.25"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</row>
    <row spans="1:31" r="97" x14ac:dyDescent="0.25">
      <c r="A97" s="8" t="s">
        <v>7</v>
      </c>
      <c r="B97" s="24" t="s">
        <v>53</v>
      </c>
      <c r="C97" s="24"/>
      <c r="D97" s="24"/>
      <c r="E97" s="24"/>
      <c r="F97" s="24">
        <f>F82</f>
        <v>2022</v>
      </c>
      <c r="G97" s="24">
        <f ref="G97:AD97" t="shared" si="64">G82</f>
        <v>2023</v>
      </c>
      <c r="H97" s="24">
        <f t="shared" si="64"/>
        <v>2024</v>
      </c>
      <c r="I97" s="24">
        <f t="shared" si="64"/>
        <v>2025</v>
      </c>
      <c r="J97" s="24">
        <f t="shared" si="64"/>
        <v>2026</v>
      </c>
      <c r="K97" s="24">
        <f t="shared" si="64"/>
        <v>2027</v>
      </c>
      <c r="L97" s="24">
        <f t="shared" si="64"/>
        <v>2028</v>
      </c>
      <c r="M97" s="24">
        <f t="shared" si="64"/>
        <v>2029</v>
      </c>
      <c r="N97" s="24">
        <f t="shared" si="64"/>
        <v>2030</v>
      </c>
      <c r="O97" s="24">
        <f t="shared" si="64"/>
        <v>2031</v>
      </c>
      <c r="P97" s="24">
        <f t="shared" si="64"/>
        <v>2032</v>
      </c>
      <c r="Q97" s="24">
        <f t="shared" si="64"/>
        <v>2033</v>
      </c>
      <c r="R97" s="24">
        <f t="shared" si="64"/>
        <v>2034</v>
      </c>
      <c r="S97" s="24">
        <f t="shared" si="64"/>
        <v>2035</v>
      </c>
      <c r="T97" s="24">
        <f t="shared" si="64"/>
        <v>2036</v>
      </c>
      <c r="U97" s="24">
        <f t="shared" si="64"/>
        <v>2037</v>
      </c>
      <c r="V97" s="24">
        <f t="shared" si="64"/>
        <v>2038</v>
      </c>
      <c r="W97" s="24">
        <f t="shared" si="64"/>
        <v>2039</v>
      </c>
      <c r="X97" s="24">
        <f t="shared" si="64"/>
        <v>2040</v>
      </c>
      <c r="Y97" s="24">
        <f t="shared" si="64"/>
        <v>2041</v>
      </c>
      <c r="Z97" s="24">
        <f t="shared" si="64"/>
        <v>2042</v>
      </c>
      <c r="AA97" s="24">
        <f t="shared" si="64"/>
        <v>2043</v>
      </c>
      <c r="AB97" s="24">
        <f t="shared" si="64"/>
        <v>2044</v>
      </c>
      <c r="AC97" s="24">
        <f t="shared" si="64"/>
        <v>2045</v>
      </c>
      <c r="AD97" s="24">
        <f t="shared" si="64"/>
        <v>2046</v>
      </c>
    </row>
    <row spans="1:31" r="98" x14ac:dyDescent="0.25">
      <c r="B98" s="8" t="s">
        <v>54</v>
      </c>
      <c r="F98" s="156">
        <f>0.025*F83</f>
        <v>5543.1416666666673</v>
      </c>
      <c r="G98" s="156">
        <f ref="G98:AD98" t="shared" si="65">0.025*G83</f>
        <v>9296.310503472223</v>
      </c>
      <c r="H98" s="156">
        <f t="shared" si="65"/>
        <v>18708.103125000005</v>
      </c>
      <c r="I98" s="156">
        <f t="shared" si="65"/>
        <v>19631.960069444449</v>
      </c>
      <c r="J98" s="156">
        <f t="shared" si="65"/>
        <v>20555.817013888896</v>
      </c>
      <c r="K98" s="156">
        <f t="shared" si="65"/>
        <v>22634.495138888895</v>
      </c>
      <c r="L98" s="156">
        <f t="shared" si="65"/>
        <v>33720.778472222228</v>
      </c>
      <c r="M98" s="156">
        <f t="shared" si="65"/>
        <v>33720.778472222228</v>
      </c>
      <c r="N98" s="156">
        <f t="shared" si="65"/>
        <v>33720.778472222228</v>
      </c>
      <c r="O98" s="156">
        <f t="shared" si="65"/>
        <v>33720.778472222228</v>
      </c>
      <c r="P98" s="156">
        <f t="shared" si="65"/>
        <v>33720.778472222228</v>
      </c>
      <c r="Q98" s="156">
        <f t="shared" si="65"/>
        <v>33720.778472222228</v>
      </c>
      <c r="R98" s="156">
        <f t="shared" si="65"/>
        <v>33720.778472222228</v>
      </c>
      <c r="S98" s="156">
        <f t="shared" si="65"/>
        <v>33720.778472222228</v>
      </c>
      <c r="T98" s="156">
        <f t="shared" si="65"/>
        <v>33720.778472222228</v>
      </c>
      <c r="U98" s="156">
        <f t="shared" si="65"/>
        <v>33720.778472222228</v>
      </c>
      <c r="V98" s="156">
        <f t="shared" si="65"/>
        <v>22634.495138888895</v>
      </c>
      <c r="W98" s="156">
        <f t="shared" si="65"/>
        <v>22634.495138888895</v>
      </c>
      <c r="X98" s="156">
        <f t="shared" si="65"/>
        <v>22634.495138888895</v>
      </c>
      <c r="Y98" s="156">
        <f t="shared" si="65"/>
        <v>22634.495138888895</v>
      </c>
      <c r="Z98" s="156">
        <f t="shared" si="65"/>
        <v>22634.495138888895</v>
      </c>
      <c r="AA98" s="156">
        <f t="shared" si="65"/>
        <v>11317.247569444447</v>
      </c>
      <c r="AB98" s="156">
        <f t="shared" si="65"/>
        <v>11317.247569444447</v>
      </c>
      <c r="AC98" s="156">
        <f t="shared" si="65"/>
        <v>11317.247569444447</v>
      </c>
      <c r="AD98" s="156">
        <f t="shared" si="65"/>
        <v>11317.247569444447</v>
      </c>
    </row>
    <row spans="1:31" r="99" x14ac:dyDescent="0.25">
      <c r="B99" s="8" t="s">
        <v>55</v>
      </c>
      <c r="G99" s="156">
        <f>$C$104</f>
        <v>300000</v>
      </c>
      <c r="H99" s="156">
        <f ref="H99:J99" t="shared" si="66">$C$104</f>
        <v>300000</v>
      </c>
      <c r="I99" s="156">
        <f t="shared" si="66"/>
        <v>300000</v>
      </c>
      <c r="J99" s="156">
        <f t="shared" si="66"/>
        <v>300000</v>
      </c>
    </row>
    <row spans="1:31" r="100" x14ac:dyDescent="0.25">
      <c r="B100" s="8" t="s">
        <v>56</v>
      </c>
      <c r="F100" s="230">
        <f>SUM(F98:F99)</f>
        <v>5543.1416666666673</v>
      </c>
      <c r="G100" s="230">
        <f ref="G100:AD100" t="shared" si="67">SUM(G98:G99)</f>
        <v>309296.31050347222</v>
      </c>
      <c r="H100" s="230">
        <f t="shared" si="67"/>
        <v>318708.10312500002</v>
      </c>
      <c r="I100" s="230">
        <f t="shared" si="67"/>
        <v>319631.96006944444</v>
      </c>
      <c r="J100" s="230">
        <f t="shared" si="67"/>
        <v>320555.81701388891</v>
      </c>
      <c r="K100" s="230">
        <f t="shared" si="67"/>
        <v>22634.495138888895</v>
      </c>
      <c r="L100" s="230">
        <f t="shared" si="67"/>
        <v>33720.778472222228</v>
      </c>
      <c r="M100" s="230">
        <f t="shared" si="67"/>
        <v>33720.778472222228</v>
      </c>
      <c r="N100" s="230">
        <f t="shared" si="67"/>
        <v>33720.778472222228</v>
      </c>
      <c r="O100" s="230">
        <f t="shared" si="67"/>
        <v>33720.778472222228</v>
      </c>
      <c r="P100" s="230">
        <f t="shared" si="67"/>
        <v>33720.778472222228</v>
      </c>
      <c r="Q100" s="230">
        <f t="shared" si="67"/>
        <v>33720.778472222228</v>
      </c>
      <c r="R100" s="230">
        <f t="shared" si="67"/>
        <v>33720.778472222228</v>
      </c>
      <c r="S100" s="230">
        <f t="shared" si="67"/>
        <v>33720.778472222228</v>
      </c>
      <c r="T100" s="230">
        <f t="shared" si="67"/>
        <v>33720.778472222228</v>
      </c>
      <c r="U100" s="230">
        <f t="shared" si="67"/>
        <v>33720.778472222228</v>
      </c>
      <c r="V100" s="230">
        <f t="shared" si="67"/>
        <v>22634.495138888895</v>
      </c>
      <c r="W100" s="230">
        <f t="shared" si="67"/>
        <v>22634.495138888895</v>
      </c>
      <c r="X100" s="230">
        <f t="shared" si="67"/>
        <v>22634.495138888895</v>
      </c>
      <c r="Y100" s="230">
        <f t="shared" si="67"/>
        <v>22634.495138888895</v>
      </c>
      <c r="Z100" s="230">
        <f t="shared" si="67"/>
        <v>22634.495138888895</v>
      </c>
      <c r="AA100" s="230">
        <f t="shared" si="67"/>
        <v>11317.247569444447</v>
      </c>
      <c r="AB100" s="230">
        <f t="shared" si="67"/>
        <v>11317.247569444447</v>
      </c>
      <c r="AC100" s="230">
        <f t="shared" si="67"/>
        <v>11317.247569444447</v>
      </c>
      <c r="AD100" s="230">
        <f t="shared" si="67"/>
        <v>11317.247569444447</v>
      </c>
    </row>
    <row spans="1:31" r="102" x14ac:dyDescent="0.25">
      <c r="B102" s="8" t="s">
        <v>57</v>
      </c>
      <c r="C102" s="8" t="s">
        <v>58</v>
      </c>
    </row>
    <row spans="1:31" r="103" x14ac:dyDescent="0.25">
      <c r="B103" s="8" t="s">
        <v>59</v>
      </c>
      <c r="C103" s="8" t="s">
        <v>60</v>
      </c>
    </row>
    <row spans="1:31" r="104" x14ac:dyDescent="0.25">
      <c r="B104" s="8" t="s">
        <v>61</v>
      </c>
      <c r="C104" s="8">
        <v>300000</v>
      </c>
    </row>
    <row spans="1:31" r="105" x14ac:dyDescent="0.25">
      <c r="B105" s="8" t="s">
        <v>62</v>
      </c>
    </row>
    <row spans="1:31" r="108" x14ac:dyDescent="0.25">
      <c r="B108" s="8" t="s">
        <v>63</v>
      </c>
    </row>
    <row spans="1:31" r="109" x14ac:dyDescent="0.25">
      <c r="B109" s="156">
        <v>1200000</v>
      </c>
    </row>
    <row spans="1:31" r="110" x14ac:dyDescent="0.25">
      <c r="B110" s="156">
        <f>B109/30</f>
        <v>40000</v>
      </c>
    </row>
    <row spans="1:31" r="111" x14ac:dyDescent="0.25">
      <c r="A111" s="8" t="s">
        <v>7</v>
      </c>
      <c r="B111" s="24" t="s">
        <v>64</v>
      </c>
      <c r="C111" s="24">
        <v>2018</v>
      </c>
      <c r="D111" s="24">
        <f>C111+1</f>
        <v>2019</v>
      </c>
      <c r="E111" s="24">
        <f>D111+1</f>
        <v>2020</v>
      </c>
      <c r="F111" s="24">
        <f ref="F111:AE111" t="shared" si="68">E111+1</f>
        <v>2021</v>
      </c>
      <c r="G111" s="24">
        <f t="shared" si="68"/>
        <v>2022</v>
      </c>
      <c r="H111" s="24">
        <f t="shared" si="68"/>
        <v>2023</v>
      </c>
      <c r="I111" s="24">
        <f t="shared" si="68"/>
        <v>2024</v>
      </c>
      <c r="J111" s="24">
        <f t="shared" si="68"/>
        <v>2025</v>
      </c>
      <c r="K111" s="24">
        <f t="shared" si="68"/>
        <v>2026</v>
      </c>
      <c r="L111" s="24">
        <f t="shared" si="68"/>
        <v>2027</v>
      </c>
      <c r="M111" s="24">
        <f t="shared" si="68"/>
        <v>2028</v>
      </c>
      <c r="N111" s="24">
        <f t="shared" si="68"/>
        <v>2029</v>
      </c>
      <c r="O111" s="24">
        <f t="shared" si="68"/>
        <v>2030</v>
      </c>
      <c r="P111" s="24">
        <f t="shared" si="68"/>
        <v>2031</v>
      </c>
      <c r="Q111" s="24">
        <f t="shared" si="68"/>
        <v>2032</v>
      </c>
      <c r="R111" s="24">
        <f t="shared" si="68"/>
        <v>2033</v>
      </c>
      <c r="S111" s="24">
        <f t="shared" si="68"/>
        <v>2034</v>
      </c>
      <c r="T111" s="24">
        <f t="shared" si="68"/>
        <v>2035</v>
      </c>
      <c r="U111" s="24">
        <f t="shared" si="68"/>
        <v>2036</v>
      </c>
      <c r="V111" s="24">
        <f t="shared" si="68"/>
        <v>2037</v>
      </c>
      <c r="W111" s="24">
        <f t="shared" si="68"/>
        <v>2038</v>
      </c>
      <c r="X111" s="24">
        <f t="shared" si="68"/>
        <v>2039</v>
      </c>
      <c r="Y111" s="24">
        <f t="shared" si="68"/>
        <v>2040</v>
      </c>
      <c r="Z111" s="24">
        <f t="shared" si="68"/>
        <v>2041</v>
      </c>
      <c r="AA111" s="24">
        <f t="shared" si="68"/>
        <v>2042</v>
      </c>
      <c r="AB111" s="24">
        <f t="shared" si="68"/>
        <v>2043</v>
      </c>
      <c r="AC111" s="24">
        <f t="shared" si="68"/>
        <v>2044</v>
      </c>
      <c r="AD111" s="24">
        <f t="shared" si="68"/>
        <v>2045</v>
      </c>
      <c r="AE111" s="24">
        <f t="shared" si="68"/>
        <v>2046</v>
      </c>
    </row>
    <row spans="1:31" r="112" x14ac:dyDescent="0.25">
      <c r="B112" s="8" t="s">
        <v>65</v>
      </c>
      <c r="C112" s="213">
        <f>$B$110</f>
        <v>40000</v>
      </c>
      <c r="D112" s="213">
        <f ref="D112:AE114" t="shared" si="69">$B$110</f>
        <v>40000</v>
      </c>
      <c r="E112" s="213">
        <f t="shared" si="69"/>
        <v>40000</v>
      </c>
      <c r="F112" s="213">
        <f t="shared" si="69"/>
        <v>40000</v>
      </c>
      <c r="G112" s="214">
        <f t="shared" si="69"/>
        <v>40000</v>
      </c>
      <c r="H112" s="213">
        <f t="shared" si="69"/>
        <v>40000</v>
      </c>
      <c r="I112" s="213">
        <f t="shared" si="69"/>
        <v>40000</v>
      </c>
      <c r="J112" s="213">
        <f t="shared" si="69"/>
        <v>40000</v>
      </c>
      <c r="K112" s="213">
        <f t="shared" si="69"/>
        <v>40000</v>
      </c>
      <c r="L112" s="213">
        <f t="shared" si="69"/>
        <v>40000</v>
      </c>
      <c r="M112" s="213">
        <f t="shared" si="69"/>
        <v>40000</v>
      </c>
      <c r="N112" s="213">
        <f t="shared" si="69"/>
        <v>40000</v>
      </c>
      <c r="O112" s="213">
        <f t="shared" si="69"/>
        <v>40000</v>
      </c>
      <c r="P112" s="213">
        <f t="shared" si="69"/>
        <v>40000</v>
      </c>
      <c r="Q112" s="213">
        <f t="shared" si="69"/>
        <v>40000</v>
      </c>
      <c r="R112" s="213">
        <f t="shared" si="69"/>
        <v>40000</v>
      </c>
      <c r="S112" s="213">
        <f t="shared" si="69"/>
        <v>40000</v>
      </c>
      <c r="T112" s="213">
        <f t="shared" si="69"/>
        <v>40000</v>
      </c>
      <c r="U112" s="213">
        <f t="shared" si="69"/>
        <v>40000</v>
      </c>
      <c r="V112" s="213">
        <f t="shared" si="69"/>
        <v>40000</v>
      </c>
      <c r="W112" s="213">
        <f t="shared" si="69"/>
        <v>40000</v>
      </c>
      <c r="X112" s="213">
        <f t="shared" si="69"/>
        <v>40000</v>
      </c>
      <c r="Y112" s="213">
        <f t="shared" si="69"/>
        <v>40000</v>
      </c>
      <c r="Z112" s="213">
        <f t="shared" si="69"/>
        <v>40000</v>
      </c>
      <c r="AA112" s="213">
        <f t="shared" si="69"/>
        <v>40000</v>
      </c>
      <c r="AB112" s="156"/>
      <c r="AC112" s="156"/>
      <c r="AD112" s="156"/>
      <c r="AE112" s="156"/>
    </row>
    <row spans="1:31" r="113" x14ac:dyDescent="0.25">
      <c r="B113" s="8" t="s">
        <v>66</v>
      </c>
      <c r="C113" s="215"/>
      <c r="D113" s="215"/>
      <c r="E113" s="215"/>
      <c r="F113" s="215"/>
      <c r="G113" s="216"/>
      <c r="H113" s="213">
        <f>$B$110*0.25</f>
        <v>10000</v>
      </c>
      <c r="I113" s="213">
        <f t="shared" si="69"/>
        <v>40000</v>
      </c>
      <c r="J113" s="213">
        <f t="shared" si="69"/>
        <v>40000</v>
      </c>
      <c r="K113" s="213">
        <f t="shared" si="69"/>
        <v>40000</v>
      </c>
      <c r="L113" s="213">
        <f t="shared" si="69"/>
        <v>40000</v>
      </c>
      <c r="M113" s="213">
        <f t="shared" si="69"/>
        <v>40000</v>
      </c>
      <c r="N113" s="213">
        <f t="shared" si="69"/>
        <v>40000</v>
      </c>
      <c r="O113" s="213">
        <f t="shared" si="69"/>
        <v>40000</v>
      </c>
      <c r="P113" s="213">
        <f t="shared" si="69"/>
        <v>40000</v>
      </c>
      <c r="Q113" s="213">
        <f t="shared" si="69"/>
        <v>40000</v>
      </c>
      <c r="R113" s="213">
        <f t="shared" si="69"/>
        <v>40000</v>
      </c>
      <c r="S113" s="213">
        <f t="shared" si="69"/>
        <v>40000</v>
      </c>
      <c r="T113" s="213">
        <f t="shared" si="69"/>
        <v>40000</v>
      </c>
      <c r="U113" s="213">
        <f t="shared" si="69"/>
        <v>40000</v>
      </c>
      <c r="V113" s="213">
        <f t="shared" si="69"/>
        <v>40000</v>
      </c>
      <c r="W113" s="213">
        <f t="shared" si="69"/>
        <v>40000</v>
      </c>
      <c r="X113" s="213">
        <f t="shared" si="69"/>
        <v>40000</v>
      </c>
      <c r="Y113" s="213">
        <f t="shared" si="69"/>
        <v>40000</v>
      </c>
      <c r="Z113" s="213">
        <f t="shared" si="69"/>
        <v>40000</v>
      </c>
      <c r="AA113" s="213">
        <f t="shared" si="69"/>
        <v>40000</v>
      </c>
      <c r="AB113" s="156"/>
      <c r="AC113" s="156"/>
      <c r="AD113" s="156"/>
      <c r="AE113" s="156"/>
    </row>
    <row spans="1:31" r="114" x14ac:dyDescent="0.25">
      <c r="B114" s="8" t="s">
        <v>67</v>
      </c>
      <c r="C114" s="215"/>
      <c r="D114" s="215"/>
      <c r="E114" s="215"/>
      <c r="F114" s="215"/>
      <c r="G114" s="216"/>
      <c r="H114" s="215"/>
      <c r="I114" s="215"/>
      <c r="J114" s="215"/>
      <c r="K114" s="215"/>
      <c r="L114" s="213">
        <f>$B$110</f>
        <v>40000</v>
      </c>
      <c r="M114" s="213">
        <f t="shared" si="69"/>
        <v>40000</v>
      </c>
      <c r="N114" s="213">
        <f t="shared" si="69"/>
        <v>40000</v>
      </c>
      <c r="O114" s="213">
        <f t="shared" si="69"/>
        <v>40000</v>
      </c>
      <c r="P114" s="213">
        <f t="shared" si="69"/>
        <v>40000</v>
      </c>
      <c r="Q114" s="213">
        <f t="shared" si="69"/>
        <v>40000</v>
      </c>
      <c r="R114" s="213">
        <f t="shared" si="69"/>
        <v>40000</v>
      </c>
      <c r="S114" s="213">
        <f t="shared" si="69"/>
        <v>40000</v>
      </c>
      <c r="T114" s="213">
        <f t="shared" si="69"/>
        <v>40000</v>
      </c>
      <c r="U114" s="213">
        <f t="shared" si="69"/>
        <v>40000</v>
      </c>
      <c r="V114" s="213">
        <f t="shared" si="69"/>
        <v>40000</v>
      </c>
      <c r="W114" s="213">
        <f t="shared" si="69"/>
        <v>40000</v>
      </c>
      <c r="X114" s="213">
        <f t="shared" si="69"/>
        <v>40000</v>
      </c>
      <c r="Y114" s="213">
        <f t="shared" si="69"/>
        <v>40000</v>
      </c>
      <c r="Z114" s="213">
        <f t="shared" si="69"/>
        <v>40000</v>
      </c>
      <c r="AA114" s="213">
        <f t="shared" si="69"/>
        <v>40000</v>
      </c>
      <c r="AB114" s="156">
        <f t="shared" si="69"/>
        <v>40000</v>
      </c>
      <c r="AC114" s="156">
        <f t="shared" si="69"/>
        <v>40000</v>
      </c>
      <c r="AD114" s="156">
        <f t="shared" si="69"/>
        <v>40000</v>
      </c>
      <c r="AE114" s="156">
        <f t="shared" si="69"/>
        <v>40000</v>
      </c>
    </row>
    <row spans="1:31" r="115" x14ac:dyDescent="0.25">
      <c r="B115" s="8" t="s">
        <v>116</v>
      </c>
      <c r="C115" s="212" t="s">
        <v>117</v>
      </c>
      <c r="D115" s="212" t="s">
        <v>117</v>
      </c>
      <c r="E115" s="212" t="s">
        <v>117</v>
      </c>
      <c r="F115" s="212" t="s">
        <v>117</v>
      </c>
      <c r="G115" s="217">
        <f ref="G115:AE115" t="shared" si="70">SUM(G112:G114)</f>
        <v>40000</v>
      </c>
      <c r="H115" s="218">
        <f t="shared" si="70"/>
        <v>50000</v>
      </c>
      <c r="I115" s="218">
        <f t="shared" si="70"/>
        <v>80000</v>
      </c>
      <c r="J115" s="218">
        <f t="shared" si="70"/>
        <v>80000</v>
      </c>
      <c r="K115" s="218">
        <f t="shared" si="70"/>
        <v>80000</v>
      </c>
      <c r="L115" s="218">
        <f t="shared" si="70"/>
        <v>120000</v>
      </c>
      <c r="M115" s="218">
        <f t="shared" si="70"/>
        <v>120000</v>
      </c>
      <c r="N115" s="218">
        <f t="shared" si="70"/>
        <v>120000</v>
      </c>
      <c r="O115" s="218">
        <f t="shared" si="70"/>
        <v>120000</v>
      </c>
      <c r="P115" s="218">
        <f t="shared" si="70"/>
        <v>120000</v>
      </c>
      <c r="Q115" s="218">
        <f t="shared" si="70"/>
        <v>120000</v>
      </c>
      <c r="R115" s="218">
        <f t="shared" si="70"/>
        <v>120000</v>
      </c>
      <c r="S115" s="218">
        <f t="shared" si="70"/>
        <v>120000</v>
      </c>
      <c r="T115" s="218">
        <f t="shared" si="70"/>
        <v>120000</v>
      </c>
      <c r="U115" s="218">
        <f t="shared" si="70"/>
        <v>120000</v>
      </c>
      <c r="V115" s="218">
        <f t="shared" si="70"/>
        <v>120000</v>
      </c>
      <c r="W115" s="218">
        <f t="shared" si="70"/>
        <v>120000</v>
      </c>
      <c r="X115" s="218">
        <f t="shared" si="70"/>
        <v>120000</v>
      </c>
      <c r="Y115" s="218">
        <f t="shared" si="70"/>
        <v>120000</v>
      </c>
      <c r="Z115" s="218">
        <f t="shared" si="70"/>
        <v>120000</v>
      </c>
      <c r="AA115" s="218">
        <f t="shared" si="70"/>
        <v>120000</v>
      </c>
      <c r="AB115" s="210">
        <f t="shared" si="70"/>
        <v>40000</v>
      </c>
      <c r="AC115" s="210">
        <f t="shared" si="70"/>
        <v>40000</v>
      </c>
      <c r="AD115" s="210">
        <f t="shared" si="70"/>
        <v>40000</v>
      </c>
      <c r="AE115" s="210">
        <f t="shared" si="70"/>
        <v>40000</v>
      </c>
    </row>
    <row spans="1:31" r="119" x14ac:dyDescent="0.25">
      <c r="A119" s="8" t="s">
        <v>40</v>
      </c>
      <c r="B119" s="24" t="s">
        <v>118</v>
      </c>
      <c r="C119" s="24"/>
      <c r="D119" s="24"/>
      <c r="E119" s="24">
        <v>2020</v>
      </c>
      <c r="F119" s="24">
        <v>2021</v>
      </c>
      <c r="G119" s="24">
        <f>F119+1</f>
        <v>2022</v>
      </c>
      <c r="H119" s="24">
        <f ref="H119:AE119" t="shared" si="71">G119+1</f>
        <v>2023</v>
      </c>
      <c r="I119" s="24">
        <f t="shared" si="71"/>
        <v>2024</v>
      </c>
      <c r="J119" s="24">
        <f t="shared" si="71"/>
        <v>2025</v>
      </c>
      <c r="K119" s="24">
        <f t="shared" si="71"/>
        <v>2026</v>
      </c>
      <c r="L119" s="24">
        <f t="shared" si="71"/>
        <v>2027</v>
      </c>
      <c r="M119" s="24">
        <f t="shared" si="71"/>
        <v>2028</v>
      </c>
      <c r="N119" s="24">
        <f t="shared" si="71"/>
        <v>2029</v>
      </c>
      <c r="O119" s="24">
        <f t="shared" si="71"/>
        <v>2030</v>
      </c>
      <c r="P119" s="24">
        <f t="shared" si="71"/>
        <v>2031</v>
      </c>
      <c r="Q119" s="24">
        <f t="shared" si="71"/>
        <v>2032</v>
      </c>
      <c r="R119" s="24">
        <f t="shared" si="71"/>
        <v>2033</v>
      </c>
      <c r="S119" s="24">
        <f t="shared" si="71"/>
        <v>2034</v>
      </c>
      <c r="T119" s="24">
        <f t="shared" si="71"/>
        <v>2035</v>
      </c>
      <c r="U119" s="24">
        <f t="shared" si="71"/>
        <v>2036</v>
      </c>
      <c r="V119" s="24">
        <f t="shared" si="71"/>
        <v>2037</v>
      </c>
      <c r="W119" s="24">
        <f t="shared" si="71"/>
        <v>2038</v>
      </c>
      <c r="X119" s="24">
        <f t="shared" si="71"/>
        <v>2039</v>
      </c>
      <c r="Y119" s="24">
        <f t="shared" si="71"/>
        <v>2040</v>
      </c>
      <c r="Z119" s="24">
        <f t="shared" si="71"/>
        <v>2041</v>
      </c>
      <c r="AA119" s="24">
        <f t="shared" si="71"/>
        <v>2042</v>
      </c>
      <c r="AB119" s="24">
        <f t="shared" si="71"/>
        <v>2043</v>
      </c>
      <c r="AC119" s="24">
        <f t="shared" si="71"/>
        <v>2044</v>
      </c>
      <c r="AD119" s="24">
        <f t="shared" si="71"/>
        <v>2045</v>
      </c>
      <c r="AE119" s="24">
        <f t="shared" si="71"/>
        <v>2046</v>
      </c>
    </row>
    <row spans="1:31" r="120" x14ac:dyDescent="0.25">
      <c r="B120" s="151" t="s">
        <v>71</v>
      </c>
      <c r="G120" s="159"/>
    </row>
    <row spans="1:31" r="121" x14ac:dyDescent="0.25">
      <c r="B121" s="8" t="s">
        <v>72</v>
      </c>
      <c r="E121" s="213">
        <f>'Balance Sheet'!F9</f>
        <v>19544.124000417218</v>
      </c>
      <c r="F121" s="213">
        <f>'Balance Sheet'!G9</f>
        <v>62931.979369805093</v>
      </c>
      <c r="G121" s="214">
        <f>G134*G84</f>
        <v>70489.583875777418</v>
      </c>
      <c r="H121" s="213">
        <f ref="H121:AE121" t="shared" si="72">H134*H84</f>
        <v>112434.60426759112</v>
      </c>
      <c r="I121" s="213">
        <f t="shared" si="72"/>
        <v>116297.92376882021</v>
      </c>
      <c r="J121" s="213">
        <f t="shared" si="72"/>
        <v>120511.51615622178</v>
      </c>
      <c r="K121" s="213">
        <f t="shared" si="72"/>
        <v>104077.95973302619</v>
      </c>
      <c r="L121" s="213">
        <f t="shared" si="72"/>
        <v>176902.18811765092</v>
      </c>
      <c r="M121" s="213">
        <f t="shared" si="72"/>
        <v>176902.18811765092</v>
      </c>
      <c r="N121" s="213">
        <f t="shared" si="72"/>
        <v>176902.18811765092</v>
      </c>
      <c r="O121" s="213">
        <f t="shared" si="72"/>
        <v>176902.18811765092</v>
      </c>
      <c r="P121" s="213">
        <f t="shared" si="72"/>
        <v>176902.18811765092</v>
      </c>
      <c r="Q121" s="213">
        <f t="shared" si="72"/>
        <v>176902.18811765092</v>
      </c>
      <c r="R121" s="213">
        <f t="shared" si="72"/>
        <v>176902.18811765092</v>
      </c>
      <c r="S121" s="213">
        <f t="shared" si="72"/>
        <v>176902.18811765092</v>
      </c>
      <c r="T121" s="213">
        <f t="shared" si="72"/>
        <v>176902.18811765092</v>
      </c>
      <c r="U121" s="213">
        <f t="shared" si="72"/>
        <v>176902.18811765092</v>
      </c>
      <c r="V121" s="213">
        <f t="shared" si="72"/>
        <v>104077.95973302619</v>
      </c>
      <c r="W121" s="213">
        <f t="shared" si="72"/>
        <v>104077.95973302619</v>
      </c>
      <c r="X121" s="213">
        <f t="shared" si="72"/>
        <v>104077.95973302619</v>
      </c>
      <c r="Y121" s="213">
        <f t="shared" si="72"/>
        <v>104077.95973302619</v>
      </c>
      <c r="Z121" s="213">
        <f t="shared" si="72"/>
        <v>104077.95973302619</v>
      </c>
      <c r="AA121" s="213">
        <f t="shared" si="72"/>
        <v>52038.979866513095</v>
      </c>
      <c r="AB121" s="213">
        <f t="shared" si="72"/>
        <v>52038.979866513095</v>
      </c>
      <c r="AC121" s="213">
        <f t="shared" si="72"/>
        <v>52038.979866513095</v>
      </c>
      <c r="AD121" s="213">
        <f t="shared" si="72"/>
        <v>52038.979866513095</v>
      </c>
      <c r="AE121" s="219">
        <f t="shared" si="72"/>
        <v>0</v>
      </c>
    </row>
    <row spans="1:31" r="122" x14ac:dyDescent="0.25">
      <c r="B122" s="8" t="s">
        <v>73</v>
      </c>
      <c r="E122" s="213">
        <f>'Balance Sheet'!F11</f>
        <v>1035.4762533898893</v>
      </c>
      <c r="F122" s="213">
        <f>'Balance Sheet'!G11</f>
        <v>1704.5005257158034</v>
      </c>
      <c r="G122" s="214">
        <f>G84/G135</f>
        <v>1242.1950513860406</v>
      </c>
      <c r="H122" s="213">
        <f ref="H122:AE122" t="shared" si="73">H84/H135</f>
        <v>1981.3666267611959</v>
      </c>
      <c r="I122" s="213">
        <f t="shared" si="73"/>
        <v>2049.4475559209873</v>
      </c>
      <c r="J122" s="213">
        <f t="shared" si="73"/>
        <v>2123.7011310507837</v>
      </c>
      <c r="K122" s="213">
        <f t="shared" si="73"/>
        <v>1834.1025642392453</v>
      </c>
      <c r="L122" s="213">
        <f t="shared" si="73"/>
        <v>3117.4396354270557</v>
      </c>
      <c r="M122" s="213">
        <f t="shared" si="73"/>
        <v>3117.4396354270557</v>
      </c>
      <c r="N122" s="213">
        <f t="shared" si="73"/>
        <v>3117.4396354270557</v>
      </c>
      <c r="O122" s="213">
        <f t="shared" si="73"/>
        <v>3117.4396354270557</v>
      </c>
      <c r="P122" s="213">
        <f t="shared" si="73"/>
        <v>3117.4396354270557</v>
      </c>
      <c r="Q122" s="213">
        <f t="shared" si="73"/>
        <v>3117.4396354270557</v>
      </c>
      <c r="R122" s="213">
        <f t="shared" si="73"/>
        <v>3117.4396354270557</v>
      </c>
      <c r="S122" s="213">
        <f t="shared" si="73"/>
        <v>3117.4396354270557</v>
      </c>
      <c r="T122" s="213">
        <f t="shared" si="73"/>
        <v>3117.4396354270557</v>
      </c>
      <c r="U122" s="213">
        <f t="shared" si="73"/>
        <v>3117.4396354270557</v>
      </c>
      <c r="V122" s="213">
        <f t="shared" si="73"/>
        <v>1834.1025642392453</v>
      </c>
      <c r="W122" s="213">
        <f t="shared" si="73"/>
        <v>1834.1025642392453</v>
      </c>
      <c r="X122" s="213">
        <f t="shared" si="73"/>
        <v>1834.1025642392453</v>
      </c>
      <c r="Y122" s="213">
        <f t="shared" si="73"/>
        <v>1834.1025642392453</v>
      </c>
      <c r="Z122" s="213">
        <f t="shared" si="73"/>
        <v>1834.1025642392453</v>
      </c>
      <c r="AA122" s="213">
        <f t="shared" si="73"/>
        <v>917.05128211962267</v>
      </c>
      <c r="AB122" s="213">
        <f t="shared" si="73"/>
        <v>917.05128211962267</v>
      </c>
      <c r="AC122" s="213">
        <f t="shared" si="73"/>
        <v>917.05128211962267</v>
      </c>
      <c r="AD122" s="213">
        <f t="shared" si="73"/>
        <v>917.05128211962267</v>
      </c>
      <c r="AE122" s="219">
        <f t="shared" si="73"/>
        <v>0</v>
      </c>
    </row>
    <row spans="1:31" r="123" x14ac:dyDescent="0.25">
      <c r="B123" s="151" t="s">
        <v>74</v>
      </c>
      <c r="E123" s="213">
        <f>SUM(E121:E122)</f>
        <v>20579.600253807108</v>
      </c>
      <c r="F123" s="213">
        <f>SUM(F121:F122)</f>
        <v>64636.479895520897</v>
      </c>
      <c r="G123" s="214">
        <f>SUM(G121:G122)</f>
        <v>71731.778927163454</v>
      </c>
      <c r="H123" s="213">
        <f ref="H123:AE123" t="shared" si="74">SUM(H121:H122)</f>
        <v>114415.97089435231</v>
      </c>
      <c r="I123" s="213">
        <f t="shared" si="74"/>
        <v>118347.37132474119</v>
      </c>
      <c r="J123" s="213">
        <f t="shared" si="74"/>
        <v>122635.21728727256</v>
      </c>
      <c r="K123" s="213">
        <f t="shared" si="74"/>
        <v>105912.06229726544</v>
      </c>
      <c r="L123" s="213">
        <f t="shared" si="74"/>
        <v>180019.62775307798</v>
      </c>
      <c r="M123" s="213">
        <f t="shared" si="74"/>
        <v>180019.62775307798</v>
      </c>
      <c r="N123" s="213">
        <f t="shared" si="74"/>
        <v>180019.62775307798</v>
      </c>
      <c r="O123" s="213">
        <f t="shared" si="74"/>
        <v>180019.62775307798</v>
      </c>
      <c r="P123" s="213">
        <f t="shared" si="74"/>
        <v>180019.62775307798</v>
      </c>
      <c r="Q123" s="213">
        <f t="shared" si="74"/>
        <v>180019.62775307798</v>
      </c>
      <c r="R123" s="213">
        <f t="shared" si="74"/>
        <v>180019.62775307798</v>
      </c>
      <c r="S123" s="213">
        <f t="shared" si="74"/>
        <v>180019.62775307798</v>
      </c>
      <c r="T123" s="213">
        <f t="shared" si="74"/>
        <v>180019.62775307798</v>
      </c>
      <c r="U123" s="213">
        <f t="shared" si="74"/>
        <v>180019.62775307798</v>
      </c>
      <c r="V123" s="213">
        <f t="shared" si="74"/>
        <v>105912.06229726544</v>
      </c>
      <c r="W123" s="213">
        <f t="shared" si="74"/>
        <v>105912.06229726544</v>
      </c>
      <c r="X123" s="213">
        <f t="shared" si="74"/>
        <v>105912.06229726544</v>
      </c>
      <c r="Y123" s="213">
        <f t="shared" si="74"/>
        <v>105912.06229726544</v>
      </c>
      <c r="Z123" s="213">
        <f t="shared" si="74"/>
        <v>105912.06229726544</v>
      </c>
      <c r="AA123" s="213">
        <f t="shared" si="74"/>
        <v>52956.031148632719</v>
      </c>
      <c r="AB123" s="213">
        <f t="shared" si="74"/>
        <v>52956.031148632719</v>
      </c>
      <c r="AC123" s="213">
        <f t="shared" si="74"/>
        <v>52956.031148632719</v>
      </c>
      <c r="AD123" s="213">
        <f t="shared" si="74"/>
        <v>52956.031148632719</v>
      </c>
      <c r="AE123" s="219">
        <f t="shared" si="74"/>
        <v>0</v>
      </c>
    </row>
    <row spans="1:31" r="124" x14ac:dyDescent="0.25">
      <c r="B124" s="151"/>
      <c r="E124" s="215"/>
      <c r="F124" s="215"/>
      <c r="G124" s="216"/>
      <c r="H124" s="215"/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</row>
    <row spans="1:31" r="125" x14ac:dyDescent="0.25">
      <c r="B125" s="151" t="s">
        <v>75</v>
      </c>
      <c r="E125" s="213">
        <f>'Balance Sheet'!F25</f>
        <v>90876.27885752033</v>
      </c>
      <c r="F125" s="213">
        <f>'Balance Sheet'!G25</f>
        <v>125638.90987570971</v>
      </c>
      <c r="G125" s="214">
        <f>G138*G139</f>
        <v>109810.22691377912</v>
      </c>
      <c r="H125" s="213">
        <f ref="H125:AE125" t="shared" si="75">H138*H139</f>
        <v>184160.90138665037</v>
      </c>
      <c r="I125" s="213">
        <f t="shared" si="75"/>
        <v>370609.5158340045</v>
      </c>
      <c r="J125" s="213">
        <f t="shared" si="75"/>
        <v>388911.22031963436</v>
      </c>
      <c r="K125" s="213">
        <f t="shared" si="75"/>
        <v>407212.92480526422</v>
      </c>
      <c r="L125" s="213">
        <f t="shared" si="75"/>
        <v>448391.75989793142</v>
      </c>
      <c r="M125" s="213">
        <f t="shared" si="75"/>
        <v>668012.21372548956</v>
      </c>
      <c r="N125" s="213">
        <f t="shared" si="75"/>
        <v>668012.21372548956</v>
      </c>
      <c r="O125" s="213">
        <f t="shared" si="75"/>
        <v>668012.21372548956</v>
      </c>
      <c r="P125" s="213">
        <f t="shared" si="75"/>
        <v>668012.21372548956</v>
      </c>
      <c r="Q125" s="213">
        <f t="shared" si="75"/>
        <v>668012.21372548956</v>
      </c>
      <c r="R125" s="213">
        <f t="shared" si="75"/>
        <v>668012.21372548956</v>
      </c>
      <c r="S125" s="213">
        <f t="shared" si="75"/>
        <v>668012.21372548956</v>
      </c>
      <c r="T125" s="213">
        <f t="shared" si="75"/>
        <v>668012.21372548956</v>
      </c>
      <c r="U125" s="213">
        <f t="shared" si="75"/>
        <v>668012.21372548956</v>
      </c>
      <c r="V125" s="213">
        <f t="shared" si="75"/>
        <v>668012.21372548956</v>
      </c>
      <c r="W125" s="213">
        <f t="shared" si="75"/>
        <v>448391.75989793142</v>
      </c>
      <c r="X125" s="213">
        <f t="shared" si="75"/>
        <v>448391.75989793142</v>
      </c>
      <c r="Y125" s="213">
        <f t="shared" si="75"/>
        <v>448391.75989793142</v>
      </c>
      <c r="Z125" s="213">
        <f t="shared" si="75"/>
        <v>448391.75989793142</v>
      </c>
      <c r="AA125" s="213">
        <f t="shared" si="75"/>
        <v>448391.75989793142</v>
      </c>
      <c r="AB125" s="213">
        <f t="shared" si="75"/>
        <v>224195.87994896571</v>
      </c>
      <c r="AC125" s="213">
        <f t="shared" si="75"/>
        <v>224195.87994896571</v>
      </c>
      <c r="AD125" s="213">
        <f t="shared" si="75"/>
        <v>224195.87994896571</v>
      </c>
      <c r="AE125" s="213">
        <f t="shared" si="75"/>
        <v>224195.87994896571</v>
      </c>
    </row>
    <row spans="1:31" r="126" x14ac:dyDescent="0.25">
      <c r="B126" s="8" t="s">
        <v>76</v>
      </c>
      <c r="E126" s="213">
        <f>SUM(E125)</f>
        <v>90876.27885752033</v>
      </c>
      <c r="F126" s="213">
        <f>SUM(F125)</f>
        <v>125638.90987570971</v>
      </c>
      <c r="G126" s="214">
        <f>SUM(G125)</f>
        <v>109810.22691377912</v>
      </c>
      <c r="H126" s="213">
        <f ref="H126:AE126" t="shared" si="76">SUM(H125)</f>
        <v>184160.90138665037</v>
      </c>
      <c r="I126" s="213">
        <f t="shared" si="76"/>
        <v>370609.5158340045</v>
      </c>
      <c r="J126" s="213">
        <f t="shared" si="76"/>
        <v>388911.22031963436</v>
      </c>
      <c r="K126" s="213">
        <f t="shared" si="76"/>
        <v>407212.92480526422</v>
      </c>
      <c r="L126" s="213">
        <f t="shared" si="76"/>
        <v>448391.75989793142</v>
      </c>
      <c r="M126" s="213">
        <f t="shared" si="76"/>
        <v>668012.21372548956</v>
      </c>
      <c r="N126" s="213">
        <f t="shared" si="76"/>
        <v>668012.21372548956</v>
      </c>
      <c r="O126" s="213">
        <f t="shared" si="76"/>
        <v>668012.21372548956</v>
      </c>
      <c r="P126" s="213">
        <f t="shared" si="76"/>
        <v>668012.21372548956</v>
      </c>
      <c r="Q126" s="213">
        <f t="shared" si="76"/>
        <v>668012.21372548956</v>
      </c>
      <c r="R126" s="213">
        <f t="shared" si="76"/>
        <v>668012.21372548956</v>
      </c>
      <c r="S126" s="213">
        <f t="shared" si="76"/>
        <v>668012.21372548956</v>
      </c>
      <c r="T126" s="213">
        <f t="shared" si="76"/>
        <v>668012.21372548956</v>
      </c>
      <c r="U126" s="213">
        <f t="shared" si="76"/>
        <v>668012.21372548956</v>
      </c>
      <c r="V126" s="213">
        <f t="shared" si="76"/>
        <v>668012.21372548956</v>
      </c>
      <c r="W126" s="213">
        <f t="shared" si="76"/>
        <v>448391.75989793142</v>
      </c>
      <c r="X126" s="213">
        <f t="shared" si="76"/>
        <v>448391.75989793142</v>
      </c>
      <c r="Y126" s="213">
        <f t="shared" si="76"/>
        <v>448391.75989793142</v>
      </c>
      <c r="Z126" s="213">
        <f t="shared" si="76"/>
        <v>448391.75989793142</v>
      </c>
      <c r="AA126" s="213">
        <f t="shared" si="76"/>
        <v>448391.75989793142</v>
      </c>
      <c r="AB126" s="213">
        <f t="shared" si="76"/>
        <v>224195.87994896571</v>
      </c>
      <c r="AC126" s="213">
        <f t="shared" si="76"/>
        <v>224195.87994896571</v>
      </c>
      <c r="AD126" s="213">
        <f t="shared" si="76"/>
        <v>224195.87994896571</v>
      </c>
      <c r="AE126" s="213">
        <f t="shared" si="76"/>
        <v>224195.87994896571</v>
      </c>
    </row>
    <row spans="1:31" r="127" x14ac:dyDescent="0.25">
      <c r="B127" s="8" t="s">
        <v>77</v>
      </c>
      <c r="E127" s="215"/>
      <c r="F127" s="215"/>
      <c r="G127" s="216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</row>
    <row spans="1:31" r="128" x14ac:dyDescent="0.25">
      <c r="E128" s="215"/>
      <c r="F128" s="215"/>
      <c r="G128" s="216"/>
      <c r="H128" s="215"/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</row>
    <row spans="2:31" r="129" x14ac:dyDescent="0.25">
      <c r="B129" s="8" t="s">
        <v>78</v>
      </c>
      <c r="E129" s="213">
        <f>E123-E126</f>
        <v>-70296.678603713226</v>
      </c>
      <c r="F129" s="213">
        <f>F123-F126</f>
        <v>-61002.429980188812</v>
      </c>
      <c r="G129" s="214">
        <f ref="G129:AE129" t="shared" si="77">G123-G126</f>
        <v>-38078.447986615662</v>
      </c>
      <c r="H129" s="213">
        <f t="shared" si="77"/>
        <v>-69744.930492298052</v>
      </c>
      <c r="I129" s="213">
        <f t="shared" si="77"/>
        <v>-252262.14450926331</v>
      </c>
      <c r="J129" s="213">
        <f t="shared" si="77"/>
        <v>-266276.0030323618</v>
      </c>
      <c r="K129" s="213">
        <f t="shared" si="77"/>
        <v>-301300.86250799877</v>
      </c>
      <c r="L129" s="213">
        <f t="shared" si="77"/>
        <v>-268372.13214485347</v>
      </c>
      <c r="M129" s="213">
        <f t="shared" si="77"/>
        <v>-487992.58597241156</v>
      </c>
      <c r="N129" s="213">
        <f t="shared" si="77"/>
        <v>-487992.58597241156</v>
      </c>
      <c r="O129" s="213">
        <f t="shared" si="77"/>
        <v>-487992.58597241156</v>
      </c>
      <c r="P129" s="213">
        <f t="shared" si="77"/>
        <v>-487992.58597241156</v>
      </c>
      <c r="Q129" s="213">
        <f t="shared" si="77"/>
        <v>-487992.58597241156</v>
      </c>
      <c r="R129" s="213">
        <f t="shared" si="77"/>
        <v>-487992.58597241156</v>
      </c>
      <c r="S129" s="213">
        <f t="shared" si="77"/>
        <v>-487992.58597241156</v>
      </c>
      <c r="T129" s="213">
        <f t="shared" si="77"/>
        <v>-487992.58597241156</v>
      </c>
      <c r="U129" s="213">
        <f t="shared" si="77"/>
        <v>-487992.58597241156</v>
      </c>
      <c r="V129" s="213">
        <f t="shared" si="77"/>
        <v>-562100.15142822417</v>
      </c>
      <c r="W129" s="213">
        <f t="shared" si="77"/>
        <v>-342479.69760066597</v>
      </c>
      <c r="X129" s="213">
        <f t="shared" si="77"/>
        <v>-342479.69760066597</v>
      </c>
      <c r="Y129" s="213">
        <f t="shared" si="77"/>
        <v>-342479.69760066597</v>
      </c>
      <c r="Z129" s="213">
        <f t="shared" si="77"/>
        <v>-342479.69760066597</v>
      </c>
      <c r="AA129" s="213">
        <f t="shared" si="77"/>
        <v>-395435.72874929872</v>
      </c>
      <c r="AB129" s="213">
        <f t="shared" si="77"/>
        <v>-171239.84880033298</v>
      </c>
      <c r="AC129" s="213">
        <f t="shared" si="77"/>
        <v>-171239.84880033298</v>
      </c>
      <c r="AD129" s="213">
        <f t="shared" si="77"/>
        <v>-171239.84880033298</v>
      </c>
      <c r="AE129" s="213">
        <f t="shared" si="77"/>
        <v>-224195.87994896571</v>
      </c>
    </row>
    <row spans="2:31" r="130" x14ac:dyDescent="0.25">
      <c r="B130" s="8" t="s">
        <v>79</v>
      </c>
      <c r="E130" s="215"/>
      <c r="F130" s="279">
        <f>F129-E129</f>
        <v>9294.2486235244141</v>
      </c>
      <c r="G130" s="280">
        <f ref="G130:AE130" t="shared" si="78">G129-F129</f>
        <v>22923.98199357315</v>
      </c>
      <c r="H130" s="281">
        <f t="shared" si="78"/>
        <v>-31666.48250568239</v>
      </c>
      <c r="I130" s="281">
        <f t="shared" si="78"/>
        <v>-182517.21401696524</v>
      </c>
      <c r="J130" s="281">
        <f t="shared" si="78"/>
        <v>-14013.85852309849</v>
      </c>
      <c r="K130" s="281">
        <f t="shared" si="78"/>
        <v>-35024.859475636971</v>
      </c>
      <c r="L130" s="281">
        <f t="shared" si="78"/>
        <v>32928.730363145296</v>
      </c>
      <c r="M130" s="281">
        <f t="shared" si="78"/>
        <v>-219620.45382755809</v>
      </c>
      <c r="N130" s="282">
        <f t="shared" si="78"/>
        <v>0</v>
      </c>
      <c r="O130" s="282">
        <f t="shared" si="78"/>
        <v>0</v>
      </c>
      <c r="P130" s="282">
        <f t="shared" si="78"/>
        <v>0</v>
      </c>
      <c r="Q130" s="282">
        <f t="shared" si="78"/>
        <v>0</v>
      </c>
      <c r="R130" s="282">
        <f t="shared" si="78"/>
        <v>0</v>
      </c>
      <c r="S130" s="282">
        <f t="shared" si="78"/>
        <v>0</v>
      </c>
      <c r="T130" s="282">
        <f t="shared" si="78"/>
        <v>0</v>
      </c>
      <c r="U130" s="282">
        <f t="shared" si="78"/>
        <v>0</v>
      </c>
      <c r="V130" s="281">
        <f t="shared" si="78"/>
        <v>-74107.565455812612</v>
      </c>
      <c r="W130" s="281">
        <f t="shared" si="78"/>
        <v>219620.4538275582</v>
      </c>
      <c r="X130" s="282">
        <f t="shared" si="78"/>
        <v>0</v>
      </c>
      <c r="Y130" s="282">
        <f t="shared" si="78"/>
        <v>0</v>
      </c>
      <c r="Z130" s="282">
        <f t="shared" si="78"/>
        <v>0</v>
      </c>
      <c r="AA130" s="281">
        <f t="shared" si="78"/>
        <v>-52956.031148632756</v>
      </c>
      <c r="AB130" s="281">
        <f t="shared" si="78"/>
        <v>224195.87994896574</v>
      </c>
      <c r="AC130" s="282">
        <f t="shared" si="78"/>
        <v>0</v>
      </c>
      <c r="AD130" s="282">
        <f t="shared" si="78"/>
        <v>0</v>
      </c>
      <c r="AE130" s="281">
        <f t="shared" si="78"/>
        <v>-52956.031148632726</v>
      </c>
    </row>
    <row spans="2:31" r="131" x14ac:dyDescent="0.25">
      <c r="F131" s="156"/>
    </row>
    <row spans="2:31" r="132" x14ac:dyDescent="0.25">
      <c r="B132" s="151" t="s">
        <v>80</v>
      </c>
      <c r="F132" s="156"/>
    </row>
    <row spans="2:31" r="133" x14ac:dyDescent="0.25">
      <c r="B133" s="151" t="s">
        <v>71</v>
      </c>
      <c r="F133" s="156"/>
    </row>
    <row spans="2:31" r="134" x14ac:dyDescent="0.25">
      <c r="B134" s="8" t="s">
        <v>81</v>
      </c>
      <c r="E134" s="174">
        <f>E121/D7</f>
        <v>0.10374610746878346</v>
      </c>
      <c r="F134" s="209">
        <f>F121/E7</f>
        <v>0.34168118380131257</v>
      </c>
      <c r="G134" s="175">
        <f>AVERAGE($E$134:$F$134)</f>
        <v>0.22271364563504803</v>
      </c>
      <c r="H134" s="175">
        <f ref="H134:AE134" t="shared" si="79">AVERAGE($E$134:$F$134)</f>
        <v>0.22271364563504803</v>
      </c>
      <c r="I134" s="175">
        <f t="shared" si="79"/>
        <v>0.22271364563504803</v>
      </c>
      <c r="J134" s="175">
        <f t="shared" si="79"/>
        <v>0.22271364563504803</v>
      </c>
      <c r="K134" s="175">
        <f t="shared" si="79"/>
        <v>0.22271364563504803</v>
      </c>
      <c r="L134" s="175">
        <f t="shared" si="79"/>
        <v>0.22271364563504803</v>
      </c>
      <c r="M134" s="175">
        <f t="shared" si="79"/>
        <v>0.22271364563504803</v>
      </c>
      <c r="N134" s="175">
        <f t="shared" si="79"/>
        <v>0.22271364563504803</v>
      </c>
      <c r="O134" s="175">
        <f t="shared" si="79"/>
        <v>0.22271364563504803</v>
      </c>
      <c r="P134" s="175">
        <f t="shared" si="79"/>
        <v>0.22271364563504803</v>
      </c>
      <c r="Q134" s="175">
        <f t="shared" si="79"/>
        <v>0.22271364563504803</v>
      </c>
      <c r="R134" s="175">
        <f t="shared" si="79"/>
        <v>0.22271364563504803</v>
      </c>
      <c r="S134" s="175">
        <f t="shared" si="79"/>
        <v>0.22271364563504803</v>
      </c>
      <c r="T134" s="175">
        <f t="shared" si="79"/>
        <v>0.22271364563504803</v>
      </c>
      <c r="U134" s="175">
        <f t="shared" si="79"/>
        <v>0.22271364563504803</v>
      </c>
      <c r="V134" s="175">
        <f t="shared" si="79"/>
        <v>0.22271364563504803</v>
      </c>
      <c r="W134" s="175">
        <f t="shared" si="79"/>
        <v>0.22271364563504803</v>
      </c>
      <c r="X134" s="175">
        <f t="shared" si="79"/>
        <v>0.22271364563504803</v>
      </c>
      <c r="Y134" s="175">
        <f t="shared" si="79"/>
        <v>0.22271364563504803</v>
      </c>
      <c r="Z134" s="175">
        <f t="shared" si="79"/>
        <v>0.22271364563504803</v>
      </c>
      <c r="AA134" s="175">
        <f t="shared" si="79"/>
        <v>0.22271364563504803</v>
      </c>
      <c r="AB134" s="175">
        <f t="shared" si="79"/>
        <v>0.22271364563504803</v>
      </c>
      <c r="AC134" s="175">
        <f t="shared" si="79"/>
        <v>0.22271364563504803</v>
      </c>
      <c r="AD134" s="175">
        <f t="shared" si="79"/>
        <v>0.22271364563504803</v>
      </c>
      <c r="AE134" s="175">
        <f t="shared" si="79"/>
        <v>0.22271364563504803</v>
      </c>
    </row>
    <row spans="2:31" r="135" x14ac:dyDescent="0.25">
      <c r="B135" s="8" t="s">
        <v>82</v>
      </c>
      <c r="E135" s="174">
        <f>F84/E122</f>
        <v>323.90019911074694</v>
      </c>
      <c r="F135" s="209">
        <f>G84/F122</f>
        <v>185.6867778979115</v>
      </c>
      <c r="G135" s="175">
        <f>AVERAGE($E$135:$F$135)</f>
        <v>254.79348850432922</v>
      </c>
      <c r="H135" s="175">
        <f ref="H135:AE135" t="shared" si="80">AVERAGE($E$135:$F$135)</f>
        <v>254.79348850432922</v>
      </c>
      <c r="I135" s="175">
        <f t="shared" si="80"/>
        <v>254.79348850432922</v>
      </c>
      <c r="J135" s="175">
        <f t="shared" si="80"/>
        <v>254.79348850432922</v>
      </c>
      <c r="K135" s="175">
        <f t="shared" si="80"/>
        <v>254.79348850432922</v>
      </c>
      <c r="L135" s="175">
        <f t="shared" si="80"/>
        <v>254.79348850432922</v>
      </c>
      <c r="M135" s="175">
        <f t="shared" si="80"/>
        <v>254.79348850432922</v>
      </c>
      <c r="N135" s="175">
        <f t="shared" si="80"/>
        <v>254.79348850432922</v>
      </c>
      <c r="O135" s="175">
        <f t="shared" si="80"/>
        <v>254.79348850432922</v>
      </c>
      <c r="P135" s="175">
        <f t="shared" si="80"/>
        <v>254.79348850432922</v>
      </c>
      <c r="Q135" s="175">
        <f t="shared" si="80"/>
        <v>254.79348850432922</v>
      </c>
      <c r="R135" s="175">
        <f t="shared" si="80"/>
        <v>254.79348850432922</v>
      </c>
      <c r="S135" s="175">
        <f t="shared" si="80"/>
        <v>254.79348850432922</v>
      </c>
      <c r="T135" s="175">
        <f t="shared" si="80"/>
        <v>254.79348850432922</v>
      </c>
      <c r="U135" s="175">
        <f t="shared" si="80"/>
        <v>254.79348850432922</v>
      </c>
      <c r="V135" s="175">
        <f t="shared" si="80"/>
        <v>254.79348850432922</v>
      </c>
      <c r="W135" s="175">
        <f t="shared" si="80"/>
        <v>254.79348850432922</v>
      </c>
      <c r="X135" s="175">
        <f t="shared" si="80"/>
        <v>254.79348850432922</v>
      </c>
      <c r="Y135" s="175">
        <f t="shared" si="80"/>
        <v>254.79348850432922</v>
      </c>
      <c r="Z135" s="175">
        <f t="shared" si="80"/>
        <v>254.79348850432922</v>
      </c>
      <c r="AA135" s="175">
        <f t="shared" si="80"/>
        <v>254.79348850432922</v>
      </c>
      <c r="AB135" s="175">
        <f t="shared" si="80"/>
        <v>254.79348850432922</v>
      </c>
      <c r="AC135" s="175">
        <f t="shared" si="80"/>
        <v>254.79348850432922</v>
      </c>
      <c r="AD135" s="175">
        <f t="shared" si="80"/>
        <v>254.79348850432922</v>
      </c>
      <c r="AE135" s="175">
        <f t="shared" si="80"/>
        <v>254.79348850432922</v>
      </c>
    </row>
    <row spans="2:31" r="136" x14ac:dyDescent="0.25">
      <c r="B136" s="8" t="s">
        <v>83</v>
      </c>
      <c r="E136" s="176">
        <f>E135/365</f>
        <v>0.88739780578286831</v>
      </c>
      <c r="F136" s="176">
        <f>F135/365</f>
        <v>0.5087308983504425</v>
      </c>
      <c r="G136" s="176">
        <f ref="G136:AE136" t="shared" si="81">G135/365</f>
        <v>0.6980643520666554</v>
      </c>
      <c r="H136" s="176">
        <f t="shared" si="81"/>
        <v>0.6980643520666554</v>
      </c>
      <c r="I136" s="176">
        <f t="shared" si="81"/>
        <v>0.6980643520666554</v>
      </c>
      <c r="J136" s="176">
        <f t="shared" si="81"/>
        <v>0.6980643520666554</v>
      </c>
      <c r="K136" s="176">
        <f t="shared" si="81"/>
        <v>0.6980643520666554</v>
      </c>
      <c r="L136" s="176">
        <f t="shared" si="81"/>
        <v>0.6980643520666554</v>
      </c>
      <c r="M136" s="176">
        <f t="shared" si="81"/>
        <v>0.6980643520666554</v>
      </c>
      <c r="N136" s="176">
        <f t="shared" si="81"/>
        <v>0.6980643520666554</v>
      </c>
      <c r="O136" s="176">
        <f t="shared" si="81"/>
        <v>0.6980643520666554</v>
      </c>
      <c r="P136" s="176">
        <f t="shared" si="81"/>
        <v>0.6980643520666554</v>
      </c>
      <c r="Q136" s="176">
        <f t="shared" si="81"/>
        <v>0.6980643520666554</v>
      </c>
      <c r="R136" s="176">
        <f t="shared" si="81"/>
        <v>0.6980643520666554</v>
      </c>
      <c r="S136" s="176">
        <f t="shared" si="81"/>
        <v>0.6980643520666554</v>
      </c>
      <c r="T136" s="176">
        <f t="shared" si="81"/>
        <v>0.6980643520666554</v>
      </c>
      <c r="U136" s="176">
        <f t="shared" si="81"/>
        <v>0.6980643520666554</v>
      </c>
      <c r="V136" s="176">
        <f t="shared" si="81"/>
        <v>0.6980643520666554</v>
      </c>
      <c r="W136" s="176">
        <f t="shared" si="81"/>
        <v>0.6980643520666554</v>
      </c>
      <c r="X136" s="176">
        <f t="shared" si="81"/>
        <v>0.6980643520666554</v>
      </c>
      <c r="Y136" s="176">
        <f t="shared" si="81"/>
        <v>0.6980643520666554</v>
      </c>
      <c r="Z136" s="176">
        <f t="shared" si="81"/>
        <v>0.6980643520666554</v>
      </c>
      <c r="AA136" s="176">
        <f t="shared" si="81"/>
        <v>0.6980643520666554</v>
      </c>
      <c r="AB136" s="176">
        <f t="shared" si="81"/>
        <v>0.6980643520666554</v>
      </c>
      <c r="AC136" s="176">
        <f t="shared" si="81"/>
        <v>0.6980643520666554</v>
      </c>
      <c r="AD136" s="176">
        <f t="shared" si="81"/>
        <v>0.6980643520666554</v>
      </c>
      <c r="AE136" s="176">
        <f t="shared" si="81"/>
        <v>0.6980643520666554</v>
      </c>
    </row>
    <row spans="2:31" r="137" x14ac:dyDescent="0.25">
      <c r="B137" s="151" t="s">
        <v>75</v>
      </c>
      <c r="E137" s="174"/>
      <c r="F137" s="209"/>
    </row>
    <row spans="2:31" r="138" x14ac:dyDescent="0.25">
      <c r="B138" s="8" t="s">
        <v>84</v>
      </c>
      <c r="E138" s="174">
        <f>E125/E139</f>
        <v>1.7441324822954156</v>
      </c>
      <c r="F138" s="209">
        <f>F125/F139</f>
        <v>2.3491085897963506</v>
      </c>
      <c r="G138" s="175">
        <f>AVERAGE($E$138:$F$138)</f>
        <v>2.0466205360458831</v>
      </c>
      <c r="H138" s="175">
        <f ref="H138:AE138" t="shared" si="82">AVERAGE($E$138:$F$138)</f>
        <v>2.0466205360458831</v>
      </c>
      <c r="I138" s="175">
        <f t="shared" si="82"/>
        <v>2.0466205360458831</v>
      </c>
      <c r="J138" s="175">
        <f t="shared" si="82"/>
        <v>2.0466205360458831</v>
      </c>
      <c r="K138" s="175">
        <f t="shared" si="82"/>
        <v>2.0466205360458831</v>
      </c>
      <c r="L138" s="175">
        <f t="shared" si="82"/>
        <v>2.0466205360458831</v>
      </c>
      <c r="M138" s="175">
        <f t="shared" si="82"/>
        <v>2.0466205360458831</v>
      </c>
      <c r="N138" s="175">
        <f t="shared" si="82"/>
        <v>2.0466205360458831</v>
      </c>
      <c r="O138" s="175">
        <f t="shared" si="82"/>
        <v>2.0466205360458831</v>
      </c>
      <c r="P138" s="175">
        <f t="shared" si="82"/>
        <v>2.0466205360458831</v>
      </c>
      <c r="Q138" s="175">
        <f t="shared" si="82"/>
        <v>2.0466205360458831</v>
      </c>
      <c r="R138" s="175">
        <f t="shared" si="82"/>
        <v>2.0466205360458831</v>
      </c>
      <c r="S138" s="175">
        <f t="shared" si="82"/>
        <v>2.0466205360458831</v>
      </c>
      <c r="T138" s="175">
        <f t="shared" si="82"/>
        <v>2.0466205360458831</v>
      </c>
      <c r="U138" s="175">
        <f t="shared" si="82"/>
        <v>2.0466205360458831</v>
      </c>
      <c r="V138" s="175">
        <f t="shared" si="82"/>
        <v>2.0466205360458831</v>
      </c>
      <c r="W138" s="175">
        <f t="shared" si="82"/>
        <v>2.0466205360458831</v>
      </c>
      <c r="X138" s="175">
        <f t="shared" si="82"/>
        <v>2.0466205360458831</v>
      </c>
      <c r="Y138" s="175">
        <f t="shared" si="82"/>
        <v>2.0466205360458831</v>
      </c>
      <c r="Z138" s="175">
        <f t="shared" si="82"/>
        <v>2.0466205360458831</v>
      </c>
      <c r="AA138" s="175">
        <f t="shared" si="82"/>
        <v>2.0466205360458831</v>
      </c>
      <c r="AB138" s="175">
        <f t="shared" si="82"/>
        <v>2.0466205360458831</v>
      </c>
      <c r="AC138" s="175">
        <f t="shared" si="82"/>
        <v>2.0466205360458831</v>
      </c>
      <c r="AD138" s="175">
        <f t="shared" si="82"/>
        <v>2.0466205360458831</v>
      </c>
      <c r="AE138" s="175">
        <f t="shared" si="82"/>
        <v>2.0466205360458831</v>
      </c>
    </row>
    <row spans="2:31" r="139" x14ac:dyDescent="0.25">
      <c r="B139" s="8" t="s">
        <v>85</v>
      </c>
      <c r="E139" s="156">
        <f>D9+D46+D68</f>
        <v>52104</v>
      </c>
      <c r="F139" s="156">
        <f ref="F139:AE139" t="shared" si="83">E9+E46+E68</f>
        <v>53483.653510713877</v>
      </c>
      <c r="G139" s="156">
        <f t="shared" si="83"/>
        <v>53654.414670310573</v>
      </c>
      <c r="H139" s="156">
        <f t="shared" si="83"/>
        <v>89982.924603333347</v>
      </c>
      <c r="I139" s="156">
        <f t="shared" si="83"/>
        <v>181083.64951229817</v>
      </c>
      <c r="J139" s="156">
        <f t="shared" si="83"/>
        <v>190026.05195734993</v>
      </c>
      <c r="K139" s="156">
        <f t="shared" si="83"/>
        <v>198968.45440240169</v>
      </c>
      <c r="L139" s="156">
        <f t="shared" si="83"/>
        <v>219088.85990376817</v>
      </c>
      <c r="M139" s="156">
        <f t="shared" si="83"/>
        <v>326397.6892443893</v>
      </c>
      <c r="N139" s="156">
        <f t="shared" si="83"/>
        <v>326397.6892443893</v>
      </c>
      <c r="O139" s="156">
        <f t="shared" si="83"/>
        <v>326397.6892443893</v>
      </c>
      <c r="P139" s="156">
        <f t="shared" si="83"/>
        <v>326397.6892443893</v>
      </c>
      <c r="Q139" s="156">
        <f t="shared" si="83"/>
        <v>326397.6892443893</v>
      </c>
      <c r="R139" s="156">
        <f t="shared" si="83"/>
        <v>326397.6892443893</v>
      </c>
      <c r="S139" s="156">
        <f t="shared" si="83"/>
        <v>326397.6892443893</v>
      </c>
      <c r="T139" s="156">
        <f t="shared" si="83"/>
        <v>326397.6892443893</v>
      </c>
      <c r="U139" s="156">
        <f t="shared" si="83"/>
        <v>326397.6892443893</v>
      </c>
      <c r="V139" s="156">
        <f t="shared" si="83"/>
        <v>326397.6892443893</v>
      </c>
      <c r="W139" s="156">
        <f t="shared" si="83"/>
        <v>219088.85990376817</v>
      </c>
      <c r="X139" s="156">
        <f t="shared" si="83"/>
        <v>219088.85990376817</v>
      </c>
      <c r="Y139" s="156">
        <f t="shared" si="83"/>
        <v>219088.85990376817</v>
      </c>
      <c r="Z139" s="156">
        <f t="shared" si="83"/>
        <v>219088.85990376817</v>
      </c>
      <c r="AA139" s="156">
        <f t="shared" si="83"/>
        <v>219088.85990376817</v>
      </c>
      <c r="AB139" s="156">
        <f t="shared" si="83"/>
        <v>109544.42995188409</v>
      </c>
      <c r="AC139" s="156">
        <f t="shared" si="83"/>
        <v>109544.42995188409</v>
      </c>
      <c r="AD139" s="156">
        <f t="shared" si="83"/>
        <v>109544.42995188409</v>
      </c>
      <c r="AE139" s="156">
        <f t="shared" si="83"/>
        <v>109544.42995188409</v>
      </c>
    </row>
    <row spans="1:34" r="145" x14ac:dyDescent="0.25">
      <c r="A145" s="8" t="s">
        <v>7</v>
      </c>
      <c r="B145" s="24" t="s">
        <v>119</v>
      </c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152"/>
    </row>
    <row spans="1:34" r="146" x14ac:dyDescent="0.25">
      <c r="B146" s="24" t="s">
        <v>120</v>
      </c>
      <c r="C146" s="24">
        <v>2022</v>
      </c>
      <c r="D146" s="24">
        <f>C146+1</f>
        <v>2023</v>
      </c>
      <c r="E146" s="24">
        <f ref="E146:AA146" t="shared" si="84">D146+1</f>
        <v>2024</v>
      </c>
      <c r="F146" s="24">
        <f t="shared" si="84"/>
        <v>2025</v>
      </c>
      <c r="G146" s="24">
        <f t="shared" si="84"/>
        <v>2026</v>
      </c>
      <c r="H146" s="24">
        <f t="shared" si="84"/>
        <v>2027</v>
      </c>
      <c r="I146" s="24">
        <f t="shared" si="84"/>
        <v>2028</v>
      </c>
      <c r="J146" s="24">
        <f t="shared" si="84"/>
        <v>2029</v>
      </c>
      <c r="K146" s="24">
        <f t="shared" si="84"/>
        <v>2030</v>
      </c>
      <c r="L146" s="24">
        <f t="shared" si="84"/>
        <v>2031</v>
      </c>
      <c r="M146" s="24">
        <f t="shared" si="84"/>
        <v>2032</v>
      </c>
      <c r="N146" s="24">
        <f t="shared" si="84"/>
        <v>2033</v>
      </c>
      <c r="O146" s="24">
        <f t="shared" si="84"/>
        <v>2034</v>
      </c>
      <c r="P146" s="24">
        <f t="shared" si="84"/>
        <v>2035</v>
      </c>
      <c r="Q146" s="24">
        <f t="shared" si="84"/>
        <v>2036</v>
      </c>
      <c r="R146" s="24">
        <f t="shared" si="84"/>
        <v>2037</v>
      </c>
      <c r="S146" s="24">
        <f t="shared" si="84"/>
        <v>2038</v>
      </c>
      <c r="T146" s="24">
        <f t="shared" si="84"/>
        <v>2039</v>
      </c>
      <c r="U146" s="24">
        <f t="shared" si="84"/>
        <v>2040</v>
      </c>
      <c r="V146" s="24">
        <f t="shared" si="84"/>
        <v>2041</v>
      </c>
      <c r="W146" s="24">
        <f t="shared" si="84"/>
        <v>2042</v>
      </c>
      <c r="X146" s="24">
        <f t="shared" si="84"/>
        <v>2043</v>
      </c>
      <c r="Y146" s="24">
        <f t="shared" si="84"/>
        <v>2044</v>
      </c>
      <c r="Z146" s="24">
        <f t="shared" si="84"/>
        <v>2045</v>
      </c>
      <c r="AA146" s="24">
        <f t="shared" si="84"/>
        <v>2046</v>
      </c>
      <c r="AB146" s="152"/>
    </row>
    <row spans="1:34" r="148" x14ac:dyDescent="0.25">
      <c r="B148" s="151" t="s">
        <v>88</v>
      </c>
    </row>
    <row spans="1:34" r="149" x14ac:dyDescent="0.25">
      <c r="B149" s="8" t="s">
        <v>90</v>
      </c>
      <c r="C149" s="156">
        <f ref="C149:AA149" t="shared" si="85">F83</f>
        <v>221725.66666666669</v>
      </c>
      <c r="D149" s="156">
        <f t="shared" si="85"/>
        <v>371852.42013888888</v>
      </c>
      <c r="E149" s="156">
        <f t="shared" si="85"/>
        <v>748324.12500000012</v>
      </c>
      <c r="F149" s="156">
        <f t="shared" si="85"/>
        <v>785278.40277777798</v>
      </c>
      <c r="G149" s="156">
        <f t="shared" si="85"/>
        <v>822232.68055555574</v>
      </c>
      <c r="H149" s="156">
        <f t="shared" si="85"/>
        <v>905379.80555555574</v>
      </c>
      <c r="I149" s="156">
        <f t="shared" si="85"/>
        <v>1348831.138888889</v>
      </c>
      <c r="J149" s="156">
        <f t="shared" si="85"/>
        <v>1348831.138888889</v>
      </c>
      <c r="K149" s="156">
        <f t="shared" si="85"/>
        <v>1348831.138888889</v>
      </c>
      <c r="L149" s="156">
        <f t="shared" si="85"/>
        <v>1348831.138888889</v>
      </c>
      <c r="M149" s="156">
        <f t="shared" si="85"/>
        <v>1348831.138888889</v>
      </c>
      <c r="N149" s="156">
        <f t="shared" si="85"/>
        <v>1348831.138888889</v>
      </c>
      <c r="O149" s="156">
        <f t="shared" si="85"/>
        <v>1348831.138888889</v>
      </c>
      <c r="P149" s="156">
        <f t="shared" si="85"/>
        <v>1348831.138888889</v>
      </c>
      <c r="Q149" s="156">
        <f t="shared" si="85"/>
        <v>1348831.138888889</v>
      </c>
      <c r="R149" s="156">
        <f t="shared" si="85"/>
        <v>1348831.138888889</v>
      </c>
      <c r="S149" s="156">
        <f t="shared" si="85"/>
        <v>905379.80555555574</v>
      </c>
      <c r="T149" s="156">
        <f t="shared" si="85"/>
        <v>905379.80555555574</v>
      </c>
      <c r="U149" s="156">
        <f t="shared" si="85"/>
        <v>905379.80555555574</v>
      </c>
      <c r="V149" s="156">
        <f t="shared" si="85"/>
        <v>905379.80555555574</v>
      </c>
      <c r="W149" s="156">
        <f t="shared" si="85"/>
        <v>905379.80555555574</v>
      </c>
      <c r="X149" s="156">
        <f t="shared" si="85"/>
        <v>452689.90277777787</v>
      </c>
      <c r="Y149" s="156">
        <f t="shared" si="85"/>
        <v>452689.90277777787</v>
      </c>
      <c r="Z149" s="156">
        <f t="shared" si="85"/>
        <v>452689.90277777787</v>
      </c>
      <c r="AA149" s="156">
        <f t="shared" si="85"/>
        <v>452689.90277777787</v>
      </c>
    </row>
    <row spans="1:34" r="150" x14ac:dyDescent="0.25">
      <c r="B150" s="8" t="s">
        <v>45</v>
      </c>
      <c r="C150" s="156">
        <f>F86</f>
        <v>295390.96464743541</v>
      </c>
      <c r="D150" s="156">
        <f ref="C150:AA150" t="shared" si="86">G86</f>
        <v>266503.21054546378</v>
      </c>
      <c r="E150" s="156">
        <f t="shared" si="86"/>
        <v>424839.31483854033</v>
      </c>
      <c r="F150" s="156">
        <f t="shared" si="86"/>
        <v>442185.89227977965</v>
      </c>
      <c r="G150" s="156">
        <f t="shared" si="86"/>
        <v>461105.2197210188</v>
      </c>
      <c r="H150" s="156">
        <f t="shared" si="86"/>
        <v>347317.39061725291</v>
      </c>
      <c r="I150" s="156">
        <f t="shared" si="86"/>
        <v>674303.31991212373</v>
      </c>
      <c r="J150" s="156">
        <f t="shared" si="86"/>
        <v>674303.31991212373</v>
      </c>
      <c r="K150" s="156">
        <f t="shared" si="86"/>
        <v>674303.31991212373</v>
      </c>
      <c r="L150" s="156">
        <f t="shared" si="86"/>
        <v>674303.31991212373</v>
      </c>
      <c r="M150" s="156">
        <f t="shared" si="86"/>
        <v>674303.31991212373</v>
      </c>
      <c r="N150" s="156">
        <f t="shared" si="86"/>
        <v>674303.31991212373</v>
      </c>
      <c r="O150" s="156">
        <f t="shared" si="86"/>
        <v>674303.31991212373</v>
      </c>
      <c r="P150" s="156">
        <f t="shared" si="86"/>
        <v>674303.31991212373</v>
      </c>
      <c r="Q150" s="156">
        <f t="shared" si="86"/>
        <v>674303.31991212373</v>
      </c>
      <c r="R150" s="156">
        <f t="shared" si="86"/>
        <v>674303.31991212373</v>
      </c>
      <c r="S150" s="156">
        <f t="shared" si="86"/>
        <v>347317.39061725291</v>
      </c>
      <c r="T150" s="156">
        <f t="shared" si="86"/>
        <v>347317.39061725291</v>
      </c>
      <c r="U150" s="156">
        <f t="shared" si="86"/>
        <v>347317.39061725291</v>
      </c>
      <c r="V150" s="156">
        <f t="shared" si="86"/>
        <v>347317.39061725291</v>
      </c>
      <c r="W150" s="156">
        <f t="shared" si="86"/>
        <v>347317.39061725291</v>
      </c>
      <c r="X150" s="156">
        <f t="shared" si="86"/>
        <v>193658.69530862645</v>
      </c>
      <c r="Y150" s="156">
        <f t="shared" si="86"/>
        <v>193658.69530862645</v>
      </c>
      <c r="Z150" s="156">
        <f t="shared" si="86"/>
        <v>193658.69530862645</v>
      </c>
      <c r="AA150" s="156">
        <f t="shared" si="86"/>
        <v>193658.69530862645</v>
      </c>
    </row>
    <row spans="1:34" r="151" x14ac:dyDescent="0.25">
      <c r="B151" s="8" t="s">
        <v>92</v>
      </c>
      <c r="C151" s="156">
        <f ref="C151:L152" t="shared" si="87">F88</f>
        <v>30248.034779897389</v>
      </c>
      <c r="D151" s="156">
        <f t="shared" si="87"/>
        <v>55965.674214547391</v>
      </c>
      <c r="E151" s="156">
        <f t="shared" si="87"/>
        <v>89216.256116093471</v>
      </c>
      <c r="F151" s="156">
        <f t="shared" si="87"/>
        <v>92859.037378753725</v>
      </c>
      <c r="G151" s="156">
        <f t="shared" si="87"/>
        <v>96832.096141413946</v>
      </c>
      <c r="H151" s="156">
        <f t="shared" si="87"/>
        <v>72936.652029623103</v>
      </c>
      <c r="I151" s="156">
        <f t="shared" si="87"/>
        <v>141603.69718154598</v>
      </c>
      <c r="J151" s="156">
        <f t="shared" si="87"/>
        <v>141603.69718154598</v>
      </c>
      <c r="K151" s="156">
        <f t="shared" si="87"/>
        <v>141603.69718154598</v>
      </c>
      <c r="L151" s="156">
        <f t="shared" si="87"/>
        <v>141603.69718154598</v>
      </c>
      <c r="M151" s="156">
        <f ref="M151:V152" t="shared" si="88">P88</f>
        <v>141603.69718154598</v>
      </c>
      <c r="N151" s="156">
        <f t="shared" si="88"/>
        <v>141603.69718154598</v>
      </c>
      <c r="O151" s="156">
        <f t="shared" si="88"/>
        <v>141603.69718154598</v>
      </c>
      <c r="P151" s="156">
        <f t="shared" si="88"/>
        <v>141603.69718154598</v>
      </c>
      <c r="Q151" s="156">
        <f t="shared" si="88"/>
        <v>141603.69718154598</v>
      </c>
      <c r="R151" s="156">
        <f t="shared" si="88"/>
        <v>141603.69718154598</v>
      </c>
      <c r="S151" s="156">
        <f t="shared" si="88"/>
        <v>72936.652029623103</v>
      </c>
      <c r="T151" s="156">
        <f t="shared" si="88"/>
        <v>72936.652029623103</v>
      </c>
      <c r="U151" s="156">
        <f t="shared" si="88"/>
        <v>72936.652029623103</v>
      </c>
      <c r="V151" s="156">
        <f t="shared" si="88"/>
        <v>72936.652029623103</v>
      </c>
      <c r="W151" s="156">
        <f ref="W151:AA152" t="shared" si="89">Z88</f>
        <v>72936.652029623103</v>
      </c>
      <c r="X151" s="156">
        <f t="shared" si="89"/>
        <v>40668.326014811551</v>
      </c>
      <c r="Y151" s="156">
        <f t="shared" si="89"/>
        <v>40668.326014811551</v>
      </c>
      <c r="Z151" s="156">
        <f t="shared" si="89"/>
        <v>40668.326014811551</v>
      </c>
      <c r="AA151" s="156">
        <f t="shared" si="89"/>
        <v>40668.326014811551</v>
      </c>
    </row>
    <row spans="1:34" r="152" x14ac:dyDescent="0.25">
      <c r="B152" s="8" t="s">
        <v>48</v>
      </c>
      <c r="C152" s="156">
        <f t="shared" si="87"/>
        <v>265142.92986753804</v>
      </c>
      <c r="D152" s="156">
        <f t="shared" si="87"/>
        <v>210537.53633091639</v>
      </c>
      <c r="E152" s="156">
        <f t="shared" si="87"/>
        <v>335623.05872244685</v>
      </c>
      <c r="F152" s="156">
        <f t="shared" si="87"/>
        <v>349326.85490102594</v>
      </c>
      <c r="G152" s="156">
        <f t="shared" si="87"/>
        <v>364273.12357960484</v>
      </c>
      <c r="H152" s="156">
        <f t="shared" si="87"/>
        <v>274380.73858762981</v>
      </c>
      <c r="I152" s="156">
        <f t="shared" si="87"/>
        <v>532699.62273057771</v>
      </c>
      <c r="J152" s="156">
        <f t="shared" si="87"/>
        <v>532699.62273057771</v>
      </c>
      <c r="K152" s="156">
        <f t="shared" si="87"/>
        <v>532699.62273057771</v>
      </c>
      <c r="L152" s="156">
        <f t="shared" si="87"/>
        <v>532699.62273057771</v>
      </c>
      <c r="M152" s="156">
        <f t="shared" si="88"/>
        <v>532699.62273057771</v>
      </c>
      <c r="N152" s="156">
        <f t="shared" si="88"/>
        <v>532699.62273057771</v>
      </c>
      <c r="O152" s="156">
        <f t="shared" si="88"/>
        <v>532699.62273057771</v>
      </c>
      <c r="P152" s="156">
        <f t="shared" si="88"/>
        <v>532699.62273057771</v>
      </c>
      <c r="Q152" s="156">
        <f t="shared" si="88"/>
        <v>532699.62273057771</v>
      </c>
      <c r="R152" s="156">
        <f t="shared" si="88"/>
        <v>532699.62273057771</v>
      </c>
      <c r="S152" s="156">
        <f t="shared" si="88"/>
        <v>274380.73858762981</v>
      </c>
      <c r="T152" s="156">
        <f t="shared" si="88"/>
        <v>274380.73858762981</v>
      </c>
      <c r="U152" s="156">
        <f t="shared" si="88"/>
        <v>274380.73858762981</v>
      </c>
      <c r="V152" s="156">
        <f t="shared" si="88"/>
        <v>274380.73858762981</v>
      </c>
      <c r="W152" s="156">
        <f t="shared" si="89"/>
        <v>274380.73858762981</v>
      </c>
      <c r="X152" s="156">
        <f t="shared" si="89"/>
        <v>152990.3692938149</v>
      </c>
      <c r="Y152" s="156">
        <f t="shared" si="89"/>
        <v>152990.3692938149</v>
      </c>
      <c r="Z152" s="156">
        <f t="shared" si="89"/>
        <v>152990.3692938149</v>
      </c>
      <c r="AA152" s="156">
        <f t="shared" si="89"/>
        <v>152990.3692938149</v>
      </c>
    </row>
    <row spans="1:34" r="154" x14ac:dyDescent="0.25">
      <c r="B154" s="8" t="s">
        <v>93</v>
      </c>
      <c r="C154" s="156">
        <f ref="C154:L155" t="shared" si="90">F90</f>
        <v>40000</v>
      </c>
      <c r="D154" s="156">
        <f t="shared" si="90"/>
        <v>50000</v>
      </c>
      <c r="E154" s="156">
        <f t="shared" si="90"/>
        <v>80000</v>
      </c>
      <c r="F154" s="156">
        <f t="shared" si="90"/>
        <v>80000</v>
      </c>
      <c r="G154" s="156">
        <f t="shared" si="90"/>
        <v>80000</v>
      </c>
      <c r="H154" s="156">
        <f t="shared" si="90"/>
        <v>120000</v>
      </c>
      <c r="I154" s="156">
        <f t="shared" si="90"/>
        <v>120000</v>
      </c>
      <c r="J154" s="156">
        <f t="shared" si="90"/>
        <v>120000</v>
      </c>
      <c r="K154" s="156">
        <f t="shared" si="90"/>
        <v>120000</v>
      </c>
      <c r="L154" s="156">
        <f t="shared" si="90"/>
        <v>120000</v>
      </c>
      <c r="M154" s="156">
        <f ref="M154:V155" t="shared" si="91">P90</f>
        <v>120000</v>
      </c>
      <c r="N154" s="156">
        <f t="shared" si="91"/>
        <v>120000</v>
      </c>
      <c r="O154" s="156">
        <f t="shared" si="91"/>
        <v>120000</v>
      </c>
      <c r="P154" s="156">
        <f t="shared" si="91"/>
        <v>120000</v>
      </c>
      <c r="Q154" s="156">
        <f t="shared" si="91"/>
        <v>120000</v>
      </c>
      <c r="R154" s="156">
        <f t="shared" si="91"/>
        <v>120000</v>
      </c>
      <c r="S154" s="156">
        <f t="shared" si="91"/>
        <v>120000</v>
      </c>
      <c r="T154" s="156">
        <f t="shared" si="91"/>
        <v>120000</v>
      </c>
      <c r="U154" s="156">
        <f t="shared" si="91"/>
        <v>120000</v>
      </c>
      <c r="V154" s="156">
        <f t="shared" si="91"/>
        <v>120000</v>
      </c>
      <c r="W154" s="156">
        <f ref="W154:AA155" t="shared" si="92">Z90</f>
        <v>120000</v>
      </c>
      <c r="X154" s="156">
        <f t="shared" si="92"/>
        <v>40000</v>
      </c>
      <c r="Y154" s="156">
        <f t="shared" si="92"/>
        <v>40000</v>
      </c>
      <c r="Z154" s="156">
        <f t="shared" si="92"/>
        <v>40000</v>
      </c>
      <c r="AA154" s="156">
        <f t="shared" si="92"/>
        <v>40000</v>
      </c>
    </row>
    <row spans="1:34" r="155" x14ac:dyDescent="0.25">
      <c r="B155" s="8" t="s">
        <v>53</v>
      </c>
      <c r="C155" s="156">
        <f t="shared" si="90"/>
        <v>5543.1416666666673</v>
      </c>
      <c r="D155" s="156">
        <f t="shared" si="90"/>
        <v>309296.31050347222</v>
      </c>
      <c r="E155" s="156">
        <f t="shared" si="90"/>
        <v>318708.10312500002</v>
      </c>
      <c r="F155" s="156">
        <f t="shared" si="90"/>
        <v>319631.96006944444</v>
      </c>
      <c r="G155" s="156">
        <f t="shared" si="90"/>
        <v>320555.81701388891</v>
      </c>
      <c r="H155" s="156">
        <f t="shared" si="90"/>
        <v>22634.495138888895</v>
      </c>
      <c r="I155" s="156">
        <f t="shared" si="90"/>
        <v>33720.778472222228</v>
      </c>
      <c r="J155" s="156">
        <f t="shared" si="90"/>
        <v>33720.778472222228</v>
      </c>
      <c r="K155" s="156">
        <f t="shared" si="90"/>
        <v>33720.778472222228</v>
      </c>
      <c r="L155" s="156">
        <f t="shared" si="90"/>
        <v>33720.778472222228</v>
      </c>
      <c r="M155" s="156">
        <f t="shared" si="91"/>
        <v>33720.778472222228</v>
      </c>
      <c r="N155" s="156">
        <f t="shared" si="91"/>
        <v>33720.778472222228</v>
      </c>
      <c r="O155" s="156">
        <f t="shared" si="91"/>
        <v>33720.778472222228</v>
      </c>
      <c r="P155" s="156">
        <f t="shared" si="91"/>
        <v>33720.778472222228</v>
      </c>
      <c r="Q155" s="156">
        <f t="shared" si="91"/>
        <v>33720.778472222228</v>
      </c>
      <c r="R155" s="156">
        <f t="shared" si="91"/>
        <v>33720.778472222228</v>
      </c>
      <c r="S155" s="156">
        <f t="shared" si="91"/>
        <v>22634.495138888895</v>
      </c>
      <c r="T155" s="156">
        <f t="shared" si="91"/>
        <v>22634.495138888895</v>
      </c>
      <c r="U155" s="156">
        <f t="shared" si="91"/>
        <v>22634.495138888895</v>
      </c>
      <c r="V155" s="156">
        <f t="shared" si="91"/>
        <v>22634.495138888895</v>
      </c>
      <c r="W155" s="156">
        <f t="shared" si="92"/>
        <v>22634.495138888895</v>
      </c>
      <c r="X155" s="156">
        <f t="shared" si="92"/>
        <v>11317.247569444447</v>
      </c>
      <c r="Y155" s="156">
        <f t="shared" si="92"/>
        <v>11317.247569444447</v>
      </c>
      <c r="Z155" s="156">
        <f t="shared" si="92"/>
        <v>11317.247569444447</v>
      </c>
      <c r="AA155" s="156">
        <f t="shared" si="92"/>
        <v>11317.247569444447</v>
      </c>
      <c r="AH155" s="156"/>
    </row>
    <row spans="1:34" r="156" s="2" x14ac:dyDescent="0.25" customFormat="1">
      <c r="B156" s="2" t="s">
        <v>79</v>
      </c>
      <c r="C156" s="20">
        <f>G130</f>
        <v>22923.98199357315</v>
      </c>
      <c r="D156" s="20">
        <f ref="D156:AA156" t="shared" si="93">H130</f>
        <v>-31666.48250568239</v>
      </c>
      <c r="E156" s="20">
        <f t="shared" si="93"/>
        <v>-182517.21401696524</v>
      </c>
      <c r="F156" s="20">
        <f t="shared" si="93"/>
        <v>-14013.85852309849</v>
      </c>
      <c r="G156" s="20">
        <f t="shared" si="93"/>
        <v>-35024.859475636971</v>
      </c>
      <c r="H156" s="20">
        <f t="shared" si="93"/>
        <v>32928.730363145296</v>
      </c>
      <c r="I156" s="20">
        <f t="shared" si="93"/>
        <v>-219620.45382755809</v>
      </c>
      <c r="J156" s="208">
        <f t="shared" si="93"/>
        <v>0</v>
      </c>
      <c r="K156" s="208">
        <f t="shared" si="93"/>
        <v>0</v>
      </c>
      <c r="L156" s="208">
        <f t="shared" si="93"/>
        <v>0</v>
      </c>
      <c r="M156" s="208">
        <f t="shared" si="93"/>
        <v>0</v>
      </c>
      <c r="N156" s="208">
        <f t="shared" si="93"/>
        <v>0</v>
      </c>
      <c r="O156" s="208">
        <f t="shared" si="93"/>
        <v>0</v>
      </c>
      <c r="P156" s="208">
        <f t="shared" si="93"/>
        <v>0</v>
      </c>
      <c r="Q156" s="208">
        <f t="shared" si="93"/>
        <v>0</v>
      </c>
      <c r="R156" s="20">
        <f t="shared" si="93"/>
        <v>-74107.565455812612</v>
      </c>
      <c r="S156" s="20">
        <f t="shared" si="93"/>
        <v>219620.4538275582</v>
      </c>
      <c r="T156" s="208">
        <f t="shared" si="93"/>
        <v>0</v>
      </c>
      <c r="U156" s="208">
        <f t="shared" si="93"/>
        <v>0</v>
      </c>
      <c r="V156" s="208">
        <f t="shared" si="93"/>
        <v>0</v>
      </c>
      <c r="W156" s="20">
        <f t="shared" si="93"/>
        <v>-52956.031148632756</v>
      </c>
      <c r="X156" s="20">
        <f t="shared" si="93"/>
        <v>224195.87994896574</v>
      </c>
      <c r="Y156" s="208">
        <f t="shared" si="93"/>
        <v>0</v>
      </c>
      <c r="Z156" s="208">
        <f t="shared" si="93"/>
        <v>0</v>
      </c>
      <c r="AA156" s="20">
        <f t="shared" si="93"/>
        <v>-52956.031148632726</v>
      </c>
      <c r="AH156" s="76"/>
    </row>
    <row spans="1:34" r="157" x14ac:dyDescent="0.25">
      <c r="B157" s="8" t="s">
        <v>94</v>
      </c>
      <c r="C157" s="156">
        <f>C152+C154-C155-C156</f>
        <v>276675.80620729824</v>
      </c>
      <c r="D157" s="156">
        <f ref="D157:AA157" t="shared" si="94">D152+D154-D155-D156</f>
        <v>-17092.29166687344</v>
      </c>
      <c r="E157" s="156">
        <f t="shared" si="94"/>
        <v>279432.16961441207</v>
      </c>
      <c r="F157" s="156">
        <f t="shared" si="94"/>
        <v>123708.75335468</v>
      </c>
      <c r="G157" s="156">
        <f t="shared" si="94"/>
        <v>158742.1660413529</v>
      </c>
      <c r="H157" s="156">
        <f t="shared" si="94"/>
        <v>338817.51308559562</v>
      </c>
      <c r="I157" s="156">
        <f t="shared" si="94"/>
        <v>838599.29808591353</v>
      </c>
      <c r="J157" s="156">
        <f t="shared" si="94"/>
        <v>618978.84425835544</v>
      </c>
      <c r="K157" s="156">
        <f t="shared" si="94"/>
        <v>618978.84425835544</v>
      </c>
      <c r="L157" s="156">
        <f t="shared" si="94"/>
        <v>618978.84425835544</v>
      </c>
      <c r="M157" s="156">
        <f t="shared" si="94"/>
        <v>618978.84425835544</v>
      </c>
      <c r="N157" s="156">
        <f t="shared" si="94"/>
        <v>618978.84425835544</v>
      </c>
      <c r="O157" s="156">
        <f t="shared" si="94"/>
        <v>618978.84425835544</v>
      </c>
      <c r="P157" s="156">
        <f t="shared" si="94"/>
        <v>618978.84425835544</v>
      </c>
      <c r="Q157" s="156">
        <f t="shared" si="94"/>
        <v>618978.84425835544</v>
      </c>
      <c r="R157" s="156">
        <f t="shared" si="94"/>
        <v>693086.40971416805</v>
      </c>
      <c r="S157" s="156">
        <f t="shared" si="94"/>
        <v>152125.78962118272</v>
      </c>
      <c r="T157" s="156">
        <f t="shared" si="94"/>
        <v>371746.24344874092</v>
      </c>
      <c r="U157" s="156">
        <f t="shared" si="94"/>
        <v>371746.24344874092</v>
      </c>
      <c r="V157" s="156">
        <f t="shared" si="94"/>
        <v>371746.24344874092</v>
      </c>
      <c r="W157" s="156">
        <f t="shared" si="94"/>
        <v>424702.27459737367</v>
      </c>
      <c r="X157" s="156">
        <f t="shared" si="94"/>
        <v>-42522.75822459528</v>
      </c>
      <c r="Y157" s="156">
        <f t="shared" si="94"/>
        <v>181673.12172437046</v>
      </c>
      <c r="Z157" s="156">
        <f t="shared" si="94"/>
        <v>181673.12172437046</v>
      </c>
      <c r="AA157" s="156">
        <f t="shared" si="94"/>
        <v>234629.15287300319</v>
      </c>
      <c r="AH157" s="162"/>
    </row>
    <row spans="1:34" r="158" x14ac:dyDescent="0.25">
      <c r="AH158" s="156"/>
    </row>
    <row spans="1:34" r="159" x14ac:dyDescent="0.25">
      <c r="B159" s="8" t="s">
        <v>95</v>
      </c>
      <c r="C159" s="8">
        <v>0.5</v>
      </c>
      <c r="D159" s="8">
        <f>C159+1</f>
        <v>1.5</v>
      </c>
      <c r="E159" s="8">
        <f ref="E159:AA159" t="shared" si="95">D159+1</f>
        <v>2.5</v>
      </c>
      <c r="F159" s="8">
        <f t="shared" si="95"/>
        <v>3.5</v>
      </c>
      <c r="G159" s="8">
        <f t="shared" si="95"/>
        <v>4.5</v>
      </c>
      <c r="H159" s="8">
        <f t="shared" si="95"/>
        <v>5.5</v>
      </c>
      <c r="I159" s="8">
        <f t="shared" si="95"/>
        <v>6.5</v>
      </c>
      <c r="J159" s="8">
        <f t="shared" si="95"/>
        <v>7.5</v>
      </c>
      <c r="K159" s="8">
        <f t="shared" si="95"/>
        <v>8.5</v>
      </c>
      <c r="L159" s="8">
        <f t="shared" si="95"/>
        <v>9.5</v>
      </c>
      <c r="M159" s="8">
        <f t="shared" si="95"/>
        <v>10.5</v>
      </c>
      <c r="N159" s="8">
        <f t="shared" si="95"/>
        <v>11.5</v>
      </c>
      <c r="O159" s="8">
        <f t="shared" si="95"/>
        <v>12.5</v>
      </c>
      <c r="P159" s="8">
        <f t="shared" si="95"/>
        <v>13.5</v>
      </c>
      <c r="Q159" s="8">
        <f t="shared" si="95"/>
        <v>14.5</v>
      </c>
      <c r="R159" s="8">
        <f t="shared" si="95"/>
        <v>15.5</v>
      </c>
      <c r="S159" s="8">
        <f t="shared" si="95"/>
        <v>16.5</v>
      </c>
      <c r="T159" s="8">
        <f t="shared" si="95"/>
        <v>17.5</v>
      </c>
      <c r="U159" s="8">
        <f t="shared" si="95"/>
        <v>18.5</v>
      </c>
      <c r="V159" s="8">
        <f t="shared" si="95"/>
        <v>19.5</v>
      </c>
      <c r="W159" s="8">
        <f t="shared" si="95"/>
        <v>20.5</v>
      </c>
      <c r="X159" s="8">
        <f t="shared" si="95"/>
        <v>21.5</v>
      </c>
      <c r="Y159" s="8">
        <f t="shared" si="95"/>
        <v>22.5</v>
      </c>
      <c r="Z159" s="8">
        <f t="shared" si="95"/>
        <v>23.5</v>
      </c>
      <c r="AA159" s="8">
        <f t="shared" si="95"/>
        <v>24.5</v>
      </c>
      <c r="AH159" s="156"/>
    </row>
    <row spans="1:34" r="160" x14ac:dyDescent="0.25">
      <c r="AH160" s="156"/>
    </row>
    <row spans="1:34" r="161" x14ac:dyDescent="0.25">
      <c r="B161" s="151" t="s">
        <v>96</v>
      </c>
      <c r="C161" s="156">
        <f>C157/(1+$G$166)^C159</f>
        <v>264675.85887921485</v>
      </c>
      <c r="D161" s="156">
        <f>D157/(1+$G$166)^D159</f>
        <v>-14963.381060839582</v>
      </c>
      <c r="E161" s="156">
        <f ref="D161:AA161" t="shared" si="96">E157/(1+$G$166)^E159</f>
        <v>223868.06087830159</v>
      </c>
      <c r="F161" s="156">
        <f t="shared" si="96"/>
        <v>90698.991686380687</v>
      </c>
      <c r="G161" s="156">
        <f t="shared" si="96"/>
        <v>106507.60633151176</v>
      </c>
      <c r="H161" s="156">
        <f t="shared" si="96"/>
        <v>208036.94458348691</v>
      </c>
      <c r="I161" s="156">
        <f t="shared" si="96"/>
        <v>471210.98330330517</v>
      </c>
      <c r="J161" s="156">
        <f t="shared" si="96"/>
        <v>318290.01141597802</v>
      </c>
      <c r="K161" s="156">
        <f t="shared" si="96"/>
        <v>291279.08633896121</v>
      </c>
      <c r="L161" s="156">
        <f t="shared" si="96"/>
        <v>266560.37919951172</v>
      </c>
      <c r="M161" s="156">
        <f t="shared" si="96"/>
        <v>243939.36637215866</v>
      </c>
      <c r="N161" s="156">
        <f t="shared" si="96"/>
        <v>223238.03201642219</v>
      </c>
      <c r="O161" s="156">
        <f t="shared" si="96"/>
        <v>204293.4671828883</v>
      </c>
      <c r="P161" s="156">
        <f t="shared" si="96"/>
        <v>186956.58780281493</v>
      </c>
      <c r="Q161" s="156">
        <f t="shared" si="96"/>
        <v>171090.96147250326</v>
      </c>
      <c r="R161" s="156">
        <f t="shared" si="96"/>
        <v>175317.36641510745</v>
      </c>
      <c r="S161" s="156">
        <f t="shared" si="96"/>
        <v>35214.919047414733</v>
      </c>
      <c r="T161" s="156">
        <f t="shared" si="96"/>
        <v>78751.118605424039</v>
      </c>
      <c r="U161" s="156">
        <f t="shared" si="96"/>
        <v>72068.092157564897</v>
      </c>
      <c r="V161" s="156">
        <f t="shared" si="96"/>
        <v>65952.204860154699</v>
      </c>
      <c r="W161" s="156">
        <f t="shared" si="96"/>
        <v>68953.070680418299</v>
      </c>
      <c r="X161" s="156">
        <f t="shared" si="96"/>
        <v>-6317.9581580047188</v>
      </c>
      <c r="Y161" s="156">
        <f t="shared" si="96"/>
        <v>24702.009871327293</v>
      </c>
      <c r="Z161" s="156">
        <f t="shared" si="96"/>
        <v>22605.732533191953</v>
      </c>
      <c r="AA161" s="156">
        <f t="shared" si="96"/>
        <v>26717.521801605926</v>
      </c>
    </row>
    <row spans="1:34" r="163" x14ac:dyDescent="0.25">
      <c r="B163" s="31" t="s">
        <v>102</v>
      </c>
      <c r="C163" s="33"/>
      <c r="AH163" s="156"/>
    </row>
    <row spans="1:34" r="164" x14ac:dyDescent="0.25">
      <c r="A164" s="8" t="s">
        <v>40</v>
      </c>
      <c r="B164" s="159" t="s">
        <v>163</v>
      </c>
      <c r="C164" s="283">
        <f>SUM(C161:AA161)</f>
        <v>3819647.0342168044</v>
      </c>
      <c r="F164" s="31" t="s">
        <v>98</v>
      </c>
      <c r="G164" s="32"/>
      <c r="H164" s="33"/>
      <c r="AH164" s="156"/>
    </row>
    <row spans="1:34" r="165" x14ac:dyDescent="0.25">
      <c r="B165" s="159" t="s">
        <v>104</v>
      </c>
      <c r="C165" s="283">
        <f>SUM('Liquidity Position'!E6:E7)</f>
        <v>510000</v>
      </c>
      <c r="F165" s="72" t="s">
        <v>99</v>
      </c>
      <c r="G165" s="24" t="s">
        <v>100</v>
      </c>
      <c r="H165" s="285" t="s">
        <v>101</v>
      </c>
    </row>
    <row spans="1:34" r="166" x14ac:dyDescent="0.25">
      <c r="B166" s="159" t="s">
        <v>121</v>
      </c>
      <c r="C166" s="283">
        <f>'Liquidity Position'!E8*0.95</f>
        <v>470728.8</v>
      </c>
      <c r="F166" s="286">
        <f>G166-0.005</f>
        <v>8.7732112753142258E-2</v>
      </c>
      <c r="G166" s="157">
        <f>WACC!C23</f>
        <v>9.2732112753142262E-2</v>
      </c>
      <c r="H166" s="287">
        <f>G166+0.005</f>
        <v>9.7732112753142267E-2</v>
      </c>
    </row>
    <row spans="1:34" r="167" x14ac:dyDescent="0.25">
      <c r="B167" s="159" t="s">
        <v>122</v>
      </c>
      <c r="C167" s="283">
        <f>'Liquidity Position'!E9*0.95</f>
        <v>124955.77999999998</v>
      </c>
      <c r="F167" s="159"/>
      <c r="H167" s="288"/>
    </row>
    <row spans="1:34" r="168" x14ac:dyDescent="0.25">
      <c r="B168" s="159" t="s">
        <v>123</v>
      </c>
      <c r="C168" s="283">
        <f>'Liquidity Position'!E10</f>
        <v>48000</v>
      </c>
      <c r="F168" s="72" t="s">
        <v>101</v>
      </c>
      <c r="G168" s="24" t="s">
        <v>100</v>
      </c>
      <c r="H168" s="285" t="s">
        <v>99</v>
      </c>
    </row>
    <row spans="1:34" r="169" x14ac:dyDescent="0.25">
      <c r="B169" s="159" t="s">
        <v>108</v>
      </c>
      <c r="C169" s="283">
        <v>400000</v>
      </c>
      <c r="F169" s="289">
        <v>32.44</v>
      </c>
      <c r="G169" s="290">
        <v>33.909999999999997</v>
      </c>
      <c r="H169" s="291">
        <v>35.46</v>
      </c>
    </row>
    <row spans="1:34" r="170" x14ac:dyDescent="0.25">
      <c r="B170" s="159" t="s">
        <v>109</v>
      </c>
      <c r="C170" s="283">
        <f>WACC!C20*1000</f>
        <v>1656000</v>
      </c>
    </row>
    <row spans="1:34" r="171" x14ac:dyDescent="0.25">
      <c r="B171" s="159" t="s">
        <v>110</v>
      </c>
      <c r="C171" s="283">
        <f>WACC!C18*1000</f>
        <v>108222.60400000001</v>
      </c>
      <c r="F171" s="8" t="s">
        <v>124</v>
      </c>
    </row>
    <row spans="1:34" r="172" x14ac:dyDescent="0.25">
      <c r="B172" s="273" t="s">
        <v>125</v>
      </c>
      <c r="C172" s="284">
        <f>(SUM(C164:C169)-C170)/C171</f>
        <v>34.348938916834825</v>
      </c>
    </row>
    <row spans="1:34" r="175" x14ac:dyDescent="0.25">
      <c r="B175" s="24" t="str">
        <f>B163</f>
        <v>Sum of the Parts Valuation</v>
      </c>
      <c r="C175" s="24"/>
      <c r="F175" s="2" t="s">
        <v>559</v>
      </c>
      <c r="G175" s="2"/>
      <c r="H175" s="2"/>
      <c r="I175" s="2"/>
      <c r="J175" s="2"/>
    </row>
    <row spans="1:34" r="176" x14ac:dyDescent="0.25">
      <c r="B176" s="8" t="str">
        <f>B164</f>
        <v>FLNG</v>
      </c>
      <c r="C176" s="271">
        <f>C164/$C$171</f>
        <v>35.294355273661722</v>
      </c>
      <c r="F176" s="2"/>
      <c r="G176" s="2" t="s">
        <v>560</v>
      </c>
      <c r="H176" s="2" t="s">
        <v>561</v>
      </c>
      <c r="I176" s="2" t="s">
        <v>562</v>
      </c>
      <c r="J176" s="2" t="s">
        <v>563</v>
      </c>
    </row>
    <row spans="2:10" r="177" x14ac:dyDescent="0.25">
      <c r="B177" s="8" t="str">
        <f ref="B177:B184" t="shared" si="97">B165</f>
        <v>Cash</v>
      </c>
      <c r="C177" s="271">
        <f ref="C177:C182" t="shared" si="98">C165/$C$171</f>
        <v>4.7125090429352445</v>
      </c>
      <c r="F177" s="2" t="s">
        <v>163</v>
      </c>
      <c r="G177" s="2"/>
      <c r="H177" s="2"/>
      <c r="I177" s="2"/>
      <c r="J177" s="205">
        <f>C176</f>
        <v>35.294355273661722</v>
      </c>
    </row>
    <row spans="2:10" r="178" x14ac:dyDescent="0.25">
      <c r="B178" s="8" t="str">
        <f t="shared" si="97"/>
        <v>NFE Shares -5% @4/27</v>
      </c>
      <c r="C178" s="271">
        <f t="shared" si="98"/>
        <v>4.3496347583726589</v>
      </c>
      <c r="F178" s="2" t="str">
        <f>B177</f>
        <v>Cash</v>
      </c>
      <c r="G178" s="2">
        <f>J177</f>
        <v>35.294355273661722</v>
      </c>
      <c r="H178" s="2"/>
      <c r="I178" s="205">
        <f>C177</f>
        <v>4.7125090429352445</v>
      </c>
      <c r="J178" s="2"/>
    </row>
    <row spans="2:10" r="179" x14ac:dyDescent="0.25">
      <c r="B179" s="8" t="str">
        <f t="shared" si="97"/>
        <v>CoolCo Shares -5% @4/27</v>
      </c>
      <c r="C179" s="271">
        <f t="shared" si="98"/>
        <v>1.1546181239549547</v>
      </c>
      <c r="F179" s="2" t="str">
        <f ref="F179:F184" t="shared" si="99">B178</f>
        <v>NFE Shares -5% @4/27</v>
      </c>
      <c r="G179" s="2">
        <f>SUM(G178:I178)</f>
        <v>40.006864316596968</v>
      </c>
      <c r="H179" s="2"/>
      <c r="I179" s="205">
        <f ref="I179:I183" t="shared" si="100">C178</f>
        <v>4.3496347583726589</v>
      </c>
      <c r="J179" s="2"/>
    </row>
    <row spans="2:10" r="180" x14ac:dyDescent="0.25">
      <c r="B180" s="8" t="str">
        <f t="shared" si="97"/>
        <v>Avenier LNG @ Book Value</v>
      </c>
      <c r="C180" s="271">
        <f t="shared" si="98"/>
        <v>0.4435302628644936</v>
      </c>
      <c r="F180" s="2" t="str">
        <f t="shared" si="99"/>
        <v>CoolCo Shares -5% @4/27</v>
      </c>
      <c r="G180" s="2">
        <f ref="G180:H183" t="shared" si="101">SUM(G179:I179)</f>
        <v>44.356499074969626</v>
      </c>
      <c r="H180" s="2"/>
      <c r="I180" s="205">
        <f t="shared" si="100"/>
        <v>1.1546181239549547</v>
      </c>
      <c r="J180" s="2"/>
    </row>
    <row spans="2:10" r="181" x14ac:dyDescent="0.25">
      <c r="B181" s="8" t="str">
        <f t="shared" si="97"/>
        <v>Golar Tundra FLNG Valued at 400m</v>
      </c>
      <c r="C181" s="271">
        <f t="shared" si="98"/>
        <v>3.6960855238707802</v>
      </c>
      <c r="F181" s="2" t="str">
        <f t="shared" si="99"/>
        <v>Avenier LNG @ Book Value</v>
      </c>
      <c r="G181" s="2">
        <f t="shared" si="101"/>
        <v>45.51111719892458</v>
      </c>
      <c r="H181" s="2"/>
      <c r="I181" s="205">
        <f t="shared" si="100"/>
        <v>0.4435302628644936</v>
      </c>
      <c r="J181" s="2"/>
    </row>
    <row spans="2:10" r="182" x14ac:dyDescent="0.25">
      <c r="B182" s="8" t="str">
        <f t="shared" si="97"/>
        <v>Debt</v>
      </c>
      <c r="C182" s="271">
        <f t="shared" si="98"/>
        <v>15.30179406882503</v>
      </c>
      <c r="F182" s="2" t="str">
        <f t="shared" si="99"/>
        <v>Golar Tundra FLNG Valued at 400m</v>
      </c>
      <c r="G182" s="2">
        <f t="shared" si="101"/>
        <v>45.954647461789072</v>
      </c>
      <c r="H182" s="2"/>
      <c r="I182" s="205">
        <f t="shared" si="100"/>
        <v>3.6960855238707802</v>
      </c>
      <c r="J182" s="2"/>
    </row>
    <row spans="2:10" r="183" x14ac:dyDescent="0.25">
      <c r="B183" s="8" t="str">
        <f t="shared" si="97"/>
        <v>Shares Outstanding</v>
      </c>
      <c r="F183" s="2" t="str">
        <f t="shared" si="99"/>
        <v>Debt</v>
      </c>
      <c r="G183" s="2">
        <v>15.30179406882503</v>
      </c>
      <c r="H183" s="2">
        <v>15.30179406882503</v>
      </c>
      <c r="I183" s="2">
        <v>15.30179406882503</v>
      </c>
      <c r="J183" s="2"/>
    </row>
    <row spans="2:10" r="184" x14ac:dyDescent="0.25">
      <c r="B184" s="8" t="str">
        <f t="shared" si="97"/>
        <v>Share Price - Base Case</v>
      </c>
      <c r="F184" s="2" t="s">
        <v>712</v>
      </c>
      <c r="G184" s="2"/>
      <c r="H184" s="2"/>
      <c r="I184" s="205">
        <v>34.446461665642744</v>
      </c>
      <c r="J184" s="2"/>
    </row>
  </sheetData>
  <pageMargins top="0.75" left="0.7" footer="0.3" bottom="0.75" header="0.3" right="0.7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AF0A6-1EF3-474E-BE43-C7932AEE6C6C}">
  <dimension ref="A1:AK196"/>
  <sheetViews>
    <sheetView workbookViewId="0" showGridLines="0"/>
  </sheetViews>
  <sheetFormatPr defaultColWidth="8.7109375" outlineLevelRow="1" defaultRowHeight="15" outlineLevelCol="2" x14ac:dyDescent="0.25"/>
  <cols>
    <col customWidth="1" min="1" max="1" width="2.140625" style="8" bestFit="1"/>
    <col customWidth="1" min="2" max="2" width="34.85546875" style="8" bestFit="1"/>
    <col outlineLevel="2" customWidth="1" min="3" max="4" width="8.7109375" style="8"/>
    <col outlineLevel="2" customWidth="1" min="5" max="5" width="9.140625" style="8"/>
    <col outlineLevel="1" customWidth="1" min="6" max="6" width="9.140625" style="8"/>
    <col customWidth="1" min="7" max="12" width="9.140625" style="8" bestFit="1"/>
    <col outlineLevel="1" customWidth="1" min="13" max="27" width="9.140625" style="8" bestFit="1"/>
    <col min="28" max="35" width="8.7109375" style="8"/>
    <col customWidth="1" min="36" max="36" width="22.28515625" style="8" bestFit="1"/>
    <col customWidth="1" min="37" max="37" width="9" style="8" bestFit="1"/>
    <col min="38" max="16384" width="8.7109375" style="8"/>
  </cols>
  <sheetData>
    <row spans="1:33" r="1" x14ac:dyDescent="0.25">
      <c r="A1" s="151" t="s">
        <v>6</v>
      </c>
    </row>
    <row spans="1:33" r="3" x14ac:dyDescent="0.25">
      <c r="B3" s="24" t="s">
        <v>8</v>
      </c>
      <c r="C3" s="24">
        <v>2019</v>
      </c>
      <c r="D3" s="24">
        <v>2020</v>
      </c>
      <c r="E3" s="24">
        <v>2021</v>
      </c>
      <c r="F3" s="24">
        <v>2022</v>
      </c>
      <c r="G3" s="24">
        <f>F3+1</f>
        <v>2023</v>
      </c>
      <c r="H3" s="24">
        <f ref="H3:O3" t="shared" si="0">G3+1</f>
        <v>2024</v>
      </c>
      <c r="I3" s="24">
        <f t="shared" si="0"/>
        <v>2025</v>
      </c>
      <c r="J3" s="24">
        <f t="shared" si="0"/>
        <v>2026</v>
      </c>
      <c r="K3" s="24">
        <f t="shared" si="0"/>
        <v>2027</v>
      </c>
      <c r="L3" s="24">
        <f t="shared" si="0"/>
        <v>2028</v>
      </c>
      <c r="M3" s="24">
        <f t="shared" si="0"/>
        <v>2029</v>
      </c>
      <c r="N3" s="24">
        <f t="shared" si="0"/>
        <v>2030</v>
      </c>
      <c r="O3" s="24">
        <f t="shared" si="0"/>
        <v>2031</v>
      </c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</row>
    <row spans="1:33" r="4" x14ac:dyDescent="0.25">
      <c r="B4" s="2" t="s">
        <v>9</v>
      </c>
      <c r="C4" s="2">
        <v>2.4</v>
      </c>
      <c r="D4" s="2">
        <v>2.4</v>
      </c>
      <c r="E4" s="2">
        <v>2.4</v>
      </c>
      <c r="F4" s="29">
        <v>2.4</v>
      </c>
      <c r="G4" s="2">
        <v>2.4</v>
      </c>
      <c r="H4" s="2">
        <v>2.4</v>
      </c>
      <c r="I4" s="2">
        <v>2.4</v>
      </c>
      <c r="J4" s="2">
        <v>2.4</v>
      </c>
      <c r="K4" s="2">
        <v>2.4</v>
      </c>
      <c r="L4" s="2">
        <v>2.4</v>
      </c>
      <c r="M4" s="2">
        <v>2.4</v>
      </c>
      <c r="N4" s="2">
        <v>2.4</v>
      </c>
      <c r="O4" s="2">
        <v>2.4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spans="1:33" r="5" x14ac:dyDescent="0.25">
      <c r="B5" s="2" t="s">
        <v>10</v>
      </c>
      <c r="C5" s="2">
        <v>1.2</v>
      </c>
      <c r="D5" s="2">
        <v>1.2</v>
      </c>
      <c r="E5" s="2">
        <v>1.2</v>
      </c>
      <c r="F5" s="29">
        <v>1.2</v>
      </c>
      <c r="G5" s="2">
        <v>1.2</v>
      </c>
      <c r="H5" s="2">
        <v>1.2</v>
      </c>
      <c r="I5" s="2">
        <v>1.2</v>
      </c>
      <c r="J5" s="2">
        <v>1.2</v>
      </c>
      <c r="K5" s="2">
        <v>1.2</v>
      </c>
      <c r="L5" s="2">
        <v>1.2</v>
      </c>
      <c r="M5" s="2">
        <v>1.2</v>
      </c>
      <c r="N5" s="2">
        <v>1.2</v>
      </c>
      <c r="O5" s="2">
        <v>1.2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spans="1:33" r="6" x14ac:dyDescent="0.25">
      <c r="B6" s="2" t="s">
        <v>11</v>
      </c>
      <c r="C6" s="20">
        <v>218096</v>
      </c>
      <c r="D6" s="20">
        <v>226061</v>
      </c>
      <c r="E6" s="20">
        <v>221020</v>
      </c>
      <c r="F6" s="220">
        <f>F7*F5</f>
        <v>221725.66666666669</v>
      </c>
      <c r="G6" s="20">
        <f ref="G6:O6" t="shared" si="1">G7*G5</f>
        <v>221725.66666666669</v>
      </c>
      <c r="H6" s="20">
        <f t="shared" si="1"/>
        <v>221725.66666666669</v>
      </c>
      <c r="I6" s="20">
        <f t="shared" si="1"/>
        <v>221725.66666666669</v>
      </c>
      <c r="J6" s="20">
        <f t="shared" si="1"/>
        <v>221725.66666666669</v>
      </c>
      <c r="K6" s="20">
        <f>K7*K5</f>
        <v>221725.66666666669</v>
      </c>
      <c r="L6" s="20">
        <f t="shared" si="1"/>
        <v>221725.66666666669</v>
      </c>
      <c r="M6" s="20">
        <f t="shared" si="1"/>
        <v>221725.66666666669</v>
      </c>
      <c r="N6" s="20">
        <f t="shared" si="1"/>
        <v>221725.66666666669</v>
      </c>
      <c r="O6" s="20">
        <f t="shared" si="1"/>
        <v>221725.66666666669</v>
      </c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</row>
    <row spans="1:33" r="7" x14ac:dyDescent="0.25">
      <c r="B7" s="18" t="s">
        <v>12</v>
      </c>
      <c r="C7" s="20">
        <f>C6/C5</f>
        <v>181746.66666666669</v>
      </c>
      <c r="D7" s="20">
        <f ref="D7:E7" t="shared" si="2">D6/D5</f>
        <v>188384.16666666669</v>
      </c>
      <c r="E7" s="20">
        <f t="shared" si="2"/>
        <v>184183.33333333334</v>
      </c>
      <c r="F7" s="220">
        <f>AVERAGE($C$7:$E$7)</f>
        <v>184771.38888888891</v>
      </c>
      <c r="G7" s="20">
        <f ref="G7:O7" t="shared" si="3">AVERAGE($C$7:$E$7)</f>
        <v>184771.38888888891</v>
      </c>
      <c r="H7" s="20">
        <f t="shared" si="3"/>
        <v>184771.38888888891</v>
      </c>
      <c r="I7" s="20">
        <f t="shared" si="3"/>
        <v>184771.38888888891</v>
      </c>
      <c r="J7" s="20">
        <f t="shared" si="3"/>
        <v>184771.38888888891</v>
      </c>
      <c r="K7" s="20">
        <f t="shared" si="3"/>
        <v>184771.38888888891</v>
      </c>
      <c r="L7" s="20">
        <f t="shared" si="3"/>
        <v>184771.38888888891</v>
      </c>
      <c r="M7" s="20">
        <f t="shared" si="3"/>
        <v>184771.38888888891</v>
      </c>
      <c r="N7" s="20">
        <f t="shared" si="3"/>
        <v>184771.38888888891</v>
      </c>
      <c r="O7" s="20">
        <f t="shared" si="3"/>
        <v>184771.38888888891</v>
      </c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</row>
    <row spans="1:33" r="8" x14ac:dyDescent="0.25">
      <c r="B8" s="2"/>
      <c r="C8" s="2"/>
      <c r="D8" s="2"/>
      <c r="E8" s="2"/>
      <c r="F8" s="29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spans="1:33" r="9" x14ac:dyDescent="0.25">
      <c r="B9" s="2" t="s">
        <v>13</v>
      </c>
      <c r="C9" s="20">
        <v>55284</v>
      </c>
      <c r="D9" s="20">
        <v>52104</v>
      </c>
      <c r="E9" s="20">
        <f>E6*E10</f>
        <v>53483.653510713877</v>
      </c>
      <c r="F9" s="220">
        <f>F6*F10</f>
        <v>53654.414670310573</v>
      </c>
      <c r="G9" s="20">
        <f ref="G9:O9" t="shared" si="4">G6*G10</f>
        <v>53654.414670310573</v>
      </c>
      <c r="H9" s="20">
        <f t="shared" si="4"/>
        <v>53654.414670310573</v>
      </c>
      <c r="I9" s="20">
        <f t="shared" si="4"/>
        <v>53654.414670310573</v>
      </c>
      <c r="J9" s="20">
        <f t="shared" si="4"/>
        <v>53654.414670310573</v>
      </c>
      <c r="K9" s="20">
        <f t="shared" si="4"/>
        <v>53654.414670310573</v>
      </c>
      <c r="L9" s="20">
        <f t="shared" si="4"/>
        <v>53654.414670310573</v>
      </c>
      <c r="M9" s="20">
        <f t="shared" si="4"/>
        <v>53654.414670310573</v>
      </c>
      <c r="N9" s="20">
        <f t="shared" si="4"/>
        <v>53654.414670310573</v>
      </c>
      <c r="O9" s="20">
        <f t="shared" si="4"/>
        <v>53654.414670310573</v>
      </c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</row>
    <row spans="1:33" r="10" x14ac:dyDescent="0.25">
      <c r="B10" s="18" t="s">
        <v>14</v>
      </c>
      <c r="C10" s="74">
        <f>C9/C6</f>
        <v>0.25348470398356687</v>
      </c>
      <c r="D10" s="74">
        <f ref="D10" t="shared" si="5">D9/D6</f>
        <v>0.23048646161876662</v>
      </c>
      <c r="E10" s="74">
        <f>AVERAGE($C$10:$D$10)</f>
        <v>0.24198558280116675</v>
      </c>
      <c r="F10" s="75">
        <f>AVERAGE($C$10:$E$10)</f>
        <v>0.24198558280116675</v>
      </c>
      <c r="G10" s="76">
        <f ref="G10:O10" t="shared" si="6">AVERAGE($C$10:$E$10)</f>
        <v>0.24198558280116675</v>
      </c>
      <c r="H10" s="76">
        <f t="shared" si="6"/>
        <v>0.24198558280116675</v>
      </c>
      <c r="I10" s="76">
        <f t="shared" si="6"/>
        <v>0.24198558280116675</v>
      </c>
      <c r="J10" s="76">
        <f t="shared" si="6"/>
        <v>0.24198558280116675</v>
      </c>
      <c r="K10" s="76">
        <f t="shared" si="6"/>
        <v>0.24198558280116675</v>
      </c>
      <c r="L10" s="76">
        <f t="shared" si="6"/>
        <v>0.24198558280116675</v>
      </c>
      <c r="M10" s="76">
        <f t="shared" si="6"/>
        <v>0.24198558280116675</v>
      </c>
      <c r="N10" s="76">
        <f t="shared" si="6"/>
        <v>0.24198558280116675</v>
      </c>
      <c r="O10" s="76">
        <f t="shared" si="6"/>
        <v>0.24198558280116675</v>
      </c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</row>
    <row spans="1:33" r="11" x14ac:dyDescent="0.25">
      <c r="B11" s="18"/>
      <c r="C11" s="74"/>
      <c r="D11" s="74"/>
      <c r="E11" s="74"/>
      <c r="F11" s="75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</row>
    <row spans="1:33" r="12" x14ac:dyDescent="0.25">
      <c r="B12" s="2" t="s">
        <v>15</v>
      </c>
      <c r="C12" s="20"/>
      <c r="D12" s="20"/>
      <c r="E12" s="20"/>
      <c r="F12" s="227">
        <f>F19+F25</f>
        <v>130750</v>
      </c>
      <c r="G12" s="221">
        <f ref="G12:J12" t="shared" si="7">G19+G25</f>
        <v>73000</v>
      </c>
      <c r="H12" s="221">
        <f t="shared" si="7"/>
        <v>13500</v>
      </c>
      <c r="I12" s="221">
        <f t="shared" si="7"/>
        <v>0</v>
      </c>
      <c r="J12" s="221">
        <f t="shared" si="7"/>
        <v>0</v>
      </c>
      <c r="K12" s="221">
        <v>0</v>
      </c>
      <c r="L12" s="221">
        <v>0</v>
      </c>
      <c r="M12" s="221">
        <v>0</v>
      </c>
      <c r="N12" s="221">
        <v>0</v>
      </c>
      <c r="O12" s="221">
        <v>0</v>
      </c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</row>
    <row spans="1:33" r="13" x14ac:dyDescent="0.25">
      <c r="B13" s="2"/>
      <c r="C13" s="2"/>
      <c r="D13" s="2"/>
      <c r="E13" s="65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spans="1:33" r="14" x14ac:dyDescent="0.25">
      <c r="A14" s="8" t="s">
        <v>7</v>
      </c>
      <c r="B14" s="2" t="s">
        <v>16</v>
      </c>
      <c r="C14" s="2"/>
      <c r="D14" s="2"/>
      <c r="E14" s="65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spans="1:33" r="15" x14ac:dyDescent="0.25">
      <c r="B15" s="69" t="s">
        <v>17</v>
      </c>
      <c r="C15" s="69"/>
      <c r="D15" s="69"/>
      <c r="E15" s="77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spans="1:33" r="16" x14ac:dyDescent="0.25">
      <c r="B16" s="2" t="s">
        <v>18</v>
      </c>
      <c r="C16" s="2"/>
      <c r="D16" s="2"/>
      <c r="E16" s="65"/>
      <c r="F16" s="228">
        <v>85</v>
      </c>
      <c r="G16" s="228">
        <v>75</v>
      </c>
      <c r="H16" s="228">
        <v>65</v>
      </c>
      <c r="I16" s="228">
        <v>60</v>
      </c>
      <c r="J16" s="228">
        <v>60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spans="1:33" r="17" x14ac:dyDescent="0.25">
      <c r="B17" s="2" t="s">
        <v>19</v>
      </c>
      <c r="C17" s="2"/>
      <c r="D17" s="2"/>
      <c r="E17" s="65"/>
      <c r="F17" s="228">
        <f>F16-60</f>
        <v>25</v>
      </c>
      <c r="G17" s="228">
        <f ref="G17:J17" t="shared" si="8">G16-60</f>
        <v>15</v>
      </c>
      <c r="H17" s="228">
        <f t="shared" si="8"/>
        <v>5</v>
      </c>
      <c r="I17" s="228">
        <f t="shared" si="8"/>
        <v>0</v>
      </c>
      <c r="J17" s="228">
        <f t="shared" si="8"/>
        <v>0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spans="1:33" r="18" x14ac:dyDescent="0.25">
      <c r="B18" s="2" t="s">
        <v>20</v>
      </c>
      <c r="C18" s="2"/>
      <c r="D18" s="2"/>
      <c r="E18" s="2"/>
      <c r="F18" s="20">
        <f ref="F18:J18" t="shared" si="9">2.7*1000</f>
        <v>2700</v>
      </c>
      <c r="G18" s="20">
        <f t="shared" si="9"/>
        <v>2700</v>
      </c>
      <c r="H18" s="20">
        <f t="shared" si="9"/>
        <v>2700</v>
      </c>
      <c r="I18" s="20">
        <f t="shared" si="9"/>
        <v>2700</v>
      </c>
      <c r="J18" s="20">
        <f t="shared" si="9"/>
        <v>2700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spans="1:33" r="19" x14ac:dyDescent="0.25">
      <c r="B19" s="2" t="s">
        <v>114</v>
      </c>
      <c r="C19" s="2"/>
      <c r="D19" s="2"/>
      <c r="E19" s="2"/>
      <c r="F19" s="21">
        <f>F18*F17</f>
        <v>67500</v>
      </c>
      <c r="G19" s="21">
        <f ref="G19:J19" t="shared" si="10">G18*G17</f>
        <v>40500</v>
      </c>
      <c r="H19" s="21">
        <f t="shared" si="10"/>
        <v>13500</v>
      </c>
      <c r="I19" s="21">
        <f t="shared" si="10"/>
        <v>0</v>
      </c>
      <c r="J19" s="21">
        <f t="shared" si="10"/>
        <v>0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spans="1:33" r="20" x14ac:dyDescent="0.25">
      <c r="B20" s="69" t="s">
        <v>22</v>
      </c>
      <c r="C20" s="69"/>
      <c r="D20" s="69"/>
      <c r="E20" s="77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spans="1:33" r="21" x14ac:dyDescent="0.25">
      <c r="B21" s="2" t="s">
        <v>23</v>
      </c>
      <c r="C21" s="2"/>
      <c r="D21" s="2"/>
      <c r="E21" s="2"/>
      <c r="F21" s="20">
        <v>61000</v>
      </c>
      <c r="G21" s="20"/>
      <c r="H21" s="20"/>
      <c r="I21" s="20"/>
      <c r="J21" s="20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spans="1:33" r="22" x14ac:dyDescent="0.25">
      <c r="B22" s="2" t="s">
        <v>24</v>
      </c>
      <c r="C22" s="2"/>
      <c r="D22" s="2"/>
      <c r="E22" s="2"/>
      <c r="F22" s="228">
        <v>25</v>
      </c>
      <c r="G22" s="228">
        <v>20</v>
      </c>
      <c r="H22" s="228">
        <v>15</v>
      </c>
      <c r="I22" s="228">
        <v>15</v>
      </c>
      <c r="J22" s="228">
        <v>15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spans="1:33" r="23" x14ac:dyDescent="0.25">
      <c r="B23" s="2" t="s">
        <v>25</v>
      </c>
      <c r="C23" s="2"/>
      <c r="D23" s="2"/>
      <c r="E23" s="2"/>
      <c r="F23" s="228">
        <f>F22-15</f>
        <v>10</v>
      </c>
      <c r="G23" s="228">
        <f ref="G23:J23" t="shared" si="11">G22-15</f>
        <v>5</v>
      </c>
      <c r="H23" s="228">
        <f t="shared" si="11"/>
        <v>0</v>
      </c>
      <c r="I23" s="228">
        <f t="shared" si="11"/>
        <v>0</v>
      </c>
      <c r="J23" s="228">
        <f t="shared" si="11"/>
        <v>0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spans="1:33" r="24" x14ac:dyDescent="0.25">
      <c r="B24" s="2" t="s">
        <v>26</v>
      </c>
      <c r="C24" s="2"/>
      <c r="D24" s="2"/>
      <c r="E24" s="2"/>
      <c r="F24" s="20">
        <v>900</v>
      </c>
      <c r="G24" s="20">
        <v>6500</v>
      </c>
      <c r="H24" s="20">
        <v>6500</v>
      </c>
      <c r="I24" s="20">
        <v>6500</v>
      </c>
      <c r="J24" s="20">
        <v>6500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spans="1:33" r="25" x14ac:dyDescent="0.25">
      <c r="B25" s="2" t="s">
        <v>27</v>
      </c>
      <c r="C25" s="2"/>
      <c r="D25" s="2"/>
      <c r="E25" s="2"/>
      <c r="F25" s="21">
        <f>F23*F24*0.25+F21</f>
        <v>63250</v>
      </c>
      <c r="G25" s="21">
        <f>G23*G24</f>
        <v>32500</v>
      </c>
      <c r="H25" s="21">
        <f ref="H25:J25" t="shared" si="12">H23*H24</f>
        <v>0</v>
      </c>
      <c r="I25" s="21">
        <f t="shared" si="12"/>
        <v>0</v>
      </c>
      <c r="J25" s="21">
        <f t="shared" si="12"/>
        <v>0</v>
      </c>
      <c r="K25" s="20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spans="1:33" r="26" x14ac:dyDescent="0.25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spans="1:33" r="27" x14ac:dyDescent="0.25">
      <c r="A27" s="8" t="s">
        <v>7</v>
      </c>
      <c r="B27" s="24" t="s">
        <v>28</v>
      </c>
      <c r="C27" s="24">
        <f>C3</f>
        <v>2019</v>
      </c>
      <c r="D27" s="24">
        <f ref="D27:O27" t="shared" si="13">D3</f>
        <v>2020</v>
      </c>
      <c r="E27" s="24">
        <f t="shared" si="13"/>
        <v>2021</v>
      </c>
      <c r="F27" s="24">
        <f t="shared" si="13"/>
        <v>2022</v>
      </c>
      <c r="G27" s="24">
        <f t="shared" si="13"/>
        <v>2023</v>
      </c>
      <c r="H27" s="24">
        <f t="shared" si="13"/>
        <v>2024</v>
      </c>
      <c r="I27" s="24">
        <f t="shared" si="13"/>
        <v>2025</v>
      </c>
      <c r="J27" s="24">
        <f t="shared" si="13"/>
        <v>2026</v>
      </c>
      <c r="K27" s="24">
        <f t="shared" si="13"/>
        <v>2027</v>
      </c>
      <c r="L27" s="24">
        <f t="shared" si="13"/>
        <v>2028</v>
      </c>
      <c r="M27" s="24">
        <f t="shared" si="13"/>
        <v>2029</v>
      </c>
      <c r="N27" s="24">
        <f t="shared" si="13"/>
        <v>2030</v>
      </c>
      <c r="O27" s="24">
        <f t="shared" si="13"/>
        <v>2031</v>
      </c>
      <c r="P27" s="24"/>
      <c r="Q27" s="24"/>
      <c r="R27" s="24"/>
      <c r="S27" s="24"/>
      <c r="T27" s="24"/>
      <c r="U27" s="24"/>
      <c r="V27" s="2"/>
      <c r="W27" s="2"/>
      <c r="X27" s="2"/>
      <c r="Y27" s="2"/>
      <c r="Z27" s="2"/>
      <c r="AA27" s="2"/>
      <c r="AB27" s="2"/>
      <c r="AC27" s="2"/>
      <c r="AD27" s="2"/>
      <c r="AE27" s="2"/>
    </row>
    <row spans="1:33" r="28" x14ac:dyDescent="0.25">
      <c r="B28" s="2" t="s">
        <v>29</v>
      </c>
      <c r="C28" s="20">
        <v>1526</v>
      </c>
      <c r="D28" s="20">
        <v>1672</v>
      </c>
      <c r="E28" s="20">
        <f ref="E28:O28" t="shared" si="14">E29*E6</f>
        <v>1590.5872880762745</v>
      </c>
      <c r="F28" s="20">
        <f t="shared" si="14"/>
        <v>1595.6656720669505</v>
      </c>
      <c r="G28" s="20">
        <f t="shared" si="14"/>
        <v>1595.6656720669505</v>
      </c>
      <c r="H28" s="20">
        <f t="shared" si="14"/>
        <v>1595.6656720669505</v>
      </c>
      <c r="I28" s="20">
        <f t="shared" si="14"/>
        <v>1595.6656720669505</v>
      </c>
      <c r="J28" s="20">
        <f t="shared" si="14"/>
        <v>1595.6656720669505</v>
      </c>
      <c r="K28" s="208">
        <f ref="E28:O30" t="shared" si="15">K29*K4</f>
        <v>0</v>
      </c>
      <c r="L28" s="20">
        <f t="shared" si="14"/>
        <v>1595.6656720669505</v>
      </c>
      <c r="M28" s="20">
        <f t="shared" si="14"/>
        <v>1595.6656720669505</v>
      </c>
      <c r="N28" s="20">
        <f t="shared" si="14"/>
        <v>1595.6656720669505</v>
      </c>
      <c r="O28" s="20">
        <f t="shared" si="14"/>
        <v>1595.6656720669505</v>
      </c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spans="1:33" r="29" x14ac:dyDescent="0.25">
      <c r="B29" s="18" t="s">
        <v>14</v>
      </c>
      <c r="C29" s="74">
        <f>C28/C6</f>
        <v>6.996918788056636E-3</v>
      </c>
      <c r="D29" s="74">
        <f>D28/D6</f>
        <v>7.3962337599143592E-3</v>
      </c>
      <c r="E29" s="74">
        <f>AVERAGE($C$29:$D$29)</f>
        <v>7.1965762739854972E-3</v>
      </c>
      <c r="F29" s="76">
        <f>AVERAGE($C$29:$E$29)</f>
        <v>7.1965762739854972E-3</v>
      </c>
      <c r="G29" s="76">
        <f>AVERAGE($C$29:$E$29)</f>
        <v>7.1965762739854972E-3</v>
      </c>
      <c r="H29" s="76">
        <f>AVERAGE($C$29:$E$29)</f>
        <v>7.1965762739854972E-3</v>
      </c>
      <c r="I29" s="76">
        <f>AVERAGE($C$29:$E$29)</f>
        <v>7.1965762739854972E-3</v>
      </c>
      <c r="J29" s="76">
        <f>AVERAGE($C$29:$E$29)</f>
        <v>7.1965762739854972E-3</v>
      </c>
      <c r="K29" s="208"/>
      <c r="L29" s="76">
        <f>AVERAGE($C$29:$E$29)</f>
        <v>7.1965762739854972E-3</v>
      </c>
      <c r="M29" s="76">
        <f ref="M29:O29" t="shared" si="16">AVERAGE($C$29:$E$29)</f>
        <v>7.1965762739854972E-3</v>
      </c>
      <c r="N29" s="76">
        <f t="shared" si="16"/>
        <v>7.1965762739854972E-3</v>
      </c>
      <c r="O29" s="76">
        <f t="shared" si="16"/>
        <v>7.1965762739854972E-3</v>
      </c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</row>
    <row spans="1:33" r="30" x14ac:dyDescent="0.25">
      <c r="B30" s="2" t="s">
        <v>30</v>
      </c>
      <c r="C30" s="20">
        <v>3173</v>
      </c>
      <c r="D30" s="20">
        <v>2793</v>
      </c>
      <c r="E30" s="20">
        <f t="shared" si="15"/>
        <v>2973.12915066914</v>
      </c>
      <c r="F30" s="20">
        <f t="shared" si="15"/>
        <v>2982.6216768537488</v>
      </c>
      <c r="G30" s="20">
        <f t="shared" si="15"/>
        <v>2982.6216768537488</v>
      </c>
      <c r="H30" s="20">
        <f t="shared" si="15"/>
        <v>2982.6216768537488</v>
      </c>
      <c r="I30" s="20">
        <f t="shared" si="15"/>
        <v>2982.6216768537488</v>
      </c>
      <c r="J30" s="20">
        <f t="shared" si="15"/>
        <v>2982.6216768537488</v>
      </c>
      <c r="K30" s="208">
        <f t="shared" si="15"/>
        <v>0</v>
      </c>
      <c r="L30" s="20">
        <f t="shared" si="15"/>
        <v>2982.6216768537488</v>
      </c>
      <c r="M30" s="20">
        <f t="shared" si="15"/>
        <v>2982.6216768537488</v>
      </c>
      <c r="N30" s="20">
        <f t="shared" si="15"/>
        <v>2982.6216768537488</v>
      </c>
      <c r="O30" s="20">
        <f t="shared" si="15"/>
        <v>2982.6216768537488</v>
      </c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</row>
    <row spans="1:33" r="31" x14ac:dyDescent="0.25">
      <c r="B31" s="18" t="s">
        <v>14</v>
      </c>
      <c r="C31" s="74">
        <f>C30/C6</f>
        <v>1.4548639131391681E-2</v>
      </c>
      <c r="D31" s="74">
        <f>D30/D6</f>
        <v>1.2355072303493305E-2</v>
      </c>
      <c r="E31" s="74">
        <f>AVERAGE(C31:D31)</f>
        <v>1.3451855717442493E-2</v>
      </c>
      <c r="F31" s="76">
        <f>AVERAGE($C$31:$E$31)</f>
        <v>1.3451855717442493E-2</v>
      </c>
      <c r="G31" s="76">
        <f>AVERAGE($C$31:$E$31)</f>
        <v>1.3451855717442493E-2</v>
      </c>
      <c r="H31" s="76">
        <f>AVERAGE($C$31:$E$31)</f>
        <v>1.3451855717442493E-2</v>
      </c>
      <c r="I31" s="76">
        <f>AVERAGE($C$31:$E$31)</f>
        <v>1.3451855717442493E-2</v>
      </c>
      <c r="J31" s="76">
        <f>AVERAGE($C$31:$E$31)</f>
        <v>1.3451855717442493E-2</v>
      </c>
      <c r="K31" s="208"/>
      <c r="L31" s="76">
        <f>AVERAGE($C$31:$E$31)</f>
        <v>1.3451855717442493E-2</v>
      </c>
      <c r="M31" s="76">
        <f ref="M31:O31" t="shared" si="17">AVERAGE($C$31:$E$31)</f>
        <v>1.3451855717442493E-2</v>
      </c>
      <c r="N31" s="76">
        <f t="shared" si="17"/>
        <v>1.3451855717442493E-2</v>
      </c>
      <c r="O31" s="76">
        <f t="shared" si="17"/>
        <v>1.3451855717442493E-2</v>
      </c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</row>
    <row spans="1:33" r="32" x14ac:dyDescent="0.25">
      <c r="B32" s="2" t="s">
        <v>31</v>
      </c>
      <c r="C32" s="20">
        <v>-2962</v>
      </c>
      <c r="D32" s="208">
        <v>0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8">
        <v>0</v>
      </c>
      <c r="N32" s="208">
        <v>0</v>
      </c>
      <c r="O32" s="208">
        <v>0</v>
      </c>
      <c r="P32" s="208"/>
      <c r="Q32" s="208"/>
      <c r="R32" s="208"/>
      <c r="S32" s="208"/>
      <c r="T32" s="208"/>
      <c r="U32" s="208"/>
      <c r="V32" s="2"/>
      <c r="W32" s="2"/>
      <c r="X32" s="2"/>
      <c r="Y32" s="2"/>
      <c r="Z32" s="2"/>
      <c r="AA32" s="2"/>
      <c r="AB32" s="2"/>
      <c r="AC32" s="2"/>
      <c r="AD32" s="2"/>
      <c r="AE32" s="2"/>
    </row>
    <row spans="2:34" r="33" x14ac:dyDescent="0.25">
      <c r="B33" s="18"/>
      <c r="C33" s="74"/>
      <c r="D33" s="74"/>
      <c r="E33" s="74"/>
      <c r="F33" s="2"/>
      <c r="G33" s="2"/>
      <c r="H33" s="2"/>
      <c r="I33" s="2"/>
      <c r="J33" s="2"/>
      <c r="K33" s="20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spans="2:34" r="34" x14ac:dyDescent="0.25">
      <c r="B34" s="2"/>
      <c r="C34" s="2"/>
      <c r="D34" s="2"/>
      <c r="E34" s="2"/>
      <c r="F34" s="2"/>
      <c r="G34" s="2"/>
      <c r="H34" s="2"/>
      <c r="I34" s="2"/>
      <c r="J34" s="2"/>
      <c r="K34" s="20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spans="2:34" r="35" x14ac:dyDescent="0.25">
      <c r="B35" s="2" t="s">
        <v>32</v>
      </c>
      <c r="C35" s="20"/>
      <c r="D35" s="20"/>
      <c r="E35" s="20"/>
      <c r="F35" s="20">
        <f ref="F35:O35" t="shared" si="18">F6-F9+F12-F28-F30</f>
        <v>294242.96464743541</v>
      </c>
      <c r="G35" s="20">
        <f t="shared" si="18"/>
        <v>236492.96464743544</v>
      </c>
      <c r="H35" s="20">
        <f t="shared" si="18"/>
        <v>176992.96464743544</v>
      </c>
      <c r="I35" s="20">
        <f t="shared" si="18"/>
        <v>163492.96464743544</v>
      </c>
      <c r="J35" s="20">
        <f t="shared" si="18"/>
        <v>163492.96464743544</v>
      </c>
      <c r="K35" s="208">
        <f t="shared" si="18"/>
        <v>168071.25199635612</v>
      </c>
      <c r="L35" s="20">
        <f t="shared" si="18"/>
        <v>163492.96464743544</v>
      </c>
      <c r="M35" s="20">
        <f t="shared" si="18"/>
        <v>163492.96464743544</v>
      </c>
      <c r="N35" s="20">
        <f t="shared" si="18"/>
        <v>163492.96464743544</v>
      </c>
      <c r="O35" s="20">
        <f t="shared" si="18"/>
        <v>163492.96464743544</v>
      </c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</row>
    <row spans="2:34" r="36" x14ac:dyDescent="0.25">
      <c r="B36" s="2"/>
      <c r="C36" s="68"/>
      <c r="D36" s="68"/>
      <c r="E36" s="68"/>
      <c r="F36" s="6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spans="2:34" r="37" x14ac:dyDescent="0.25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spans="2:34" r="40" s="2" x14ac:dyDescent="0.25" customFormat="1">
      <c r="B40" s="24" t="s">
        <v>33</v>
      </c>
      <c r="C40" s="24">
        <v>2019</v>
      </c>
      <c r="D40" s="24">
        <v>2020</v>
      </c>
      <c r="E40" s="24">
        <v>2021</v>
      </c>
      <c r="F40" s="24">
        <v>2022</v>
      </c>
      <c r="G40" s="24">
        <f>F40+1</f>
        <v>2023</v>
      </c>
      <c r="H40" s="24">
        <f ref="H40:Z40" t="shared" si="19">G40+1</f>
        <v>2024</v>
      </c>
      <c r="I40" s="24">
        <f t="shared" si="19"/>
        <v>2025</v>
      </c>
      <c r="J40" s="24">
        <f t="shared" si="19"/>
        <v>2026</v>
      </c>
      <c r="K40" s="24">
        <f t="shared" si="19"/>
        <v>2027</v>
      </c>
      <c r="L40" s="24">
        <f t="shared" si="19"/>
        <v>2028</v>
      </c>
      <c r="M40" s="24">
        <f t="shared" si="19"/>
        <v>2029</v>
      </c>
      <c r="N40" s="24">
        <f t="shared" si="19"/>
        <v>2030</v>
      </c>
      <c r="O40" s="24">
        <f t="shared" si="19"/>
        <v>2031</v>
      </c>
      <c r="P40" s="24">
        <f t="shared" si="19"/>
        <v>2032</v>
      </c>
      <c r="Q40" s="24">
        <f t="shared" si="19"/>
        <v>2033</v>
      </c>
      <c r="R40" s="24">
        <f t="shared" si="19"/>
        <v>2034</v>
      </c>
      <c r="S40" s="24">
        <f t="shared" si="19"/>
        <v>2035</v>
      </c>
      <c r="T40" s="24">
        <f t="shared" si="19"/>
        <v>2036</v>
      </c>
      <c r="U40" s="24">
        <f t="shared" si="19"/>
        <v>2037</v>
      </c>
      <c r="V40" s="24">
        <f t="shared" si="19"/>
        <v>2038</v>
      </c>
      <c r="W40" s="24">
        <f t="shared" si="19"/>
        <v>2039</v>
      </c>
      <c r="X40" s="24">
        <f t="shared" si="19"/>
        <v>2040</v>
      </c>
      <c r="Y40" s="24">
        <f t="shared" si="19"/>
        <v>2041</v>
      </c>
      <c r="Z40" s="24">
        <f t="shared" si="19"/>
        <v>2042</v>
      </c>
      <c r="AA40" s="24"/>
      <c r="AB40" s="24"/>
      <c r="AC40" s="24"/>
      <c r="AD40" s="24"/>
      <c r="AE40" s="24"/>
      <c r="AF40" s="24"/>
      <c r="AG40" s="24"/>
      <c r="AH40" s="24"/>
    </row>
    <row spans="2:34" r="41" s="2" x14ac:dyDescent="0.25" customFormat="1">
      <c r="B41" s="2" t="s">
        <v>9</v>
      </c>
      <c r="G41" s="2">
        <v>2.4500000000000002</v>
      </c>
      <c r="H41" s="2">
        <v>2.4500000000000002</v>
      </c>
      <c r="I41" s="2">
        <v>2.4500000000000002</v>
      </c>
      <c r="J41" s="2">
        <v>2.4500000000000002</v>
      </c>
      <c r="K41" s="2">
        <v>2.4500000000000002</v>
      </c>
      <c r="L41" s="2">
        <v>2.4500000000000002</v>
      </c>
      <c r="M41" s="2">
        <v>2.4500000000000002</v>
      </c>
      <c r="N41" s="2">
        <v>2.4500000000000002</v>
      </c>
      <c r="O41" s="2">
        <v>2.4500000000000002</v>
      </c>
      <c r="P41" s="2">
        <v>2.4500000000000002</v>
      </c>
      <c r="Q41" s="2">
        <v>2.4500000000000002</v>
      </c>
      <c r="R41" s="2">
        <v>2.4500000000000002</v>
      </c>
      <c r="S41" s="2">
        <v>2.4500000000000002</v>
      </c>
      <c r="T41" s="2">
        <v>2.4500000000000002</v>
      </c>
      <c r="U41" s="2">
        <v>2.4500000000000002</v>
      </c>
      <c r="V41" s="2">
        <v>2.4500000000000002</v>
      </c>
      <c r="W41" s="2">
        <v>2.4500000000000002</v>
      </c>
      <c r="X41" s="2">
        <v>2.4500000000000002</v>
      </c>
      <c r="Y41" s="2">
        <v>2.4500000000000002</v>
      </c>
      <c r="Z41" s="2">
        <v>2.4500000000000002</v>
      </c>
    </row>
    <row spans="2:34" r="42" s="2" x14ac:dyDescent="0.25" customFormat="1">
      <c r="B42" s="2" t="s">
        <v>10</v>
      </c>
      <c r="G42" s="2">
        <v>2.4500000000000002</v>
      </c>
      <c r="H42" s="2">
        <v>2.4500000000000002</v>
      </c>
      <c r="I42" s="2">
        <v>2.4500000000000002</v>
      </c>
      <c r="J42" s="2">
        <v>2.4500000000000002</v>
      </c>
      <c r="K42" s="2">
        <v>2.4500000000000002</v>
      </c>
      <c r="L42" s="2">
        <v>2.4500000000000002</v>
      </c>
      <c r="M42" s="2">
        <v>2.4500000000000002</v>
      </c>
      <c r="N42" s="2">
        <v>2.4500000000000002</v>
      </c>
      <c r="O42" s="2">
        <v>2.4500000000000002</v>
      </c>
      <c r="P42" s="2">
        <v>2.4500000000000002</v>
      </c>
      <c r="Q42" s="2">
        <v>2.4500000000000002</v>
      </c>
      <c r="R42" s="2">
        <v>2.4500000000000002</v>
      </c>
      <c r="S42" s="2">
        <v>2.4500000000000002</v>
      </c>
      <c r="T42" s="2">
        <v>2.4500000000000002</v>
      </c>
      <c r="U42" s="2">
        <v>2.4500000000000002</v>
      </c>
      <c r="V42" s="2">
        <v>2.4500000000000002</v>
      </c>
      <c r="W42" s="2">
        <v>2.4500000000000002</v>
      </c>
      <c r="X42" s="2">
        <v>2.4500000000000002</v>
      </c>
      <c r="Y42" s="2">
        <v>2.4500000000000002</v>
      </c>
      <c r="Z42" s="2">
        <v>2.4500000000000002</v>
      </c>
    </row>
    <row spans="2:34" r="43" s="2" x14ac:dyDescent="0.25" customFormat="1">
      <c r="B43" s="2" t="s">
        <v>11</v>
      </c>
      <c r="C43" s="20"/>
      <c r="D43" s="20"/>
      <c r="E43" s="20"/>
      <c r="F43" s="20"/>
      <c r="G43" s="20">
        <f>(G44*G42)/4</f>
        <v>113172.47569444447</v>
      </c>
      <c r="H43" s="20">
        <f ref="H43:Z43" t="shared" si="20">H44*H42</f>
        <v>452689.90277777787</v>
      </c>
      <c r="I43" s="20">
        <f t="shared" si="20"/>
        <v>452689.90277777787</v>
      </c>
      <c r="J43" s="20">
        <f t="shared" si="20"/>
        <v>452689.90277777787</v>
      </c>
      <c r="K43" s="20">
        <f t="shared" si="20"/>
        <v>452689.90277777787</v>
      </c>
      <c r="L43" s="20">
        <f t="shared" si="20"/>
        <v>452689.90277777787</v>
      </c>
      <c r="M43" s="20">
        <f t="shared" si="20"/>
        <v>452689.90277777787</v>
      </c>
      <c r="N43" s="20">
        <f t="shared" si="20"/>
        <v>452689.90277777787</v>
      </c>
      <c r="O43" s="20">
        <f t="shared" si="20"/>
        <v>452689.90277777787</v>
      </c>
      <c r="P43" s="20">
        <f t="shared" si="20"/>
        <v>452689.90277777787</v>
      </c>
      <c r="Q43" s="20">
        <f t="shared" si="20"/>
        <v>452689.90277777787</v>
      </c>
      <c r="R43" s="20">
        <f t="shared" si="20"/>
        <v>452689.90277777787</v>
      </c>
      <c r="S43" s="20">
        <f t="shared" si="20"/>
        <v>452689.90277777787</v>
      </c>
      <c r="T43" s="20">
        <f t="shared" si="20"/>
        <v>452689.90277777787</v>
      </c>
      <c r="U43" s="20">
        <f t="shared" si="20"/>
        <v>452689.90277777787</v>
      </c>
      <c r="V43" s="20">
        <f t="shared" si="20"/>
        <v>452689.90277777787</v>
      </c>
      <c r="W43" s="20">
        <f t="shared" si="20"/>
        <v>452689.90277777787</v>
      </c>
      <c r="X43" s="20">
        <f t="shared" si="20"/>
        <v>452689.90277777787</v>
      </c>
      <c r="Y43" s="20">
        <f t="shared" si="20"/>
        <v>452689.90277777787</v>
      </c>
      <c r="Z43" s="20">
        <f t="shared" si="20"/>
        <v>452689.90277777787</v>
      </c>
      <c r="AA43" s="20"/>
      <c r="AB43" s="20"/>
      <c r="AC43" s="20"/>
      <c r="AD43" s="20"/>
      <c r="AE43" s="20"/>
      <c r="AF43" s="20"/>
      <c r="AG43" s="20"/>
      <c r="AH43" s="20"/>
    </row>
    <row spans="2:34" r="44" s="2" x14ac:dyDescent="0.25" customFormat="1">
      <c r="B44" s="18" t="s">
        <v>12</v>
      </c>
      <c r="C44" s="20"/>
      <c r="D44" s="20"/>
      <c r="E44" s="20"/>
      <c r="F44" s="20"/>
      <c r="G44" s="20">
        <f>AVERAGE($C$7:$E$7)</f>
        <v>184771.38888888891</v>
      </c>
      <c r="H44" s="20">
        <f ref="H44:Z44" t="shared" si="21">AVERAGE($C$7:$E$7)</f>
        <v>184771.38888888891</v>
      </c>
      <c r="I44" s="20">
        <f t="shared" si="21"/>
        <v>184771.38888888891</v>
      </c>
      <c r="J44" s="20">
        <f t="shared" si="21"/>
        <v>184771.38888888891</v>
      </c>
      <c r="K44" s="20">
        <f t="shared" si="21"/>
        <v>184771.38888888891</v>
      </c>
      <c r="L44" s="20">
        <f t="shared" si="21"/>
        <v>184771.38888888891</v>
      </c>
      <c r="M44" s="20">
        <f t="shared" si="21"/>
        <v>184771.38888888891</v>
      </c>
      <c r="N44" s="20">
        <f t="shared" si="21"/>
        <v>184771.38888888891</v>
      </c>
      <c r="O44" s="20">
        <f t="shared" si="21"/>
        <v>184771.38888888891</v>
      </c>
      <c r="P44" s="20">
        <f t="shared" si="21"/>
        <v>184771.38888888891</v>
      </c>
      <c r="Q44" s="20">
        <f t="shared" si="21"/>
        <v>184771.38888888891</v>
      </c>
      <c r="R44" s="20">
        <f t="shared" si="21"/>
        <v>184771.38888888891</v>
      </c>
      <c r="S44" s="20">
        <f t="shared" si="21"/>
        <v>184771.38888888891</v>
      </c>
      <c r="T44" s="20">
        <f t="shared" si="21"/>
        <v>184771.38888888891</v>
      </c>
      <c r="U44" s="20">
        <f t="shared" si="21"/>
        <v>184771.38888888891</v>
      </c>
      <c r="V44" s="20">
        <f t="shared" si="21"/>
        <v>184771.38888888891</v>
      </c>
      <c r="W44" s="20">
        <f t="shared" si="21"/>
        <v>184771.38888888891</v>
      </c>
      <c r="X44" s="20">
        <f t="shared" si="21"/>
        <v>184771.38888888891</v>
      </c>
      <c r="Y44" s="20">
        <f t="shared" si="21"/>
        <v>184771.38888888891</v>
      </c>
      <c r="Z44" s="20">
        <f t="shared" si="21"/>
        <v>184771.38888888891</v>
      </c>
      <c r="AA44" s="20"/>
      <c r="AB44" s="20"/>
      <c r="AC44" s="20"/>
      <c r="AD44" s="20"/>
      <c r="AE44" s="20"/>
      <c r="AF44" s="20"/>
      <c r="AG44" s="20"/>
      <c r="AH44" s="20"/>
    </row>
    <row spans="2:34" r="45" s="2" x14ac:dyDescent="0.25" customFormat="1"/>
    <row spans="2:34" r="46" s="2" x14ac:dyDescent="0.25" customFormat="1">
      <c r="B46" s="2" t="s">
        <v>13</v>
      </c>
      <c r="C46" s="20"/>
      <c r="D46" s="20"/>
      <c r="E46" s="20"/>
      <c r="F46" s="20"/>
      <c r="G46" s="20">
        <f ref="G46:Z46" t="shared" si="22">G43*G47</f>
        <v>27386.107487971021</v>
      </c>
      <c r="H46" s="20">
        <f t="shared" si="22"/>
        <v>109544.42995188409</v>
      </c>
      <c r="I46" s="20">
        <f t="shared" si="22"/>
        <v>109544.42995188409</v>
      </c>
      <c r="J46" s="20">
        <f t="shared" si="22"/>
        <v>109544.42995188409</v>
      </c>
      <c r="K46" s="20">
        <f t="shared" si="22"/>
        <v>109544.42995188409</v>
      </c>
      <c r="L46" s="20">
        <f t="shared" si="22"/>
        <v>109544.42995188409</v>
      </c>
      <c r="M46" s="20">
        <f t="shared" si="22"/>
        <v>109544.42995188409</v>
      </c>
      <c r="N46" s="20">
        <f t="shared" si="22"/>
        <v>109544.42995188409</v>
      </c>
      <c r="O46" s="20">
        <f t="shared" si="22"/>
        <v>109544.42995188409</v>
      </c>
      <c r="P46" s="20">
        <f t="shared" si="22"/>
        <v>109544.42995188409</v>
      </c>
      <c r="Q46" s="20">
        <f t="shared" si="22"/>
        <v>109544.42995188409</v>
      </c>
      <c r="R46" s="20">
        <f t="shared" si="22"/>
        <v>109544.42995188409</v>
      </c>
      <c r="S46" s="20">
        <f t="shared" si="22"/>
        <v>109544.42995188409</v>
      </c>
      <c r="T46" s="20">
        <f t="shared" si="22"/>
        <v>109544.42995188409</v>
      </c>
      <c r="U46" s="20">
        <f t="shared" si="22"/>
        <v>109544.42995188409</v>
      </c>
      <c r="V46" s="20">
        <f t="shared" si="22"/>
        <v>109544.42995188409</v>
      </c>
      <c r="W46" s="20">
        <f t="shared" si="22"/>
        <v>109544.42995188409</v>
      </c>
      <c r="X46" s="20">
        <f t="shared" si="22"/>
        <v>109544.42995188409</v>
      </c>
      <c r="Y46" s="20">
        <f t="shared" si="22"/>
        <v>109544.42995188409</v>
      </c>
      <c r="Z46" s="20">
        <f t="shared" si="22"/>
        <v>109544.42995188409</v>
      </c>
      <c r="AA46" s="20"/>
      <c r="AB46" s="20"/>
      <c r="AC46" s="20"/>
      <c r="AD46" s="20"/>
      <c r="AE46" s="20"/>
      <c r="AF46" s="20"/>
      <c r="AG46" s="20"/>
      <c r="AH46" s="20"/>
    </row>
    <row spans="2:34" r="47" s="2" x14ac:dyDescent="0.25" customFormat="1">
      <c r="B47" s="18" t="s">
        <v>14</v>
      </c>
      <c r="C47" s="74"/>
      <c r="D47" s="74"/>
      <c r="E47" s="74"/>
      <c r="F47" s="76"/>
      <c r="G47" s="76">
        <f ref="G47:Z47" t="shared" si="23">AVERAGE($C$10:$E$10)</f>
        <v>0.24198558280116675</v>
      </c>
      <c r="H47" s="76">
        <f t="shared" si="23"/>
        <v>0.24198558280116675</v>
      </c>
      <c r="I47" s="76">
        <f t="shared" si="23"/>
        <v>0.24198558280116675</v>
      </c>
      <c r="J47" s="76">
        <f t="shared" si="23"/>
        <v>0.24198558280116675</v>
      </c>
      <c r="K47" s="76">
        <f t="shared" si="23"/>
        <v>0.24198558280116675</v>
      </c>
      <c r="L47" s="76">
        <f t="shared" si="23"/>
        <v>0.24198558280116675</v>
      </c>
      <c r="M47" s="76">
        <f t="shared" si="23"/>
        <v>0.24198558280116675</v>
      </c>
      <c r="N47" s="76">
        <f t="shared" si="23"/>
        <v>0.24198558280116675</v>
      </c>
      <c r="O47" s="76">
        <f t="shared" si="23"/>
        <v>0.24198558280116675</v>
      </c>
      <c r="P47" s="76">
        <f t="shared" si="23"/>
        <v>0.24198558280116675</v>
      </c>
      <c r="Q47" s="76">
        <f t="shared" si="23"/>
        <v>0.24198558280116675</v>
      </c>
      <c r="R47" s="76">
        <f t="shared" si="23"/>
        <v>0.24198558280116675</v>
      </c>
      <c r="S47" s="76">
        <f t="shared" si="23"/>
        <v>0.24198558280116675</v>
      </c>
      <c r="T47" s="76">
        <f t="shared" si="23"/>
        <v>0.24198558280116675</v>
      </c>
      <c r="U47" s="76">
        <f t="shared" si="23"/>
        <v>0.24198558280116675</v>
      </c>
      <c r="V47" s="76">
        <f t="shared" si="23"/>
        <v>0.24198558280116675</v>
      </c>
      <c r="W47" s="76">
        <f t="shared" si="23"/>
        <v>0.24198558280116675</v>
      </c>
      <c r="X47" s="76">
        <f t="shared" si="23"/>
        <v>0.24198558280116675</v>
      </c>
      <c r="Y47" s="76">
        <f t="shared" si="23"/>
        <v>0.24198558280116675</v>
      </c>
      <c r="Z47" s="76">
        <f t="shared" si="23"/>
        <v>0.24198558280116675</v>
      </c>
      <c r="AA47" s="76"/>
      <c r="AB47" s="76"/>
      <c r="AC47" s="76"/>
      <c r="AD47" s="76"/>
      <c r="AE47" s="76"/>
      <c r="AF47" s="76"/>
      <c r="AG47" s="76"/>
      <c r="AH47" s="76"/>
    </row>
    <row spans="2:34" r="48" s="2" x14ac:dyDescent="0.25" customFormat="1"/>
    <row spans="2:34" r="49" s="2" x14ac:dyDescent="0.25" customFormat="1">
      <c r="B49" s="2" t="s">
        <v>29</v>
      </c>
      <c r="C49" s="20"/>
      <c r="D49" s="20"/>
      <c r="E49" s="20"/>
      <c r="F49" s="20"/>
      <c r="G49" s="20">
        <f>G50*G43</f>
        <v>814.45435345083945</v>
      </c>
      <c r="H49" s="20">
        <f ref="H49:Z49" t="shared" si="24">H50*H43</f>
        <v>3257.8174138033578</v>
      </c>
      <c r="I49" s="20">
        <f t="shared" si="24"/>
        <v>3257.8174138033578</v>
      </c>
      <c r="J49" s="20">
        <f t="shared" si="24"/>
        <v>3257.8174138033578</v>
      </c>
      <c r="K49" s="20">
        <f t="shared" si="24"/>
        <v>3257.8174138033578</v>
      </c>
      <c r="L49" s="20">
        <f t="shared" si="24"/>
        <v>3257.8174138033578</v>
      </c>
      <c r="M49" s="20">
        <f t="shared" si="24"/>
        <v>3257.8174138033578</v>
      </c>
      <c r="N49" s="20">
        <f t="shared" si="24"/>
        <v>3257.8174138033578</v>
      </c>
      <c r="O49" s="20">
        <f t="shared" si="24"/>
        <v>3257.8174138033578</v>
      </c>
      <c r="P49" s="20">
        <f t="shared" si="24"/>
        <v>3257.8174138033578</v>
      </c>
      <c r="Q49" s="20">
        <f t="shared" si="24"/>
        <v>3257.8174138033578</v>
      </c>
      <c r="R49" s="20">
        <f t="shared" si="24"/>
        <v>3257.8174138033578</v>
      </c>
      <c r="S49" s="20">
        <f t="shared" si="24"/>
        <v>3257.8174138033578</v>
      </c>
      <c r="T49" s="20">
        <f t="shared" si="24"/>
        <v>3257.8174138033578</v>
      </c>
      <c r="U49" s="20">
        <f t="shared" si="24"/>
        <v>3257.8174138033578</v>
      </c>
      <c r="V49" s="20">
        <f t="shared" si="24"/>
        <v>3257.8174138033578</v>
      </c>
      <c r="W49" s="20">
        <f t="shared" si="24"/>
        <v>3257.8174138033578</v>
      </c>
      <c r="X49" s="20">
        <f t="shared" si="24"/>
        <v>3257.8174138033578</v>
      </c>
      <c r="Y49" s="20">
        <f t="shared" si="24"/>
        <v>3257.8174138033578</v>
      </c>
      <c r="Z49" s="20">
        <f t="shared" si="24"/>
        <v>3257.8174138033578</v>
      </c>
      <c r="AA49" s="20"/>
      <c r="AB49" s="20"/>
      <c r="AC49" s="20"/>
      <c r="AD49" s="20"/>
      <c r="AE49" s="20"/>
      <c r="AF49" s="20"/>
      <c r="AG49" s="20"/>
      <c r="AH49" s="20"/>
    </row>
    <row spans="2:34" r="50" s="2" x14ac:dyDescent="0.25" customFormat="1">
      <c r="B50" s="18" t="s">
        <v>14</v>
      </c>
      <c r="C50" s="74"/>
      <c r="D50" s="74"/>
      <c r="E50" s="74"/>
      <c r="F50" s="76"/>
      <c r="G50" s="76">
        <f ref="G50:Z50" t="shared" si="25">AVERAGE($C$29:$E$29)</f>
        <v>7.1965762739854972E-3</v>
      </c>
      <c r="H50" s="76">
        <f t="shared" si="25"/>
        <v>7.1965762739854972E-3</v>
      </c>
      <c r="I50" s="76">
        <f t="shared" si="25"/>
        <v>7.1965762739854972E-3</v>
      </c>
      <c r="J50" s="76">
        <f t="shared" si="25"/>
        <v>7.1965762739854972E-3</v>
      </c>
      <c r="K50" s="76">
        <f t="shared" si="25"/>
        <v>7.1965762739854972E-3</v>
      </c>
      <c r="L50" s="76">
        <f t="shared" si="25"/>
        <v>7.1965762739854972E-3</v>
      </c>
      <c r="M50" s="76">
        <f t="shared" si="25"/>
        <v>7.1965762739854972E-3</v>
      </c>
      <c r="N50" s="76">
        <f t="shared" si="25"/>
        <v>7.1965762739854972E-3</v>
      </c>
      <c r="O50" s="76">
        <f t="shared" si="25"/>
        <v>7.1965762739854972E-3</v>
      </c>
      <c r="P50" s="76">
        <f t="shared" si="25"/>
        <v>7.1965762739854972E-3</v>
      </c>
      <c r="Q50" s="76">
        <f t="shared" si="25"/>
        <v>7.1965762739854972E-3</v>
      </c>
      <c r="R50" s="76">
        <f t="shared" si="25"/>
        <v>7.1965762739854972E-3</v>
      </c>
      <c r="S50" s="76">
        <f t="shared" si="25"/>
        <v>7.1965762739854972E-3</v>
      </c>
      <c r="T50" s="76">
        <f t="shared" si="25"/>
        <v>7.1965762739854972E-3</v>
      </c>
      <c r="U50" s="76">
        <f t="shared" si="25"/>
        <v>7.1965762739854972E-3</v>
      </c>
      <c r="V50" s="76">
        <f t="shared" si="25"/>
        <v>7.1965762739854972E-3</v>
      </c>
      <c r="W50" s="76">
        <f t="shared" si="25"/>
        <v>7.1965762739854972E-3</v>
      </c>
      <c r="X50" s="76">
        <f t="shared" si="25"/>
        <v>7.1965762739854972E-3</v>
      </c>
      <c r="Y50" s="76">
        <f t="shared" si="25"/>
        <v>7.1965762739854972E-3</v>
      </c>
      <c r="Z50" s="76">
        <f t="shared" si="25"/>
        <v>7.1965762739854972E-3</v>
      </c>
      <c r="AA50" s="76"/>
      <c r="AB50" s="76"/>
      <c r="AC50" s="76"/>
      <c r="AD50" s="76"/>
      <c r="AE50" s="76"/>
      <c r="AF50" s="76"/>
      <c r="AG50" s="76"/>
      <c r="AH50" s="76"/>
    </row>
    <row spans="2:34" r="51" s="2" x14ac:dyDescent="0.25" customFormat="1">
      <c r="B51" s="2" t="s">
        <v>30</v>
      </c>
      <c r="C51" s="20"/>
      <c r="D51" s="20"/>
      <c r="E51" s="20"/>
      <c r="F51" s="20"/>
      <c r="G51" s="20">
        <f>G52*G43</f>
        <v>1522.3798142274343</v>
      </c>
      <c r="H51" s="20">
        <f ref="H51:Z51" t="shared" si="26">H52*H43</f>
        <v>6089.5192569097371</v>
      </c>
      <c r="I51" s="20">
        <f t="shared" si="26"/>
        <v>6089.5192569097371</v>
      </c>
      <c r="J51" s="20">
        <f t="shared" si="26"/>
        <v>6089.5192569097371</v>
      </c>
      <c r="K51" s="20">
        <f t="shared" si="26"/>
        <v>6089.5192569097371</v>
      </c>
      <c r="L51" s="20">
        <f t="shared" si="26"/>
        <v>6089.5192569097371</v>
      </c>
      <c r="M51" s="20">
        <f t="shared" si="26"/>
        <v>6089.5192569097371</v>
      </c>
      <c r="N51" s="20">
        <f t="shared" si="26"/>
        <v>6089.5192569097371</v>
      </c>
      <c r="O51" s="20">
        <f t="shared" si="26"/>
        <v>6089.5192569097371</v>
      </c>
      <c r="P51" s="20">
        <f t="shared" si="26"/>
        <v>6089.5192569097371</v>
      </c>
      <c r="Q51" s="20">
        <f t="shared" si="26"/>
        <v>6089.5192569097371</v>
      </c>
      <c r="R51" s="20">
        <f t="shared" si="26"/>
        <v>6089.5192569097371</v>
      </c>
      <c r="S51" s="20">
        <f t="shared" si="26"/>
        <v>6089.5192569097371</v>
      </c>
      <c r="T51" s="20">
        <f t="shared" si="26"/>
        <v>6089.5192569097371</v>
      </c>
      <c r="U51" s="20">
        <f t="shared" si="26"/>
        <v>6089.5192569097371</v>
      </c>
      <c r="V51" s="20">
        <f t="shared" si="26"/>
        <v>6089.5192569097371</v>
      </c>
      <c r="W51" s="20">
        <f t="shared" si="26"/>
        <v>6089.5192569097371</v>
      </c>
      <c r="X51" s="20">
        <f t="shared" si="26"/>
        <v>6089.5192569097371</v>
      </c>
      <c r="Y51" s="20">
        <f t="shared" si="26"/>
        <v>6089.5192569097371</v>
      </c>
      <c r="Z51" s="20">
        <f t="shared" si="26"/>
        <v>6089.5192569097371</v>
      </c>
      <c r="AA51" s="20"/>
      <c r="AB51" s="20"/>
      <c r="AC51" s="20"/>
      <c r="AD51" s="20"/>
      <c r="AE51" s="20"/>
      <c r="AF51" s="20"/>
      <c r="AG51" s="20"/>
      <c r="AH51" s="20"/>
    </row>
    <row spans="2:34" r="52" s="2" x14ac:dyDescent="0.25" customFormat="1">
      <c r="B52" s="18" t="s">
        <v>14</v>
      </c>
      <c r="C52" s="74"/>
      <c r="D52" s="74"/>
      <c r="E52" s="74"/>
      <c r="F52" s="76"/>
      <c r="G52" s="76">
        <f ref="G52:Z52" t="shared" si="27">AVERAGE($C$31:$E$31)</f>
        <v>1.3451855717442493E-2</v>
      </c>
      <c r="H52" s="76">
        <f t="shared" si="27"/>
        <v>1.3451855717442493E-2</v>
      </c>
      <c r="I52" s="76">
        <f t="shared" si="27"/>
        <v>1.3451855717442493E-2</v>
      </c>
      <c r="J52" s="76">
        <f t="shared" si="27"/>
        <v>1.3451855717442493E-2</v>
      </c>
      <c r="K52" s="76">
        <f t="shared" si="27"/>
        <v>1.3451855717442493E-2</v>
      </c>
      <c r="L52" s="76">
        <f t="shared" si="27"/>
        <v>1.3451855717442493E-2</v>
      </c>
      <c r="M52" s="76">
        <f t="shared" si="27"/>
        <v>1.3451855717442493E-2</v>
      </c>
      <c r="N52" s="76">
        <f t="shared" si="27"/>
        <v>1.3451855717442493E-2</v>
      </c>
      <c r="O52" s="76">
        <f t="shared" si="27"/>
        <v>1.3451855717442493E-2</v>
      </c>
      <c r="P52" s="76">
        <f t="shared" si="27"/>
        <v>1.3451855717442493E-2</v>
      </c>
      <c r="Q52" s="76">
        <f t="shared" si="27"/>
        <v>1.3451855717442493E-2</v>
      </c>
      <c r="R52" s="76">
        <f t="shared" si="27"/>
        <v>1.3451855717442493E-2</v>
      </c>
      <c r="S52" s="76">
        <f t="shared" si="27"/>
        <v>1.3451855717442493E-2</v>
      </c>
      <c r="T52" s="76">
        <f t="shared" si="27"/>
        <v>1.3451855717442493E-2</v>
      </c>
      <c r="U52" s="76">
        <f t="shared" si="27"/>
        <v>1.3451855717442493E-2</v>
      </c>
      <c r="V52" s="76">
        <f t="shared" si="27"/>
        <v>1.3451855717442493E-2</v>
      </c>
      <c r="W52" s="76">
        <f t="shared" si="27"/>
        <v>1.3451855717442493E-2</v>
      </c>
      <c r="X52" s="76">
        <f t="shared" si="27"/>
        <v>1.3451855717442493E-2</v>
      </c>
      <c r="Y52" s="76">
        <f t="shared" si="27"/>
        <v>1.3451855717442493E-2</v>
      </c>
      <c r="Z52" s="76">
        <f t="shared" si="27"/>
        <v>1.3451855717442493E-2</v>
      </c>
      <c r="AA52" s="76"/>
      <c r="AB52" s="76"/>
      <c r="AC52" s="76"/>
      <c r="AD52" s="76"/>
      <c r="AE52" s="76"/>
      <c r="AF52" s="76"/>
      <c r="AG52" s="76"/>
      <c r="AH52" s="76"/>
    </row>
    <row spans="2:34" r="53" s="2" x14ac:dyDescent="0.25" customFormat="1">
      <c r="B53" s="2" t="s">
        <v>31</v>
      </c>
      <c r="G53" s="208">
        <v>0</v>
      </c>
      <c r="H53" s="208">
        <v>0</v>
      </c>
      <c r="I53" s="208">
        <v>0</v>
      </c>
      <c r="J53" s="208">
        <v>0</v>
      </c>
      <c r="K53" s="208">
        <v>0</v>
      </c>
      <c r="L53" s="208">
        <v>0</v>
      </c>
      <c r="M53" s="208">
        <v>0</v>
      </c>
      <c r="N53" s="208">
        <v>0</v>
      </c>
      <c r="O53" s="208">
        <v>0</v>
      </c>
      <c r="P53" s="208">
        <v>0</v>
      </c>
      <c r="Q53" s="208">
        <v>0</v>
      </c>
      <c r="R53" s="208">
        <v>0</v>
      </c>
      <c r="S53" s="208">
        <v>0</v>
      </c>
      <c r="T53" s="208">
        <v>0</v>
      </c>
      <c r="U53" s="208">
        <v>0</v>
      </c>
      <c r="V53" s="208">
        <v>0</v>
      </c>
      <c r="W53" s="208">
        <v>0</v>
      </c>
      <c r="X53" s="208">
        <v>0</v>
      </c>
      <c r="Y53" s="208">
        <v>0</v>
      </c>
      <c r="Z53" s="208">
        <v>0</v>
      </c>
    </row>
    <row spans="2:34" r="54" s="2" x14ac:dyDescent="0.25" customFormat="1"/>
    <row spans="2:34" r="55" s="2" x14ac:dyDescent="0.25" customFormat="1">
      <c r="B55" s="2" t="s">
        <v>34</v>
      </c>
      <c r="G55" s="20">
        <f>(G43-G46-G49-G51)*0.25</f>
        <v>20862.383509698793</v>
      </c>
      <c r="H55" s="20">
        <f ref="H55:Z55" t="shared" si="28">H43-H46-H49-H51</f>
        <v>333798.13615518069</v>
      </c>
      <c r="I55" s="20">
        <f t="shared" si="28"/>
        <v>333798.13615518069</v>
      </c>
      <c r="J55" s="20">
        <f t="shared" si="28"/>
        <v>333798.13615518069</v>
      </c>
      <c r="K55" s="20">
        <f t="shared" si="28"/>
        <v>333798.13615518069</v>
      </c>
      <c r="L55" s="20">
        <f t="shared" si="28"/>
        <v>333798.13615518069</v>
      </c>
      <c r="M55" s="20">
        <f t="shared" si="28"/>
        <v>333798.13615518069</v>
      </c>
      <c r="N55" s="20">
        <f t="shared" si="28"/>
        <v>333798.13615518069</v>
      </c>
      <c r="O55" s="20">
        <f t="shared" si="28"/>
        <v>333798.13615518069</v>
      </c>
      <c r="P55" s="20">
        <f t="shared" si="28"/>
        <v>333798.13615518069</v>
      </c>
      <c r="Q55" s="20">
        <f t="shared" si="28"/>
        <v>333798.13615518069</v>
      </c>
      <c r="R55" s="20">
        <f t="shared" si="28"/>
        <v>333798.13615518069</v>
      </c>
      <c r="S55" s="20">
        <f t="shared" si="28"/>
        <v>333798.13615518069</v>
      </c>
      <c r="T55" s="20">
        <f t="shared" si="28"/>
        <v>333798.13615518069</v>
      </c>
      <c r="U55" s="20">
        <f t="shared" si="28"/>
        <v>333798.13615518069</v>
      </c>
      <c r="V55" s="20">
        <f t="shared" si="28"/>
        <v>333798.13615518069</v>
      </c>
      <c r="W55" s="20">
        <f t="shared" si="28"/>
        <v>333798.13615518069</v>
      </c>
      <c r="X55" s="20">
        <f t="shared" si="28"/>
        <v>333798.13615518069</v>
      </c>
      <c r="Y55" s="20">
        <f t="shared" si="28"/>
        <v>333798.13615518069</v>
      </c>
      <c r="Z55" s="20">
        <f t="shared" si="28"/>
        <v>333798.13615518069</v>
      </c>
      <c r="AA55" s="20"/>
      <c r="AB55" s="20"/>
      <c r="AC55" s="20"/>
      <c r="AD55" s="20"/>
      <c r="AE55" s="20"/>
      <c r="AF55" s="20"/>
      <c r="AG55" s="20"/>
      <c r="AH55" s="20"/>
    </row>
    <row spans="2:34" r="56" s="2" x14ac:dyDescent="0.25" customFormat="1">
      <c r="B56" s="2" t="s">
        <v>35</v>
      </c>
      <c r="G56" s="73">
        <v>0.7</v>
      </c>
      <c r="H56" s="73">
        <v>0.7</v>
      </c>
      <c r="I56" s="73">
        <v>0.7</v>
      </c>
      <c r="J56" s="73">
        <v>0.7</v>
      </c>
      <c r="K56" s="73">
        <v>0.7</v>
      </c>
      <c r="L56" s="73">
        <v>0.7</v>
      </c>
      <c r="M56" s="73">
        <v>0.7</v>
      </c>
      <c r="N56" s="73">
        <v>0.7</v>
      </c>
      <c r="O56" s="73">
        <v>0.7</v>
      </c>
      <c r="P56" s="73">
        <v>0.7</v>
      </c>
      <c r="Q56" s="73">
        <v>0.7</v>
      </c>
      <c r="R56" s="73">
        <v>0.7</v>
      </c>
      <c r="S56" s="73">
        <v>0.7</v>
      </c>
      <c r="T56" s="73">
        <v>0.7</v>
      </c>
      <c r="U56" s="73">
        <v>0.7</v>
      </c>
      <c r="V56" s="73">
        <v>0.7</v>
      </c>
      <c r="W56" s="73">
        <v>0.7</v>
      </c>
      <c r="X56" s="73">
        <v>0.7</v>
      </c>
      <c r="Y56" s="73">
        <v>0.7</v>
      </c>
      <c r="Z56" s="73">
        <v>0.7</v>
      </c>
      <c r="AA56" s="73"/>
      <c r="AB56" s="73"/>
      <c r="AC56" s="73"/>
      <c r="AD56" s="73"/>
      <c r="AE56" s="73"/>
      <c r="AF56" s="73"/>
      <c r="AG56" s="73"/>
      <c r="AH56" s="73"/>
    </row>
    <row spans="2:34" r="57" s="2" x14ac:dyDescent="0.25" customFormat="1">
      <c r="B57" s="2" t="s">
        <v>36</v>
      </c>
      <c r="G57" s="21">
        <f>G55*G56</f>
        <v>14603.668456789153</v>
      </c>
      <c r="H57" s="21">
        <f ref="H57:Z57" t="shared" si="29">H55*H56</f>
        <v>233658.69530862645</v>
      </c>
      <c r="I57" s="21">
        <f t="shared" si="29"/>
        <v>233658.69530862645</v>
      </c>
      <c r="J57" s="21">
        <f t="shared" si="29"/>
        <v>233658.69530862645</v>
      </c>
      <c r="K57" s="21">
        <f t="shared" si="29"/>
        <v>233658.69530862645</v>
      </c>
      <c r="L57" s="21">
        <f t="shared" si="29"/>
        <v>233658.69530862645</v>
      </c>
      <c r="M57" s="21">
        <f t="shared" si="29"/>
        <v>233658.69530862645</v>
      </c>
      <c r="N57" s="21">
        <f t="shared" si="29"/>
        <v>233658.69530862645</v>
      </c>
      <c r="O57" s="21">
        <f t="shared" si="29"/>
        <v>233658.69530862645</v>
      </c>
      <c r="P57" s="21">
        <f t="shared" si="29"/>
        <v>233658.69530862645</v>
      </c>
      <c r="Q57" s="21">
        <f t="shared" si="29"/>
        <v>233658.69530862645</v>
      </c>
      <c r="R57" s="21">
        <f t="shared" si="29"/>
        <v>233658.69530862645</v>
      </c>
      <c r="S57" s="21">
        <f t="shared" si="29"/>
        <v>233658.69530862645</v>
      </c>
      <c r="T57" s="21">
        <f t="shared" si="29"/>
        <v>233658.69530862645</v>
      </c>
      <c r="U57" s="21">
        <f t="shared" si="29"/>
        <v>233658.69530862645</v>
      </c>
      <c r="V57" s="21">
        <f t="shared" si="29"/>
        <v>233658.69530862645</v>
      </c>
      <c r="W57" s="21">
        <f t="shared" si="29"/>
        <v>233658.69530862645</v>
      </c>
      <c r="X57" s="21">
        <f t="shared" si="29"/>
        <v>233658.69530862645</v>
      </c>
      <c r="Y57" s="21">
        <f t="shared" si="29"/>
        <v>233658.69530862645</v>
      </c>
      <c r="Z57" s="21">
        <f t="shared" si="29"/>
        <v>233658.69530862645</v>
      </c>
      <c r="AA57" s="20"/>
      <c r="AB57" s="20"/>
      <c r="AC57" s="20"/>
      <c r="AD57" s="20"/>
      <c r="AE57" s="20"/>
      <c r="AF57" s="20"/>
      <c r="AG57" s="20"/>
      <c r="AH57" s="20"/>
    </row>
    <row spans="2:34" outlineLevel="1" r="61" s="163" hidden="1" x14ac:dyDescent="0.25" customFormat="1">
      <c r="B61" s="165" t="s">
        <v>37</v>
      </c>
      <c r="C61" s="165">
        <v>2019</v>
      </c>
      <c r="D61" s="165">
        <v>2020</v>
      </c>
      <c r="E61" s="165">
        <v>2021</v>
      </c>
      <c r="F61" s="165">
        <v>2022</v>
      </c>
      <c r="G61" s="165">
        <f>F61+1</f>
        <v>2023</v>
      </c>
      <c r="H61" s="165">
        <f ref="H61:AD61" t="shared" si="30">G61+1</f>
        <v>2024</v>
      </c>
      <c r="I61" s="165">
        <f t="shared" si="30"/>
        <v>2025</v>
      </c>
      <c r="J61" s="165">
        <f t="shared" si="30"/>
        <v>2026</v>
      </c>
      <c r="K61" s="165">
        <f t="shared" si="30"/>
        <v>2027</v>
      </c>
      <c r="L61" s="165">
        <f t="shared" si="30"/>
        <v>2028</v>
      </c>
      <c r="M61" s="165">
        <f t="shared" si="30"/>
        <v>2029</v>
      </c>
      <c r="N61" s="165">
        <f t="shared" si="30"/>
        <v>2030</v>
      </c>
      <c r="O61" s="165">
        <f t="shared" si="30"/>
        <v>2031</v>
      </c>
      <c r="P61" s="165">
        <f t="shared" si="30"/>
        <v>2032</v>
      </c>
      <c r="Q61" s="165">
        <f t="shared" si="30"/>
        <v>2033</v>
      </c>
      <c r="R61" s="165">
        <f t="shared" si="30"/>
        <v>2034</v>
      </c>
      <c r="S61" s="165">
        <f t="shared" si="30"/>
        <v>2035</v>
      </c>
      <c r="T61" s="165">
        <f t="shared" si="30"/>
        <v>2036</v>
      </c>
      <c r="U61" s="165">
        <f t="shared" si="30"/>
        <v>2037</v>
      </c>
      <c r="V61" s="165">
        <f t="shared" si="30"/>
        <v>2038</v>
      </c>
      <c r="W61" s="165">
        <f t="shared" si="30"/>
        <v>2039</v>
      </c>
      <c r="X61" s="165">
        <f t="shared" si="30"/>
        <v>2040</v>
      </c>
      <c r="Y61" s="165">
        <f t="shared" si="30"/>
        <v>2041</v>
      </c>
      <c r="Z61" s="165">
        <f t="shared" si="30"/>
        <v>2042</v>
      </c>
      <c r="AA61" s="165">
        <f t="shared" si="30"/>
        <v>2043</v>
      </c>
      <c r="AB61" s="165">
        <f t="shared" si="30"/>
        <v>2044</v>
      </c>
      <c r="AC61" s="165">
        <f t="shared" si="30"/>
        <v>2045</v>
      </c>
      <c r="AD61" s="165">
        <f t="shared" si="30"/>
        <v>2046</v>
      </c>
      <c r="AE61" s="165"/>
      <c r="AF61" s="165"/>
      <c r="AG61" s="165"/>
      <c r="AH61" s="165"/>
    </row>
    <row spans="2:34" outlineLevel="1" r="62" s="167" hidden="1" x14ac:dyDescent="0.25" customFormat="1">
      <c r="B62" s="166" t="s">
        <v>38</v>
      </c>
      <c r="C62" s="166"/>
      <c r="D62" s="166"/>
      <c r="E62" s="166"/>
      <c r="F62" s="166"/>
      <c r="G62" s="166"/>
      <c r="H62" s="166"/>
      <c r="I62" s="166"/>
      <c r="J62" s="166"/>
      <c r="K62" s="167">
        <v>0</v>
      </c>
      <c r="L62" s="167">
        <v>0</v>
      </c>
      <c r="M62" s="167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6"/>
      <c r="AF62" s="166"/>
      <c r="AG62" s="166"/>
      <c r="AH62" s="166"/>
    </row>
    <row spans="2:34" outlineLevel="1" r="63" s="163" hidden="1" x14ac:dyDescent="0.25" customFormat="1">
      <c r="B63" s="163" t="s">
        <v>9</v>
      </c>
      <c r="K63" s="163">
        <v>2.4500000000000002</v>
      </c>
      <c r="L63" s="163">
        <v>2.4500000000000002</v>
      </c>
      <c r="M63" s="163">
        <v>2.4500000000000002</v>
      </c>
      <c r="N63" s="163">
        <v>2.4500000000000002</v>
      </c>
      <c r="O63" s="163">
        <v>2.4500000000000002</v>
      </c>
      <c r="P63" s="163">
        <v>2.4500000000000002</v>
      </c>
      <c r="Q63" s="163">
        <v>2.4500000000000002</v>
      </c>
      <c r="R63" s="163">
        <v>2.4500000000000002</v>
      </c>
      <c r="S63" s="163">
        <v>2.4500000000000002</v>
      </c>
      <c r="T63" s="163">
        <v>2.4500000000000002</v>
      </c>
      <c r="U63" s="163">
        <v>2.4500000000000002</v>
      </c>
      <c r="V63" s="163">
        <v>2.4500000000000002</v>
      </c>
      <c r="W63" s="163">
        <v>2.4500000000000002</v>
      </c>
      <c r="X63" s="163">
        <v>2.4500000000000002</v>
      </c>
      <c r="Y63" s="163">
        <v>2.4500000000000002</v>
      </c>
      <c r="Z63" s="163">
        <v>2.4500000000000002</v>
      </c>
      <c r="AA63" s="163">
        <v>2.4500000000000002</v>
      </c>
      <c r="AB63" s="163">
        <v>2.4500000000000002</v>
      </c>
      <c r="AC63" s="163">
        <v>2.4500000000000002</v>
      </c>
      <c r="AD63" s="163">
        <v>2.4500000000000002</v>
      </c>
    </row>
    <row spans="2:34" outlineLevel="1" r="64" s="163" hidden="1" x14ac:dyDescent="0.25" customFormat="1">
      <c r="B64" s="163" t="s">
        <v>39</v>
      </c>
      <c r="K64" s="168">
        <f>K62*K63</f>
        <v>0</v>
      </c>
      <c r="L64" s="168">
        <f ref="L64:AD64" t="shared" si="31">L62*L63</f>
        <v>0</v>
      </c>
      <c r="M64" s="168">
        <f t="shared" si="31"/>
        <v>0</v>
      </c>
      <c r="N64" s="168">
        <f t="shared" si="31"/>
        <v>0</v>
      </c>
      <c r="O64" s="168">
        <f t="shared" si="31"/>
        <v>0</v>
      </c>
      <c r="P64" s="168">
        <f t="shared" si="31"/>
        <v>0</v>
      </c>
      <c r="Q64" s="168">
        <f t="shared" si="31"/>
        <v>0</v>
      </c>
      <c r="R64" s="168">
        <f t="shared" si="31"/>
        <v>0</v>
      </c>
      <c r="S64" s="168">
        <f t="shared" si="31"/>
        <v>0</v>
      </c>
      <c r="T64" s="168">
        <f t="shared" si="31"/>
        <v>0</v>
      </c>
      <c r="U64" s="168">
        <f t="shared" si="31"/>
        <v>0</v>
      </c>
      <c r="V64" s="168">
        <f t="shared" si="31"/>
        <v>0</v>
      </c>
      <c r="W64" s="168">
        <f t="shared" si="31"/>
        <v>0</v>
      </c>
      <c r="X64" s="168">
        <f t="shared" si="31"/>
        <v>0</v>
      </c>
      <c r="Y64" s="168">
        <f t="shared" si="31"/>
        <v>0</v>
      </c>
      <c r="Z64" s="168">
        <f t="shared" si="31"/>
        <v>0</v>
      </c>
      <c r="AA64" s="168">
        <f t="shared" si="31"/>
        <v>0</v>
      </c>
      <c r="AB64" s="168">
        <f t="shared" si="31"/>
        <v>0</v>
      </c>
      <c r="AC64" s="168">
        <f t="shared" si="31"/>
        <v>0</v>
      </c>
      <c r="AD64" s="168">
        <f t="shared" si="31"/>
        <v>0</v>
      </c>
    </row>
    <row spans="2:30" outlineLevel="1" r="65" s="163" hidden="1" x14ac:dyDescent="0.25" customFormat="1">
      <c r="B65" s="163" t="s">
        <v>11</v>
      </c>
      <c r="C65" s="169"/>
      <c r="D65" s="169"/>
      <c r="E65" s="169"/>
      <c r="F65" s="169"/>
      <c r="G65" s="169"/>
      <c r="H65" s="169"/>
      <c r="I65" s="169"/>
      <c r="J65" s="169"/>
      <c r="K65" s="169">
        <f ref="K65:AD65" t="shared" si="32">K66*K64</f>
        <v>0</v>
      </c>
      <c r="L65" s="169">
        <f t="shared" si="32"/>
        <v>0</v>
      </c>
      <c r="M65" s="169">
        <f t="shared" si="32"/>
        <v>0</v>
      </c>
      <c r="N65" s="169">
        <f t="shared" si="32"/>
        <v>0</v>
      </c>
      <c r="O65" s="169">
        <f t="shared" si="32"/>
        <v>0</v>
      </c>
      <c r="P65" s="169">
        <f t="shared" si="32"/>
        <v>0</v>
      </c>
      <c r="Q65" s="169">
        <f t="shared" si="32"/>
        <v>0</v>
      </c>
      <c r="R65" s="169">
        <f t="shared" si="32"/>
        <v>0</v>
      </c>
      <c r="S65" s="169">
        <f t="shared" si="32"/>
        <v>0</v>
      </c>
      <c r="T65" s="169">
        <f t="shared" si="32"/>
        <v>0</v>
      </c>
      <c r="U65" s="169">
        <f t="shared" si="32"/>
        <v>0</v>
      </c>
      <c r="V65" s="169">
        <f t="shared" si="32"/>
        <v>0</v>
      </c>
      <c r="W65" s="169">
        <f t="shared" si="32"/>
        <v>0</v>
      </c>
      <c r="X65" s="169">
        <f t="shared" si="32"/>
        <v>0</v>
      </c>
      <c r="Y65" s="169">
        <f t="shared" si="32"/>
        <v>0</v>
      </c>
      <c r="Z65" s="169">
        <f t="shared" si="32"/>
        <v>0</v>
      </c>
      <c r="AA65" s="169">
        <f t="shared" si="32"/>
        <v>0</v>
      </c>
      <c r="AB65" s="169">
        <f t="shared" si="32"/>
        <v>0</v>
      </c>
      <c r="AC65" s="169">
        <f t="shared" si="32"/>
        <v>0</v>
      </c>
      <c r="AD65" s="169">
        <f t="shared" si="32"/>
        <v>0</v>
      </c>
    </row>
    <row spans="2:30" outlineLevel="1" r="66" s="163" hidden="1" x14ac:dyDescent="0.25" customFormat="1">
      <c r="B66" s="170" t="s">
        <v>12</v>
      </c>
      <c r="C66" s="169"/>
      <c r="D66" s="169"/>
      <c r="E66" s="169"/>
      <c r="F66" s="169"/>
      <c r="G66" s="169"/>
      <c r="H66" s="169"/>
      <c r="I66" s="169"/>
      <c r="J66" s="169"/>
      <c r="K66" s="169">
        <f ref="K66:AD66" t="shared" si="33">AVERAGE($C$7:$E$7)</f>
        <v>184771.38888888891</v>
      </c>
      <c r="L66" s="169">
        <f t="shared" si="33"/>
        <v>184771.38888888891</v>
      </c>
      <c r="M66" s="169">
        <f t="shared" si="33"/>
        <v>184771.38888888891</v>
      </c>
      <c r="N66" s="169">
        <f t="shared" si="33"/>
        <v>184771.38888888891</v>
      </c>
      <c r="O66" s="169">
        <f t="shared" si="33"/>
        <v>184771.38888888891</v>
      </c>
      <c r="P66" s="169">
        <f t="shared" si="33"/>
        <v>184771.38888888891</v>
      </c>
      <c r="Q66" s="169">
        <f t="shared" si="33"/>
        <v>184771.38888888891</v>
      </c>
      <c r="R66" s="169">
        <f t="shared" si="33"/>
        <v>184771.38888888891</v>
      </c>
      <c r="S66" s="169">
        <f t="shared" si="33"/>
        <v>184771.38888888891</v>
      </c>
      <c r="T66" s="169">
        <f t="shared" si="33"/>
        <v>184771.38888888891</v>
      </c>
      <c r="U66" s="169">
        <f t="shared" si="33"/>
        <v>184771.38888888891</v>
      </c>
      <c r="V66" s="169">
        <f t="shared" si="33"/>
        <v>184771.38888888891</v>
      </c>
      <c r="W66" s="169">
        <f t="shared" si="33"/>
        <v>184771.38888888891</v>
      </c>
      <c r="X66" s="169">
        <f t="shared" si="33"/>
        <v>184771.38888888891</v>
      </c>
      <c r="Y66" s="169">
        <f t="shared" si="33"/>
        <v>184771.38888888891</v>
      </c>
      <c r="Z66" s="169">
        <f t="shared" si="33"/>
        <v>184771.38888888891</v>
      </c>
      <c r="AA66" s="169">
        <f t="shared" si="33"/>
        <v>184771.38888888891</v>
      </c>
      <c r="AB66" s="169">
        <f t="shared" si="33"/>
        <v>184771.38888888891</v>
      </c>
      <c r="AC66" s="169">
        <f t="shared" si="33"/>
        <v>184771.38888888891</v>
      </c>
      <c r="AD66" s="169">
        <f t="shared" si="33"/>
        <v>184771.38888888891</v>
      </c>
    </row>
    <row spans="2:30" outlineLevel="1" r="67" s="163" hidden="1" x14ac:dyDescent="0.25" customFormat="1"/>
    <row spans="2:30" outlineLevel="1" r="68" s="163" hidden="1" x14ac:dyDescent="0.25" customFormat="1">
      <c r="B68" s="163" t="s">
        <v>13</v>
      </c>
      <c r="C68" s="169"/>
      <c r="D68" s="169"/>
      <c r="E68" s="169"/>
      <c r="F68" s="169"/>
      <c r="G68" s="169"/>
      <c r="H68" s="169"/>
      <c r="I68" s="169"/>
      <c r="J68" s="169"/>
      <c r="K68" s="169">
        <f ref="K68:AD68" t="shared" si="34">K65*K69</f>
        <v>0</v>
      </c>
      <c r="L68" s="169">
        <f t="shared" si="34"/>
        <v>0</v>
      </c>
      <c r="M68" s="169">
        <f t="shared" si="34"/>
        <v>0</v>
      </c>
      <c r="N68" s="169">
        <f t="shared" si="34"/>
        <v>0</v>
      </c>
      <c r="O68" s="169">
        <f t="shared" si="34"/>
        <v>0</v>
      </c>
      <c r="P68" s="169">
        <f t="shared" si="34"/>
        <v>0</v>
      </c>
      <c r="Q68" s="169">
        <f t="shared" si="34"/>
        <v>0</v>
      </c>
      <c r="R68" s="169">
        <f t="shared" si="34"/>
        <v>0</v>
      </c>
      <c r="S68" s="169">
        <f t="shared" si="34"/>
        <v>0</v>
      </c>
      <c r="T68" s="169">
        <f t="shared" si="34"/>
        <v>0</v>
      </c>
      <c r="U68" s="169">
        <f t="shared" si="34"/>
        <v>0</v>
      </c>
      <c r="V68" s="169">
        <f t="shared" si="34"/>
        <v>0</v>
      </c>
      <c r="W68" s="169">
        <f t="shared" si="34"/>
        <v>0</v>
      </c>
      <c r="X68" s="169">
        <f t="shared" si="34"/>
        <v>0</v>
      </c>
      <c r="Y68" s="169">
        <f t="shared" si="34"/>
        <v>0</v>
      </c>
      <c r="Z68" s="169">
        <f t="shared" si="34"/>
        <v>0</v>
      </c>
      <c r="AA68" s="169">
        <f t="shared" si="34"/>
        <v>0</v>
      </c>
      <c r="AB68" s="169">
        <f t="shared" si="34"/>
        <v>0</v>
      </c>
      <c r="AC68" s="169">
        <f t="shared" si="34"/>
        <v>0</v>
      </c>
      <c r="AD68" s="169">
        <f t="shared" si="34"/>
        <v>0</v>
      </c>
    </row>
    <row spans="2:30" outlineLevel="1" r="69" s="163" hidden="1" x14ac:dyDescent="0.25" customFormat="1">
      <c r="B69" s="170" t="s">
        <v>14</v>
      </c>
      <c r="C69" s="171"/>
      <c r="D69" s="171"/>
      <c r="E69" s="171"/>
      <c r="F69" s="172"/>
      <c r="G69" s="172"/>
      <c r="H69" s="172"/>
      <c r="I69" s="172"/>
      <c r="J69" s="172"/>
      <c r="K69" s="172">
        <f ref="K69:AD69" t="shared" si="35">AVERAGE($C$10:$E$10)</f>
        <v>0.24198558280116675</v>
      </c>
      <c r="L69" s="172">
        <f t="shared" si="35"/>
        <v>0.24198558280116675</v>
      </c>
      <c r="M69" s="172">
        <f t="shared" si="35"/>
        <v>0.24198558280116675</v>
      </c>
      <c r="N69" s="172">
        <f t="shared" si="35"/>
        <v>0.24198558280116675</v>
      </c>
      <c r="O69" s="172">
        <f t="shared" si="35"/>
        <v>0.24198558280116675</v>
      </c>
      <c r="P69" s="172">
        <f t="shared" si="35"/>
        <v>0.24198558280116675</v>
      </c>
      <c r="Q69" s="172">
        <f t="shared" si="35"/>
        <v>0.24198558280116675</v>
      </c>
      <c r="R69" s="172">
        <f t="shared" si="35"/>
        <v>0.24198558280116675</v>
      </c>
      <c r="S69" s="172">
        <f t="shared" si="35"/>
        <v>0.24198558280116675</v>
      </c>
      <c r="T69" s="172">
        <f t="shared" si="35"/>
        <v>0.24198558280116675</v>
      </c>
      <c r="U69" s="172">
        <f t="shared" si="35"/>
        <v>0.24198558280116675</v>
      </c>
      <c r="V69" s="172">
        <f t="shared" si="35"/>
        <v>0.24198558280116675</v>
      </c>
      <c r="W69" s="172">
        <f t="shared" si="35"/>
        <v>0.24198558280116675</v>
      </c>
      <c r="X69" s="172">
        <f t="shared" si="35"/>
        <v>0.24198558280116675</v>
      </c>
      <c r="Y69" s="172">
        <f t="shared" si="35"/>
        <v>0.24198558280116675</v>
      </c>
      <c r="Z69" s="172">
        <f t="shared" si="35"/>
        <v>0.24198558280116675</v>
      </c>
      <c r="AA69" s="172">
        <f t="shared" si="35"/>
        <v>0.24198558280116675</v>
      </c>
      <c r="AB69" s="172">
        <f t="shared" si="35"/>
        <v>0.24198558280116675</v>
      </c>
      <c r="AC69" s="172">
        <f t="shared" si="35"/>
        <v>0.24198558280116675</v>
      </c>
      <c r="AD69" s="172">
        <f t="shared" si="35"/>
        <v>0.24198558280116675</v>
      </c>
    </row>
    <row spans="2:30" outlineLevel="1" r="70" s="163" hidden="1" x14ac:dyDescent="0.25" customFormat="1"/>
    <row spans="2:30" outlineLevel="1" r="71" s="163" hidden="1" x14ac:dyDescent="0.25" customFormat="1">
      <c r="B71" s="163" t="s">
        <v>29</v>
      </c>
      <c r="C71" s="169"/>
      <c r="D71" s="169"/>
      <c r="E71" s="169"/>
      <c r="F71" s="169"/>
      <c r="G71" s="169"/>
      <c r="H71" s="169"/>
      <c r="I71" s="169"/>
      <c r="J71" s="169"/>
      <c r="K71" s="169">
        <f ref="K71:AD71" t="shared" si="36">K72*K65</f>
        <v>0</v>
      </c>
      <c r="L71" s="169">
        <f t="shared" si="36"/>
        <v>0</v>
      </c>
      <c r="M71" s="169">
        <f t="shared" si="36"/>
        <v>0</v>
      </c>
      <c r="N71" s="169">
        <f t="shared" si="36"/>
        <v>0</v>
      </c>
      <c r="O71" s="169">
        <f t="shared" si="36"/>
        <v>0</v>
      </c>
      <c r="P71" s="169">
        <f t="shared" si="36"/>
        <v>0</v>
      </c>
      <c r="Q71" s="169">
        <f t="shared" si="36"/>
        <v>0</v>
      </c>
      <c r="R71" s="169">
        <f t="shared" si="36"/>
        <v>0</v>
      </c>
      <c r="S71" s="169">
        <f t="shared" si="36"/>
        <v>0</v>
      </c>
      <c r="T71" s="169">
        <f t="shared" si="36"/>
        <v>0</v>
      </c>
      <c r="U71" s="169">
        <f t="shared" si="36"/>
        <v>0</v>
      </c>
      <c r="V71" s="169">
        <f t="shared" si="36"/>
        <v>0</v>
      </c>
      <c r="W71" s="169">
        <f t="shared" si="36"/>
        <v>0</v>
      </c>
      <c r="X71" s="169">
        <f t="shared" si="36"/>
        <v>0</v>
      </c>
      <c r="Y71" s="169">
        <f t="shared" si="36"/>
        <v>0</v>
      </c>
      <c r="Z71" s="169">
        <f t="shared" si="36"/>
        <v>0</v>
      </c>
      <c r="AA71" s="169">
        <f t="shared" si="36"/>
        <v>0</v>
      </c>
      <c r="AB71" s="169">
        <f t="shared" si="36"/>
        <v>0</v>
      </c>
      <c r="AC71" s="169">
        <f t="shared" si="36"/>
        <v>0</v>
      </c>
      <c r="AD71" s="169">
        <f t="shared" si="36"/>
        <v>0</v>
      </c>
    </row>
    <row spans="2:30" outlineLevel="1" r="72" s="163" hidden="1" x14ac:dyDescent="0.25" customFormat="1">
      <c r="B72" s="170" t="s">
        <v>14</v>
      </c>
      <c r="C72" s="171"/>
      <c r="D72" s="171"/>
      <c r="E72" s="171"/>
      <c r="F72" s="172"/>
      <c r="G72" s="172"/>
      <c r="H72" s="172"/>
      <c r="I72" s="172"/>
      <c r="J72" s="172"/>
      <c r="K72" s="172">
        <f ref="K72:AD72" t="shared" si="37">AVERAGE($C$29:$E$29)</f>
        <v>7.1965762739854972E-3</v>
      </c>
      <c r="L72" s="172">
        <f t="shared" si="37"/>
        <v>7.1965762739854972E-3</v>
      </c>
      <c r="M72" s="172">
        <f t="shared" si="37"/>
        <v>7.1965762739854972E-3</v>
      </c>
      <c r="N72" s="172">
        <f t="shared" si="37"/>
        <v>7.1965762739854972E-3</v>
      </c>
      <c r="O72" s="172">
        <f t="shared" si="37"/>
        <v>7.1965762739854972E-3</v>
      </c>
      <c r="P72" s="172">
        <f t="shared" si="37"/>
        <v>7.1965762739854972E-3</v>
      </c>
      <c r="Q72" s="172">
        <f t="shared" si="37"/>
        <v>7.1965762739854972E-3</v>
      </c>
      <c r="R72" s="172">
        <f t="shared" si="37"/>
        <v>7.1965762739854972E-3</v>
      </c>
      <c r="S72" s="172">
        <f t="shared" si="37"/>
        <v>7.1965762739854972E-3</v>
      </c>
      <c r="T72" s="172">
        <f t="shared" si="37"/>
        <v>7.1965762739854972E-3</v>
      </c>
      <c r="U72" s="172">
        <f t="shared" si="37"/>
        <v>7.1965762739854972E-3</v>
      </c>
      <c r="V72" s="172">
        <f t="shared" si="37"/>
        <v>7.1965762739854972E-3</v>
      </c>
      <c r="W72" s="172">
        <f t="shared" si="37"/>
        <v>7.1965762739854972E-3</v>
      </c>
      <c r="X72" s="172">
        <f t="shared" si="37"/>
        <v>7.1965762739854972E-3</v>
      </c>
      <c r="Y72" s="172">
        <f t="shared" si="37"/>
        <v>7.1965762739854972E-3</v>
      </c>
      <c r="Z72" s="172">
        <f t="shared" si="37"/>
        <v>7.1965762739854972E-3</v>
      </c>
      <c r="AA72" s="172">
        <f t="shared" si="37"/>
        <v>7.1965762739854972E-3</v>
      </c>
      <c r="AB72" s="172">
        <f t="shared" si="37"/>
        <v>7.1965762739854972E-3</v>
      </c>
      <c r="AC72" s="172">
        <f t="shared" si="37"/>
        <v>7.1965762739854972E-3</v>
      </c>
      <c r="AD72" s="172">
        <f t="shared" si="37"/>
        <v>7.1965762739854972E-3</v>
      </c>
    </row>
    <row spans="2:30" outlineLevel="1" r="73" s="163" hidden="1" x14ac:dyDescent="0.25" customFormat="1">
      <c r="B73" s="163" t="s">
        <v>30</v>
      </c>
      <c r="C73" s="169"/>
      <c r="D73" s="169"/>
      <c r="E73" s="169"/>
      <c r="F73" s="169"/>
      <c r="G73" s="169"/>
      <c r="H73" s="169"/>
      <c r="I73" s="169"/>
      <c r="J73" s="169"/>
      <c r="K73" s="169">
        <f ref="K73:AD73" t="shared" si="38">K74*K65</f>
        <v>0</v>
      </c>
      <c r="L73" s="169">
        <f t="shared" si="38"/>
        <v>0</v>
      </c>
      <c r="M73" s="169">
        <f t="shared" si="38"/>
        <v>0</v>
      </c>
      <c r="N73" s="169">
        <f t="shared" si="38"/>
        <v>0</v>
      </c>
      <c r="O73" s="169">
        <f t="shared" si="38"/>
        <v>0</v>
      </c>
      <c r="P73" s="169">
        <f t="shared" si="38"/>
        <v>0</v>
      </c>
      <c r="Q73" s="169">
        <f t="shared" si="38"/>
        <v>0</v>
      </c>
      <c r="R73" s="169">
        <f t="shared" si="38"/>
        <v>0</v>
      </c>
      <c r="S73" s="169">
        <f t="shared" si="38"/>
        <v>0</v>
      </c>
      <c r="T73" s="169">
        <f t="shared" si="38"/>
        <v>0</v>
      </c>
      <c r="U73" s="169">
        <f t="shared" si="38"/>
        <v>0</v>
      </c>
      <c r="V73" s="169">
        <f t="shared" si="38"/>
        <v>0</v>
      </c>
      <c r="W73" s="169">
        <f t="shared" si="38"/>
        <v>0</v>
      </c>
      <c r="X73" s="169">
        <f t="shared" si="38"/>
        <v>0</v>
      </c>
      <c r="Y73" s="169">
        <f t="shared" si="38"/>
        <v>0</v>
      </c>
      <c r="Z73" s="169">
        <f t="shared" si="38"/>
        <v>0</v>
      </c>
      <c r="AA73" s="169">
        <f t="shared" si="38"/>
        <v>0</v>
      </c>
      <c r="AB73" s="169">
        <f t="shared" si="38"/>
        <v>0</v>
      </c>
      <c r="AC73" s="169">
        <f t="shared" si="38"/>
        <v>0</v>
      </c>
      <c r="AD73" s="169">
        <f t="shared" si="38"/>
        <v>0</v>
      </c>
    </row>
    <row spans="2:30" outlineLevel="1" r="74" s="163" hidden="1" x14ac:dyDescent="0.25" customFormat="1">
      <c r="B74" s="170" t="s">
        <v>14</v>
      </c>
      <c r="C74" s="171"/>
      <c r="D74" s="171"/>
      <c r="E74" s="171"/>
      <c r="F74" s="172"/>
      <c r="G74" s="172"/>
      <c r="H74" s="172"/>
      <c r="I74" s="172"/>
      <c r="J74" s="172"/>
      <c r="K74" s="172">
        <f ref="K74:AD74" t="shared" si="39">AVERAGE($C$31:$E$31)</f>
        <v>1.3451855717442493E-2</v>
      </c>
      <c r="L74" s="172">
        <f t="shared" si="39"/>
        <v>1.3451855717442493E-2</v>
      </c>
      <c r="M74" s="172">
        <f t="shared" si="39"/>
        <v>1.3451855717442493E-2</v>
      </c>
      <c r="N74" s="172">
        <f t="shared" si="39"/>
        <v>1.3451855717442493E-2</v>
      </c>
      <c r="O74" s="172">
        <f t="shared" si="39"/>
        <v>1.3451855717442493E-2</v>
      </c>
      <c r="P74" s="172">
        <f t="shared" si="39"/>
        <v>1.3451855717442493E-2</v>
      </c>
      <c r="Q74" s="172">
        <f t="shared" si="39"/>
        <v>1.3451855717442493E-2</v>
      </c>
      <c r="R74" s="172">
        <f t="shared" si="39"/>
        <v>1.3451855717442493E-2</v>
      </c>
      <c r="S74" s="172">
        <f t="shared" si="39"/>
        <v>1.3451855717442493E-2</v>
      </c>
      <c r="T74" s="172">
        <f t="shared" si="39"/>
        <v>1.3451855717442493E-2</v>
      </c>
      <c r="U74" s="172">
        <f t="shared" si="39"/>
        <v>1.3451855717442493E-2</v>
      </c>
      <c r="V74" s="172">
        <f t="shared" si="39"/>
        <v>1.3451855717442493E-2</v>
      </c>
      <c r="W74" s="172">
        <f t="shared" si="39"/>
        <v>1.3451855717442493E-2</v>
      </c>
      <c r="X74" s="172">
        <f t="shared" si="39"/>
        <v>1.3451855717442493E-2</v>
      </c>
      <c r="Y74" s="172">
        <f t="shared" si="39"/>
        <v>1.3451855717442493E-2</v>
      </c>
      <c r="Z74" s="172">
        <f t="shared" si="39"/>
        <v>1.3451855717442493E-2</v>
      </c>
      <c r="AA74" s="172">
        <f t="shared" si="39"/>
        <v>1.3451855717442493E-2</v>
      </c>
      <c r="AB74" s="172">
        <f t="shared" si="39"/>
        <v>1.3451855717442493E-2</v>
      </c>
      <c r="AC74" s="172">
        <f t="shared" si="39"/>
        <v>1.3451855717442493E-2</v>
      </c>
      <c r="AD74" s="172">
        <f t="shared" si="39"/>
        <v>1.3451855717442493E-2</v>
      </c>
    </row>
    <row spans="2:30" outlineLevel="1" r="75" s="163" hidden="1" x14ac:dyDescent="0.25" customFormat="1">
      <c r="B75" s="163" t="s">
        <v>31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3">
        <v>0</v>
      </c>
      <c r="R75" s="163">
        <v>0</v>
      </c>
      <c r="S75" s="163">
        <v>0</v>
      </c>
      <c r="T75" s="163">
        <v>0</v>
      </c>
      <c r="U75" s="163">
        <v>0</v>
      </c>
      <c r="V75" s="163">
        <v>0</v>
      </c>
      <c r="W75" s="163">
        <v>0</v>
      </c>
      <c r="X75" s="163">
        <v>0</v>
      </c>
      <c r="Y75" s="163">
        <v>0</v>
      </c>
      <c r="Z75" s="163">
        <v>0</v>
      </c>
      <c r="AA75" s="163">
        <v>0</v>
      </c>
      <c r="AB75" s="163">
        <v>0</v>
      </c>
      <c r="AC75" s="163">
        <v>0</v>
      </c>
      <c r="AD75" s="163">
        <v>0</v>
      </c>
    </row>
    <row spans="2:30" outlineLevel="1" r="76" s="163" hidden="1" x14ac:dyDescent="0.25" customFormat="1"/>
    <row spans="2:30" outlineLevel="1" r="77" s="163" hidden="1" x14ac:dyDescent="0.25" customFormat="1">
      <c r="B77" s="163" t="s">
        <v>32</v>
      </c>
      <c r="G77" s="169"/>
      <c r="H77" s="169"/>
      <c r="I77" s="169"/>
      <c r="J77" s="169"/>
      <c r="K77" s="169">
        <f ref="K77:AD77" t="shared" si="40">K65-K68-K71-K73</f>
        <v>0</v>
      </c>
      <c r="L77" s="169">
        <f t="shared" si="40"/>
        <v>0</v>
      </c>
      <c r="M77" s="169">
        <f t="shared" si="40"/>
        <v>0</v>
      </c>
      <c r="N77" s="169">
        <f t="shared" si="40"/>
        <v>0</v>
      </c>
      <c r="O77" s="169">
        <f t="shared" si="40"/>
        <v>0</v>
      </c>
      <c r="P77" s="169">
        <f t="shared" si="40"/>
        <v>0</v>
      </c>
      <c r="Q77" s="169">
        <f t="shared" si="40"/>
        <v>0</v>
      </c>
      <c r="R77" s="169">
        <f t="shared" si="40"/>
        <v>0</v>
      </c>
      <c r="S77" s="169">
        <f t="shared" si="40"/>
        <v>0</v>
      </c>
      <c r="T77" s="169">
        <f t="shared" si="40"/>
        <v>0</v>
      </c>
      <c r="U77" s="169">
        <f t="shared" si="40"/>
        <v>0</v>
      </c>
      <c r="V77" s="169">
        <f t="shared" si="40"/>
        <v>0</v>
      </c>
      <c r="W77" s="169">
        <f t="shared" si="40"/>
        <v>0</v>
      </c>
      <c r="X77" s="169">
        <f t="shared" si="40"/>
        <v>0</v>
      </c>
      <c r="Y77" s="169">
        <f t="shared" si="40"/>
        <v>0</v>
      </c>
      <c r="Z77" s="169">
        <f t="shared" si="40"/>
        <v>0</v>
      </c>
      <c r="AA77" s="169">
        <f t="shared" si="40"/>
        <v>0</v>
      </c>
      <c r="AB77" s="169">
        <f t="shared" si="40"/>
        <v>0</v>
      </c>
      <c r="AC77" s="169">
        <f t="shared" si="40"/>
        <v>0</v>
      </c>
      <c r="AD77" s="169">
        <f t="shared" si="40"/>
        <v>0</v>
      </c>
    </row>
    <row spans="2:30" outlineLevel="1" r="78" s="163" hidden="1" x14ac:dyDescent="0.25" customFormat="1">
      <c r="B78" s="163" t="s">
        <v>34</v>
      </c>
      <c r="G78" s="173"/>
      <c r="H78" s="173"/>
      <c r="I78" s="173"/>
      <c r="J78" s="173"/>
      <c r="K78" s="173">
        <v>0.7</v>
      </c>
      <c r="L78" s="173">
        <v>0.7</v>
      </c>
      <c r="M78" s="173">
        <v>0.7</v>
      </c>
      <c r="N78" s="173">
        <v>0.7</v>
      </c>
      <c r="O78" s="173">
        <v>0.7</v>
      </c>
      <c r="P78" s="173">
        <v>0.7</v>
      </c>
      <c r="Q78" s="173">
        <v>0.7</v>
      </c>
      <c r="R78" s="173">
        <v>0.7</v>
      </c>
      <c r="S78" s="173">
        <v>0.7</v>
      </c>
      <c r="T78" s="173">
        <v>0.7</v>
      </c>
      <c r="U78" s="173">
        <v>0.7</v>
      </c>
      <c r="V78" s="173">
        <v>0.7</v>
      </c>
      <c r="W78" s="173">
        <v>0.7</v>
      </c>
      <c r="X78" s="173">
        <v>0.7</v>
      </c>
      <c r="Y78" s="173">
        <v>0.7</v>
      </c>
      <c r="Z78" s="173">
        <v>0.7</v>
      </c>
      <c r="AA78" s="173">
        <v>0.7</v>
      </c>
      <c r="AB78" s="173">
        <v>0.7</v>
      </c>
      <c r="AC78" s="173">
        <v>0.7</v>
      </c>
      <c r="AD78" s="173">
        <v>0.7</v>
      </c>
    </row>
    <row spans="2:30" outlineLevel="1" r="79" s="163" hidden="1" x14ac:dyDescent="0.25" customFormat="1">
      <c r="B79" s="163" t="s">
        <v>32</v>
      </c>
      <c r="G79" s="169"/>
      <c r="H79" s="169"/>
      <c r="I79" s="169"/>
      <c r="J79" s="169"/>
      <c r="K79" s="169">
        <v>0</v>
      </c>
      <c r="L79" s="169">
        <v>0</v>
      </c>
      <c r="M79" s="169">
        <v>0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169">
        <v>0</v>
      </c>
      <c r="V79" s="169">
        <v>0</v>
      </c>
      <c r="W79" s="169">
        <v>0</v>
      </c>
      <c r="X79" s="169">
        <v>0</v>
      </c>
      <c r="Y79" s="169">
        <v>0</v>
      </c>
      <c r="Z79" s="169">
        <v>0</v>
      </c>
      <c r="AA79" s="169">
        <v>0</v>
      </c>
      <c r="AB79" s="169">
        <v>0</v>
      </c>
      <c r="AC79" s="169">
        <v>0</v>
      </c>
      <c r="AD79" s="169">
        <v>0</v>
      </c>
    </row>
    <row spans="2:30" r="80" collapsed="1" x14ac:dyDescent="0.25"/>
    <row spans="1:30" r="82" x14ac:dyDescent="0.25">
      <c r="A82" s="8" t="s">
        <v>40</v>
      </c>
      <c r="B82" s="24" t="s">
        <v>41</v>
      </c>
      <c r="C82" s="24"/>
      <c r="D82" s="24"/>
      <c r="E82" s="24"/>
      <c r="F82" s="24">
        <v>2022</v>
      </c>
      <c r="G82" s="24">
        <v>2023</v>
      </c>
      <c r="H82" s="24">
        <v>2024</v>
      </c>
      <c r="I82" s="24">
        <v>2025</v>
      </c>
      <c r="J82" s="24">
        <v>2026</v>
      </c>
      <c r="K82" s="24">
        <v>2027</v>
      </c>
      <c r="L82" s="24">
        <v>2028</v>
      </c>
      <c r="M82" s="24">
        <v>2029</v>
      </c>
      <c r="N82" s="24">
        <v>2030</v>
      </c>
      <c r="O82" s="24">
        <v>2031</v>
      </c>
      <c r="P82" s="24">
        <v>2032</v>
      </c>
      <c r="Q82" s="24">
        <v>2033</v>
      </c>
      <c r="R82" s="24">
        <v>2034</v>
      </c>
      <c r="S82" s="24">
        <v>2035</v>
      </c>
      <c r="T82" s="24">
        <v>2036</v>
      </c>
      <c r="U82" s="24">
        <v>2037</v>
      </c>
      <c r="V82" s="24">
        <v>2038</v>
      </c>
      <c r="W82" s="24">
        <v>2039</v>
      </c>
      <c r="X82" s="24">
        <v>2040</v>
      </c>
      <c r="Y82" s="24">
        <v>2041</v>
      </c>
      <c r="Z82" s="24">
        <v>2042</v>
      </c>
    </row>
    <row spans="1:30" r="83" x14ac:dyDescent="0.25">
      <c r="B83" s="8" t="s">
        <v>42</v>
      </c>
      <c r="F83" s="156">
        <f ref="F83:Z83" t="shared" si="41">F6+F43+F65</f>
        <v>221725.66666666669</v>
      </c>
      <c r="G83" s="156">
        <f t="shared" si="41"/>
        <v>334898.14236111112</v>
      </c>
      <c r="H83" s="156">
        <f t="shared" si="41"/>
        <v>674415.5694444445</v>
      </c>
      <c r="I83" s="156">
        <f t="shared" si="41"/>
        <v>674415.5694444445</v>
      </c>
      <c r="J83" s="156">
        <f t="shared" si="41"/>
        <v>674415.5694444445</v>
      </c>
      <c r="K83" s="156">
        <f t="shared" si="41"/>
        <v>674415.5694444445</v>
      </c>
      <c r="L83" s="156">
        <f t="shared" si="41"/>
        <v>674415.5694444445</v>
      </c>
      <c r="M83" s="156">
        <f t="shared" si="41"/>
        <v>674415.5694444445</v>
      </c>
      <c r="N83" s="156">
        <f t="shared" si="41"/>
        <v>674415.5694444445</v>
      </c>
      <c r="O83" s="156">
        <f t="shared" si="41"/>
        <v>674415.5694444445</v>
      </c>
      <c r="P83" s="156">
        <f t="shared" si="41"/>
        <v>452689.90277777787</v>
      </c>
      <c r="Q83" s="156">
        <f t="shared" si="41"/>
        <v>452689.90277777787</v>
      </c>
      <c r="R83" s="156">
        <f t="shared" si="41"/>
        <v>452689.90277777787</v>
      </c>
      <c r="S83" s="156">
        <f t="shared" si="41"/>
        <v>452689.90277777787</v>
      </c>
      <c r="T83" s="156">
        <f t="shared" si="41"/>
        <v>452689.90277777787</v>
      </c>
      <c r="U83" s="156">
        <f t="shared" si="41"/>
        <v>452689.90277777787</v>
      </c>
      <c r="V83" s="156">
        <f t="shared" si="41"/>
        <v>452689.90277777787</v>
      </c>
      <c r="W83" s="156">
        <f t="shared" si="41"/>
        <v>452689.90277777787</v>
      </c>
      <c r="X83" s="156">
        <f t="shared" si="41"/>
        <v>452689.90277777787</v>
      </c>
      <c r="Y83" s="156">
        <f t="shared" si="41"/>
        <v>452689.90277777787</v>
      </c>
      <c r="Z83" s="156">
        <f t="shared" si="41"/>
        <v>452689.90277777787</v>
      </c>
      <c r="AA83" s="156"/>
      <c r="AB83" s="156"/>
      <c r="AC83" s="156"/>
      <c r="AD83" s="156"/>
    </row>
    <row spans="1:30" r="84" x14ac:dyDescent="0.25">
      <c r="B84" s="8" t="s">
        <v>43</v>
      </c>
      <c r="F84" s="156">
        <f ref="F84:Z84" t="shared" si="42">F35+F57+F79</f>
        <v>294242.96464743541</v>
      </c>
      <c r="G84" s="156">
        <f t="shared" si="42"/>
        <v>251096.6331042246</v>
      </c>
      <c r="H84" s="156">
        <f t="shared" si="42"/>
        <v>410651.65995606186</v>
      </c>
      <c r="I84" s="156">
        <f t="shared" si="42"/>
        <v>397151.65995606186</v>
      </c>
      <c r="J84" s="156">
        <f t="shared" si="42"/>
        <v>397151.65995606186</v>
      </c>
      <c r="K84" s="156">
        <f t="shared" si="42"/>
        <v>401729.94730498258</v>
      </c>
      <c r="L84" s="156">
        <f t="shared" si="42"/>
        <v>397151.65995606186</v>
      </c>
      <c r="M84" s="156">
        <f t="shared" si="42"/>
        <v>397151.65995606186</v>
      </c>
      <c r="N84" s="156">
        <f t="shared" si="42"/>
        <v>397151.65995606186</v>
      </c>
      <c r="O84" s="156">
        <f t="shared" si="42"/>
        <v>397151.65995606186</v>
      </c>
      <c r="P84" s="156">
        <f t="shared" si="42"/>
        <v>233658.69530862645</v>
      </c>
      <c r="Q84" s="156">
        <f t="shared" si="42"/>
        <v>233658.69530862645</v>
      </c>
      <c r="R84" s="156">
        <f t="shared" si="42"/>
        <v>233658.69530862645</v>
      </c>
      <c r="S84" s="156">
        <f t="shared" si="42"/>
        <v>233658.69530862645</v>
      </c>
      <c r="T84" s="156">
        <f t="shared" si="42"/>
        <v>233658.69530862645</v>
      </c>
      <c r="U84" s="156">
        <f t="shared" si="42"/>
        <v>233658.69530862645</v>
      </c>
      <c r="V84" s="156">
        <f t="shared" si="42"/>
        <v>233658.69530862645</v>
      </c>
      <c r="W84" s="156">
        <f t="shared" si="42"/>
        <v>233658.69530862645</v>
      </c>
      <c r="X84" s="156">
        <f t="shared" si="42"/>
        <v>233658.69530862645</v>
      </c>
      <c r="Y84" s="156">
        <f t="shared" si="42"/>
        <v>233658.69530862645</v>
      </c>
      <c r="Z84" s="156">
        <f t="shared" si="42"/>
        <v>233658.69530862645</v>
      </c>
      <c r="AA84" s="156"/>
      <c r="AB84" s="156"/>
      <c r="AC84" s="156"/>
      <c r="AD84" s="156"/>
    </row>
    <row spans="1:30" r="85" x14ac:dyDescent="0.25">
      <c r="B85" s="8" t="s">
        <v>44</v>
      </c>
      <c r="F85" s="156">
        <f>G114</f>
        <v>40000</v>
      </c>
      <c r="G85" s="156">
        <f ref="G85:Z85" t="shared" si="43">H114</f>
        <v>80000</v>
      </c>
      <c r="H85" s="156">
        <f t="shared" si="43"/>
        <v>80000</v>
      </c>
      <c r="I85" s="156">
        <f t="shared" si="43"/>
        <v>80000</v>
      </c>
      <c r="J85" s="156">
        <f t="shared" si="43"/>
        <v>80000</v>
      </c>
      <c r="K85" s="156">
        <f t="shared" si="43"/>
        <v>80000</v>
      </c>
      <c r="L85" s="156">
        <f t="shared" si="43"/>
        <v>80000</v>
      </c>
      <c r="M85" s="156">
        <f t="shared" si="43"/>
        <v>80000</v>
      </c>
      <c r="N85" s="156">
        <f t="shared" si="43"/>
        <v>80000</v>
      </c>
      <c r="O85" s="156">
        <f t="shared" si="43"/>
        <v>80000</v>
      </c>
      <c r="P85" s="156">
        <f t="shared" si="43"/>
        <v>80000</v>
      </c>
      <c r="Q85" s="156">
        <f t="shared" si="43"/>
        <v>80000</v>
      </c>
      <c r="R85" s="156">
        <f t="shared" si="43"/>
        <v>80000</v>
      </c>
      <c r="S85" s="156">
        <f t="shared" si="43"/>
        <v>80000</v>
      </c>
      <c r="T85" s="156">
        <f t="shared" si="43"/>
        <v>80000</v>
      </c>
      <c r="U85" s="156">
        <f t="shared" si="43"/>
        <v>80000</v>
      </c>
      <c r="V85" s="156">
        <f t="shared" si="43"/>
        <v>80000</v>
      </c>
      <c r="W85" s="156">
        <f t="shared" si="43"/>
        <v>80000</v>
      </c>
      <c r="X85" s="156">
        <f t="shared" si="43"/>
        <v>80000</v>
      </c>
      <c r="Y85" s="156">
        <f t="shared" si="43"/>
        <v>80000</v>
      </c>
      <c r="Z85" s="156">
        <f t="shared" si="43"/>
        <v>80000</v>
      </c>
      <c r="AA85" s="156"/>
      <c r="AB85" s="156"/>
      <c r="AC85" s="156"/>
      <c r="AD85" s="156"/>
    </row>
    <row spans="1:30" r="86" x14ac:dyDescent="0.25">
      <c r="B86" s="8" t="s">
        <v>45</v>
      </c>
      <c r="F86" s="156">
        <f ref="F86:Z86" t="shared" si="44">F84-F85</f>
        <v>254242.96464743541</v>
      </c>
      <c r="G86" s="156">
        <f t="shared" si="44"/>
        <v>171096.6331042246</v>
      </c>
      <c r="H86" s="156">
        <f t="shared" si="44"/>
        <v>330651.65995606186</v>
      </c>
      <c r="I86" s="156">
        <f t="shared" si="44"/>
        <v>317151.65995606186</v>
      </c>
      <c r="J86" s="156">
        <f t="shared" si="44"/>
        <v>317151.65995606186</v>
      </c>
      <c r="K86" s="156">
        <f t="shared" si="44"/>
        <v>321729.94730498258</v>
      </c>
      <c r="L86" s="156">
        <f t="shared" si="44"/>
        <v>317151.65995606186</v>
      </c>
      <c r="M86" s="156">
        <f t="shared" si="44"/>
        <v>317151.65995606186</v>
      </c>
      <c r="N86" s="156">
        <f t="shared" si="44"/>
        <v>317151.65995606186</v>
      </c>
      <c r="O86" s="156">
        <f t="shared" si="44"/>
        <v>317151.65995606186</v>
      </c>
      <c r="P86" s="156">
        <f t="shared" si="44"/>
        <v>153658.69530862645</v>
      </c>
      <c r="Q86" s="156">
        <f t="shared" si="44"/>
        <v>153658.69530862645</v>
      </c>
      <c r="R86" s="156">
        <f t="shared" si="44"/>
        <v>153658.69530862645</v>
      </c>
      <c r="S86" s="156">
        <f t="shared" si="44"/>
        <v>153658.69530862645</v>
      </c>
      <c r="T86" s="156">
        <f t="shared" si="44"/>
        <v>153658.69530862645</v>
      </c>
      <c r="U86" s="156">
        <f t="shared" si="44"/>
        <v>153658.69530862645</v>
      </c>
      <c r="V86" s="156">
        <f t="shared" si="44"/>
        <v>153658.69530862645</v>
      </c>
      <c r="W86" s="156">
        <f t="shared" si="44"/>
        <v>153658.69530862645</v>
      </c>
      <c r="X86" s="156">
        <f t="shared" si="44"/>
        <v>153658.69530862645</v>
      </c>
      <c r="Y86" s="156">
        <f t="shared" si="44"/>
        <v>153658.69530862645</v>
      </c>
      <c r="Z86" s="156">
        <f t="shared" si="44"/>
        <v>153658.69530862645</v>
      </c>
      <c r="AA86" s="156"/>
      <c r="AB86" s="156"/>
      <c r="AC86" s="156"/>
      <c r="AD86" s="156"/>
    </row>
    <row spans="1:30" r="87" x14ac:dyDescent="0.25">
      <c r="B87" s="8" t="s">
        <v>46</v>
      </c>
      <c r="F87" s="157">
        <v>0.1024</v>
      </c>
      <c r="G87" s="157">
        <v>0.21</v>
      </c>
      <c r="H87" s="157">
        <v>0.21</v>
      </c>
      <c r="I87" s="157">
        <v>0.21</v>
      </c>
      <c r="J87" s="157">
        <v>0.21</v>
      </c>
      <c r="K87" s="157">
        <v>0.21</v>
      </c>
      <c r="L87" s="157">
        <v>0.21</v>
      </c>
      <c r="M87" s="157">
        <v>0.21</v>
      </c>
      <c r="N87" s="157">
        <v>0.21</v>
      </c>
      <c r="O87" s="157">
        <v>0.21</v>
      </c>
      <c r="P87" s="157">
        <v>0.21</v>
      </c>
      <c r="Q87" s="157">
        <v>0.21</v>
      </c>
      <c r="R87" s="157">
        <v>0.21</v>
      </c>
      <c r="S87" s="157">
        <v>0.21</v>
      </c>
      <c r="T87" s="157">
        <v>0.21</v>
      </c>
      <c r="U87" s="157">
        <v>0.21</v>
      </c>
      <c r="V87" s="157">
        <v>0.21</v>
      </c>
      <c r="W87" s="157">
        <v>0.21</v>
      </c>
      <c r="X87" s="157">
        <v>0.21</v>
      </c>
      <c r="Y87" s="157">
        <v>0.21</v>
      </c>
      <c r="Z87" s="157">
        <v>0.21</v>
      </c>
      <c r="AA87" s="157"/>
      <c r="AB87" s="157"/>
      <c r="AC87" s="157"/>
      <c r="AD87" s="157"/>
    </row>
    <row spans="1:30" r="88" x14ac:dyDescent="0.25">
      <c r="B88" s="8" t="s">
        <v>47</v>
      </c>
      <c r="F88" s="156">
        <f>F86*F87</f>
        <v>26034.479579897386</v>
      </c>
      <c r="G88" s="156">
        <f ref="G88:Z88" t="shared" si="45">G86*G87</f>
        <v>35930.292951887168</v>
      </c>
      <c r="H88" s="156">
        <f t="shared" si="45"/>
        <v>69436.848590772992</v>
      </c>
      <c r="I88" s="156">
        <f t="shared" si="45"/>
        <v>66601.848590772992</v>
      </c>
      <c r="J88" s="156">
        <f t="shared" si="45"/>
        <v>66601.848590772992</v>
      </c>
      <c r="K88" s="156">
        <f t="shared" si="45"/>
        <v>67563.288934046344</v>
      </c>
      <c r="L88" s="156">
        <f t="shared" si="45"/>
        <v>66601.848590772992</v>
      </c>
      <c r="M88" s="156">
        <f t="shared" si="45"/>
        <v>66601.848590772992</v>
      </c>
      <c r="N88" s="156">
        <f t="shared" si="45"/>
        <v>66601.848590772992</v>
      </c>
      <c r="O88" s="156">
        <f t="shared" si="45"/>
        <v>66601.848590772992</v>
      </c>
      <c r="P88" s="156">
        <f t="shared" si="45"/>
        <v>32268.326014811555</v>
      </c>
      <c r="Q88" s="156">
        <f t="shared" si="45"/>
        <v>32268.326014811555</v>
      </c>
      <c r="R88" s="156">
        <f t="shared" si="45"/>
        <v>32268.326014811555</v>
      </c>
      <c r="S88" s="156">
        <f t="shared" si="45"/>
        <v>32268.326014811555</v>
      </c>
      <c r="T88" s="156">
        <f t="shared" si="45"/>
        <v>32268.326014811555</v>
      </c>
      <c r="U88" s="156">
        <f t="shared" si="45"/>
        <v>32268.326014811555</v>
      </c>
      <c r="V88" s="156">
        <f t="shared" si="45"/>
        <v>32268.326014811555</v>
      </c>
      <c r="W88" s="156">
        <f t="shared" si="45"/>
        <v>32268.326014811555</v>
      </c>
      <c r="X88" s="156">
        <f t="shared" si="45"/>
        <v>32268.326014811555</v>
      </c>
      <c r="Y88" s="156">
        <f t="shared" si="45"/>
        <v>32268.326014811555</v>
      </c>
      <c r="Z88" s="156">
        <f t="shared" si="45"/>
        <v>32268.326014811555</v>
      </c>
      <c r="AA88" s="156"/>
      <c r="AB88" s="156"/>
      <c r="AC88" s="156"/>
      <c r="AD88" s="156"/>
    </row>
    <row spans="1:30" r="89" x14ac:dyDescent="0.25">
      <c r="B89" s="8" t="s">
        <v>48</v>
      </c>
      <c r="F89" s="156">
        <f>F86-F88</f>
        <v>228208.48506753801</v>
      </c>
      <c r="G89" s="156">
        <f ref="G89:Z89" t="shared" si="46">G86-G88</f>
        <v>135166.34015233745</v>
      </c>
      <c r="H89" s="156">
        <f t="shared" si="46"/>
        <v>261214.81136528886</v>
      </c>
      <c r="I89" s="156">
        <f t="shared" si="46"/>
        <v>250549.81136528886</v>
      </c>
      <c r="J89" s="156">
        <f t="shared" si="46"/>
        <v>250549.81136528886</v>
      </c>
      <c r="K89" s="156">
        <f t="shared" si="46"/>
        <v>254166.65837093623</v>
      </c>
      <c r="L89" s="156">
        <f t="shared" si="46"/>
        <v>250549.81136528886</v>
      </c>
      <c r="M89" s="156">
        <f t="shared" si="46"/>
        <v>250549.81136528886</v>
      </c>
      <c r="N89" s="156">
        <f t="shared" si="46"/>
        <v>250549.81136528886</v>
      </c>
      <c r="O89" s="156">
        <f t="shared" si="46"/>
        <v>250549.81136528886</v>
      </c>
      <c r="P89" s="156">
        <f t="shared" si="46"/>
        <v>121390.3692938149</v>
      </c>
      <c r="Q89" s="156">
        <f t="shared" si="46"/>
        <v>121390.3692938149</v>
      </c>
      <c r="R89" s="156">
        <f t="shared" si="46"/>
        <v>121390.3692938149</v>
      </c>
      <c r="S89" s="156">
        <f t="shared" si="46"/>
        <v>121390.3692938149</v>
      </c>
      <c r="T89" s="156">
        <f t="shared" si="46"/>
        <v>121390.3692938149</v>
      </c>
      <c r="U89" s="156">
        <f t="shared" si="46"/>
        <v>121390.3692938149</v>
      </c>
      <c r="V89" s="156">
        <f t="shared" si="46"/>
        <v>121390.3692938149</v>
      </c>
      <c r="W89" s="156">
        <f t="shared" si="46"/>
        <v>121390.3692938149</v>
      </c>
      <c r="X89" s="156">
        <f t="shared" si="46"/>
        <v>121390.3692938149</v>
      </c>
      <c r="Y89" s="156">
        <f t="shared" si="46"/>
        <v>121390.3692938149</v>
      </c>
      <c r="Z89" s="156">
        <f t="shared" si="46"/>
        <v>121390.3692938149</v>
      </c>
      <c r="AA89" s="156"/>
      <c r="AB89" s="156"/>
      <c r="AC89" s="156"/>
      <c r="AD89" s="156"/>
    </row>
    <row spans="1:30" r="90" x14ac:dyDescent="0.25">
      <c r="B90" s="8" t="s">
        <v>49</v>
      </c>
      <c r="F90" s="156">
        <f>F85</f>
        <v>40000</v>
      </c>
      <c r="G90" s="156">
        <f ref="G90:Z90" t="shared" si="47">G85</f>
        <v>80000</v>
      </c>
      <c r="H90" s="156">
        <f t="shared" si="47"/>
        <v>80000</v>
      </c>
      <c r="I90" s="156">
        <f t="shared" si="47"/>
        <v>80000</v>
      </c>
      <c r="J90" s="156">
        <f t="shared" si="47"/>
        <v>80000</v>
      </c>
      <c r="K90" s="156">
        <f t="shared" si="47"/>
        <v>80000</v>
      </c>
      <c r="L90" s="156">
        <f t="shared" si="47"/>
        <v>80000</v>
      </c>
      <c r="M90" s="156">
        <f t="shared" si="47"/>
        <v>80000</v>
      </c>
      <c r="N90" s="156">
        <f t="shared" si="47"/>
        <v>80000</v>
      </c>
      <c r="O90" s="156">
        <f t="shared" si="47"/>
        <v>80000</v>
      </c>
      <c r="P90" s="156">
        <f t="shared" si="47"/>
        <v>80000</v>
      </c>
      <c r="Q90" s="156">
        <f t="shared" si="47"/>
        <v>80000</v>
      </c>
      <c r="R90" s="156">
        <f t="shared" si="47"/>
        <v>80000</v>
      </c>
      <c r="S90" s="156">
        <f t="shared" si="47"/>
        <v>80000</v>
      </c>
      <c r="T90" s="156">
        <f t="shared" si="47"/>
        <v>80000</v>
      </c>
      <c r="U90" s="156">
        <f t="shared" si="47"/>
        <v>80000</v>
      </c>
      <c r="V90" s="156">
        <f t="shared" si="47"/>
        <v>80000</v>
      </c>
      <c r="W90" s="156">
        <f t="shared" si="47"/>
        <v>80000</v>
      </c>
      <c r="X90" s="156">
        <f t="shared" si="47"/>
        <v>80000</v>
      </c>
      <c r="Y90" s="156">
        <f t="shared" si="47"/>
        <v>80000</v>
      </c>
      <c r="Z90" s="156">
        <f t="shared" si="47"/>
        <v>80000</v>
      </c>
      <c r="AA90" s="156"/>
      <c r="AB90" s="156"/>
      <c r="AC90" s="156"/>
      <c r="AD90" s="156"/>
    </row>
    <row spans="1:30" r="91" x14ac:dyDescent="0.25">
      <c r="B91" s="8" t="s">
        <v>50</v>
      </c>
      <c r="F91" s="156">
        <f>F100</f>
        <v>22172.566666666669</v>
      </c>
      <c r="G91" s="156">
        <f ref="G91:Z91" t="shared" si="48">G100</f>
        <v>33489.814236111117</v>
      </c>
      <c r="H91" s="156">
        <f t="shared" si="48"/>
        <v>67441.556944444455</v>
      </c>
      <c r="I91" s="156">
        <f t="shared" si="48"/>
        <v>67441.556944444455</v>
      </c>
      <c r="J91" s="156">
        <f t="shared" si="48"/>
        <v>67441.556944444455</v>
      </c>
      <c r="K91" s="156">
        <f t="shared" si="48"/>
        <v>67441.556944444455</v>
      </c>
      <c r="L91" s="156">
        <f t="shared" si="48"/>
        <v>67441.556944444455</v>
      </c>
      <c r="M91" s="156">
        <f t="shared" si="48"/>
        <v>67441.556944444455</v>
      </c>
      <c r="N91" s="156">
        <f t="shared" si="48"/>
        <v>67441.556944444455</v>
      </c>
      <c r="O91" s="156">
        <f t="shared" si="48"/>
        <v>67441.556944444455</v>
      </c>
      <c r="P91" s="156">
        <f t="shared" si="48"/>
        <v>45268.99027777779</v>
      </c>
      <c r="Q91" s="156">
        <f t="shared" si="48"/>
        <v>45268.99027777779</v>
      </c>
      <c r="R91" s="156">
        <f t="shared" si="48"/>
        <v>45268.99027777779</v>
      </c>
      <c r="S91" s="156">
        <f t="shared" si="48"/>
        <v>45268.99027777779</v>
      </c>
      <c r="T91" s="156">
        <f t="shared" si="48"/>
        <v>45268.99027777779</v>
      </c>
      <c r="U91" s="156">
        <f t="shared" si="48"/>
        <v>45268.99027777779</v>
      </c>
      <c r="V91" s="156">
        <f t="shared" si="48"/>
        <v>45268.99027777779</v>
      </c>
      <c r="W91" s="156">
        <f t="shared" si="48"/>
        <v>45268.99027777779</v>
      </c>
      <c r="X91" s="156">
        <f t="shared" si="48"/>
        <v>45268.99027777779</v>
      </c>
      <c r="Y91" s="156">
        <f t="shared" si="48"/>
        <v>45268.99027777779</v>
      </c>
      <c r="Z91" s="156">
        <f t="shared" si="48"/>
        <v>45268.99027777779</v>
      </c>
      <c r="AA91" s="156"/>
      <c r="AB91" s="156"/>
      <c r="AC91" s="156"/>
      <c r="AD91" s="156"/>
    </row>
    <row spans="1:30" r="92" s="22" x14ac:dyDescent="0.25" customFormat="1">
      <c r="B92" s="22" t="s">
        <v>51</v>
      </c>
    </row>
    <row spans="1:30" r="93" x14ac:dyDescent="0.25">
      <c r="B93" s="8" t="s">
        <v>52</v>
      </c>
      <c r="F93" s="156">
        <f>F89+F90-F91-F92</f>
        <v>246035.91840087131</v>
      </c>
      <c r="G93" s="156">
        <f ref="G93:Z93" t="shared" si="49">G89+G90-G91-G92</f>
        <v>181676.52591622632</v>
      </c>
      <c r="H93" s="156">
        <f t="shared" si="49"/>
        <v>273773.25442084437</v>
      </c>
      <c r="I93" s="156">
        <f t="shared" si="49"/>
        <v>263108.25442084437</v>
      </c>
      <c r="J93" s="156">
        <f t="shared" si="49"/>
        <v>263108.25442084437</v>
      </c>
      <c r="K93" s="156">
        <f t="shared" si="49"/>
        <v>266725.10142649175</v>
      </c>
      <c r="L93" s="156">
        <f t="shared" si="49"/>
        <v>263108.25442084437</v>
      </c>
      <c r="M93" s="156">
        <f t="shared" si="49"/>
        <v>263108.25442084437</v>
      </c>
      <c r="N93" s="156">
        <f t="shared" si="49"/>
        <v>263108.25442084437</v>
      </c>
      <c r="O93" s="156">
        <f t="shared" si="49"/>
        <v>263108.25442084437</v>
      </c>
      <c r="P93" s="156">
        <f t="shared" si="49"/>
        <v>156121.3790160371</v>
      </c>
      <c r="Q93" s="156">
        <f t="shared" si="49"/>
        <v>156121.3790160371</v>
      </c>
      <c r="R93" s="156">
        <f t="shared" si="49"/>
        <v>156121.3790160371</v>
      </c>
      <c r="S93" s="156">
        <f t="shared" si="49"/>
        <v>156121.3790160371</v>
      </c>
      <c r="T93" s="156">
        <f t="shared" si="49"/>
        <v>156121.3790160371</v>
      </c>
      <c r="U93" s="156">
        <f t="shared" si="49"/>
        <v>156121.3790160371</v>
      </c>
      <c r="V93" s="156">
        <f t="shared" si="49"/>
        <v>156121.3790160371</v>
      </c>
      <c r="W93" s="156">
        <f t="shared" si="49"/>
        <v>156121.3790160371</v>
      </c>
      <c r="X93" s="156">
        <f t="shared" si="49"/>
        <v>156121.3790160371</v>
      </c>
      <c r="Y93" s="156">
        <f t="shared" si="49"/>
        <v>156121.3790160371</v>
      </c>
      <c r="Z93" s="156">
        <f t="shared" si="49"/>
        <v>156121.3790160371</v>
      </c>
      <c r="AA93" s="156"/>
      <c r="AB93" s="156"/>
      <c r="AC93" s="156"/>
      <c r="AD93" s="156"/>
    </row>
    <row spans="1:30" r="94" x14ac:dyDescent="0.25">
      <c r="F94" s="158">
        <v>0.5</v>
      </c>
      <c r="G94" s="158">
        <f>F94+1</f>
        <v>1.5</v>
      </c>
      <c r="H94" s="158">
        <f ref="H94:Z94" t="shared" si="50">G94+1</f>
        <v>2.5</v>
      </c>
      <c r="I94" s="158">
        <f t="shared" si="50"/>
        <v>3.5</v>
      </c>
      <c r="J94" s="158">
        <f t="shared" si="50"/>
        <v>4.5</v>
      </c>
      <c r="K94" s="158">
        <f t="shared" si="50"/>
        <v>5.5</v>
      </c>
      <c r="L94" s="158">
        <f t="shared" si="50"/>
        <v>6.5</v>
      </c>
      <c r="M94" s="158">
        <f t="shared" si="50"/>
        <v>7.5</v>
      </c>
      <c r="N94" s="158">
        <f t="shared" si="50"/>
        <v>8.5</v>
      </c>
      <c r="O94" s="158">
        <f t="shared" si="50"/>
        <v>9.5</v>
      </c>
      <c r="P94" s="158">
        <f t="shared" si="50"/>
        <v>10.5</v>
      </c>
      <c r="Q94" s="158">
        <f t="shared" si="50"/>
        <v>11.5</v>
      </c>
      <c r="R94" s="158">
        <f t="shared" si="50"/>
        <v>12.5</v>
      </c>
      <c r="S94" s="158">
        <f t="shared" si="50"/>
        <v>13.5</v>
      </c>
      <c r="T94" s="158">
        <f t="shared" si="50"/>
        <v>14.5</v>
      </c>
      <c r="U94" s="158">
        <f t="shared" si="50"/>
        <v>15.5</v>
      </c>
      <c r="V94" s="158">
        <f t="shared" si="50"/>
        <v>16.5</v>
      </c>
      <c r="W94" s="158">
        <f t="shared" si="50"/>
        <v>17.5</v>
      </c>
      <c r="X94" s="158">
        <f t="shared" si="50"/>
        <v>18.5</v>
      </c>
      <c r="Y94" s="158">
        <f t="shared" si="50"/>
        <v>19.5</v>
      </c>
      <c r="Z94" s="158">
        <f t="shared" si="50"/>
        <v>20.5</v>
      </c>
      <c r="AA94" s="158"/>
      <c r="AB94" s="158"/>
      <c r="AC94" s="158"/>
      <c r="AD94" s="158"/>
    </row>
    <row spans="1:30" r="95" x14ac:dyDescent="0.25">
      <c r="F95" s="156">
        <f>F93/(1+0.086)^F94</f>
        <v>236093.26656799825</v>
      </c>
      <c r="G95" s="156">
        <f ref="G95:Z95" t="shared" si="51">G93/(1+0.086)^G94</f>
        <v>160529.21378410785</v>
      </c>
      <c r="H95" s="156">
        <f t="shared" si="51"/>
        <v>222749.35515051731</v>
      </c>
      <c r="I95" s="156">
        <f t="shared" si="51"/>
        <v>197119.72513986166</v>
      </c>
      <c r="J95" s="156">
        <f t="shared" si="51"/>
        <v>181509.87581939378</v>
      </c>
      <c r="K95" s="156">
        <f t="shared" si="51"/>
        <v>169433.72154693317</v>
      </c>
      <c r="L95" s="156">
        <f t="shared" si="51"/>
        <v>153900.70495354719</v>
      </c>
      <c r="M95" s="156">
        <f t="shared" si="51"/>
        <v>141713.35631081692</v>
      </c>
      <c r="N95" s="156">
        <f t="shared" si="51"/>
        <v>130491.11999154412</v>
      </c>
      <c r="O95" s="156">
        <f t="shared" si="51"/>
        <v>120157.56905298722</v>
      </c>
      <c r="P95" s="156">
        <f t="shared" si="51"/>
        <v>65652.189378859854</v>
      </c>
      <c r="Q95" s="156">
        <f t="shared" si="51"/>
        <v>60453.213056040368</v>
      </c>
      <c r="R95" s="156">
        <f t="shared" si="51"/>
        <v>55665.942040552822</v>
      </c>
      <c r="S95" s="156">
        <f t="shared" si="51"/>
        <v>51257.773518004433</v>
      </c>
      <c r="T95" s="156">
        <f t="shared" si="51"/>
        <v>47198.686480667064</v>
      </c>
      <c r="U95" s="156">
        <f t="shared" si="51"/>
        <v>43461.037275015711</v>
      </c>
      <c r="V95" s="156">
        <f t="shared" si="51"/>
        <v>40019.37133979347</v>
      </c>
      <c r="W95" s="156">
        <f t="shared" si="51"/>
        <v>36850.24985248017</v>
      </c>
      <c r="X95" s="156">
        <f t="shared" si="51"/>
        <v>33932.090103572897</v>
      </c>
      <c r="Y95" s="156">
        <f t="shared" si="51"/>
        <v>31245.018511577251</v>
      </c>
      <c r="Z95" s="156">
        <f t="shared" si="51"/>
        <v>28770.735277695443</v>
      </c>
      <c r="AA95" s="156"/>
      <c r="AB95" s="156"/>
      <c r="AC95" s="156"/>
      <c r="AD95" s="156"/>
    </row>
    <row spans="1:30" r="96" x14ac:dyDescent="0.25"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</row>
    <row spans="1:34" r="97" x14ac:dyDescent="0.25">
      <c r="B97" s="24" t="s">
        <v>53</v>
      </c>
      <c r="C97" s="24"/>
      <c r="D97" s="24"/>
      <c r="E97" s="24"/>
      <c r="F97" s="24">
        <v>2022</v>
      </c>
      <c r="G97" s="24">
        <v>2023</v>
      </c>
      <c r="H97" s="24">
        <v>2024</v>
      </c>
      <c r="I97" s="24">
        <v>2025</v>
      </c>
      <c r="J97" s="24">
        <v>2026</v>
      </c>
      <c r="K97" s="24">
        <v>2027</v>
      </c>
      <c r="L97" s="24">
        <v>2028</v>
      </c>
      <c r="M97" s="24">
        <v>2029</v>
      </c>
      <c r="N97" s="24">
        <v>2030</v>
      </c>
      <c r="O97" s="24">
        <v>2031</v>
      </c>
      <c r="P97" s="24">
        <v>2032</v>
      </c>
      <c r="Q97" s="24">
        <v>2033</v>
      </c>
      <c r="R97" s="24">
        <v>2034</v>
      </c>
      <c r="S97" s="24">
        <v>2035</v>
      </c>
      <c r="T97" s="24">
        <v>2036</v>
      </c>
      <c r="U97" s="24">
        <v>2037</v>
      </c>
      <c r="V97" s="24">
        <v>2038</v>
      </c>
      <c r="W97" s="24">
        <v>2039</v>
      </c>
      <c r="X97" s="24">
        <v>2040</v>
      </c>
      <c r="Y97" s="24">
        <v>2041</v>
      </c>
      <c r="Z97" s="24">
        <v>2042</v>
      </c>
    </row>
    <row spans="1:34" r="98" x14ac:dyDescent="0.25">
      <c r="B98" s="8" t="s">
        <v>54</v>
      </c>
      <c r="F98" s="156">
        <f>0.1*F83</f>
        <v>22172.566666666669</v>
      </c>
      <c r="G98" s="156">
        <f ref="G98:Z98" t="shared" si="52">0.1*G83</f>
        <v>33489.814236111117</v>
      </c>
      <c r="H98" s="156">
        <f t="shared" si="52"/>
        <v>67441.556944444455</v>
      </c>
      <c r="I98" s="156">
        <f t="shared" si="52"/>
        <v>67441.556944444455</v>
      </c>
      <c r="J98" s="156">
        <f t="shared" si="52"/>
        <v>67441.556944444455</v>
      </c>
      <c r="K98" s="156">
        <f t="shared" si="52"/>
        <v>67441.556944444455</v>
      </c>
      <c r="L98" s="156">
        <f t="shared" si="52"/>
        <v>67441.556944444455</v>
      </c>
      <c r="M98" s="156">
        <f t="shared" si="52"/>
        <v>67441.556944444455</v>
      </c>
      <c r="N98" s="156">
        <f t="shared" si="52"/>
        <v>67441.556944444455</v>
      </c>
      <c r="O98" s="156">
        <f t="shared" si="52"/>
        <v>67441.556944444455</v>
      </c>
      <c r="P98" s="156">
        <f t="shared" si="52"/>
        <v>45268.99027777779</v>
      </c>
      <c r="Q98" s="156">
        <f t="shared" si="52"/>
        <v>45268.99027777779</v>
      </c>
      <c r="R98" s="156">
        <f t="shared" si="52"/>
        <v>45268.99027777779</v>
      </c>
      <c r="S98" s="156">
        <f t="shared" si="52"/>
        <v>45268.99027777779</v>
      </c>
      <c r="T98" s="156">
        <f t="shared" si="52"/>
        <v>45268.99027777779</v>
      </c>
      <c r="U98" s="156">
        <f t="shared" si="52"/>
        <v>45268.99027777779</v>
      </c>
      <c r="V98" s="156">
        <f t="shared" si="52"/>
        <v>45268.99027777779</v>
      </c>
      <c r="W98" s="156">
        <f t="shared" si="52"/>
        <v>45268.99027777779</v>
      </c>
      <c r="X98" s="156">
        <f t="shared" si="52"/>
        <v>45268.99027777779</v>
      </c>
      <c r="Y98" s="156">
        <f t="shared" si="52"/>
        <v>45268.99027777779</v>
      </c>
      <c r="Z98" s="156">
        <f t="shared" si="52"/>
        <v>45268.99027777779</v>
      </c>
      <c r="AA98" s="156"/>
      <c r="AB98" s="156"/>
      <c r="AC98" s="156"/>
      <c r="AD98" s="156"/>
    </row>
    <row spans="1:34" r="99" x14ac:dyDescent="0.25">
      <c r="B99" s="8" t="s">
        <v>55</v>
      </c>
      <c r="G99" s="156">
        <f>$C$104*2</f>
        <v>0</v>
      </c>
      <c r="H99" s="156">
        <f ref="H99:J99" t="shared" si="53">$C$104*2</f>
        <v>0</v>
      </c>
      <c r="I99" s="156">
        <f t="shared" si="53"/>
        <v>0</v>
      </c>
      <c r="J99" s="156">
        <f t="shared" si="53"/>
        <v>0</v>
      </c>
    </row>
    <row spans="1:34" r="100" x14ac:dyDescent="0.25">
      <c r="B100" s="8" t="s">
        <v>56</v>
      </c>
      <c r="F100" s="210">
        <f>SUM(F98:F99)</f>
        <v>22172.566666666669</v>
      </c>
      <c r="G100" s="210">
        <f ref="G100:Z100" t="shared" si="54">SUM(G98:G99)</f>
        <v>33489.814236111117</v>
      </c>
      <c r="H100" s="210">
        <f t="shared" si="54"/>
        <v>67441.556944444455</v>
      </c>
      <c r="I100" s="210">
        <f t="shared" si="54"/>
        <v>67441.556944444455</v>
      </c>
      <c r="J100" s="210">
        <f t="shared" si="54"/>
        <v>67441.556944444455</v>
      </c>
      <c r="K100" s="210">
        <f t="shared" si="54"/>
        <v>67441.556944444455</v>
      </c>
      <c r="L100" s="210">
        <f t="shared" si="54"/>
        <v>67441.556944444455</v>
      </c>
      <c r="M100" s="210">
        <f t="shared" si="54"/>
        <v>67441.556944444455</v>
      </c>
      <c r="N100" s="210">
        <f t="shared" si="54"/>
        <v>67441.556944444455</v>
      </c>
      <c r="O100" s="210">
        <f t="shared" si="54"/>
        <v>67441.556944444455</v>
      </c>
      <c r="P100" s="210">
        <f t="shared" si="54"/>
        <v>45268.99027777779</v>
      </c>
      <c r="Q100" s="210">
        <f t="shared" si="54"/>
        <v>45268.99027777779</v>
      </c>
      <c r="R100" s="210">
        <f t="shared" si="54"/>
        <v>45268.99027777779</v>
      </c>
      <c r="S100" s="210">
        <f t="shared" si="54"/>
        <v>45268.99027777779</v>
      </c>
      <c r="T100" s="210">
        <f t="shared" si="54"/>
        <v>45268.99027777779</v>
      </c>
      <c r="U100" s="210">
        <f t="shared" si="54"/>
        <v>45268.99027777779</v>
      </c>
      <c r="V100" s="210">
        <f t="shared" si="54"/>
        <v>45268.99027777779</v>
      </c>
      <c r="W100" s="210">
        <f t="shared" si="54"/>
        <v>45268.99027777779</v>
      </c>
      <c r="X100" s="210">
        <f t="shared" si="54"/>
        <v>45268.99027777779</v>
      </c>
      <c r="Y100" s="210">
        <f t="shared" si="54"/>
        <v>45268.99027777779</v>
      </c>
      <c r="Z100" s="210">
        <f t="shared" si="54"/>
        <v>45268.99027777779</v>
      </c>
      <c r="AA100" s="156"/>
      <c r="AB100" s="156"/>
      <c r="AC100" s="156"/>
      <c r="AD100" s="156"/>
    </row>
    <row spans="1:34" r="108" x14ac:dyDescent="0.25">
      <c r="B108" s="8" t="s">
        <v>63</v>
      </c>
    </row>
    <row spans="1:34" r="109" x14ac:dyDescent="0.25">
      <c r="B109" s="156">
        <v>1200000</v>
      </c>
    </row>
    <row spans="1:34" r="110" x14ac:dyDescent="0.25">
      <c r="B110" s="156">
        <f>B109/30</f>
        <v>40000</v>
      </c>
    </row>
    <row spans="1:34" r="111" x14ac:dyDescent="0.25">
      <c r="A111" s="8" t="s">
        <v>7</v>
      </c>
      <c r="B111" s="24" t="s">
        <v>64</v>
      </c>
      <c r="C111" s="24">
        <v>2018</v>
      </c>
      <c r="D111" s="24">
        <f>C111+1</f>
        <v>2019</v>
      </c>
      <c r="E111" s="24">
        <f>D111+1</f>
        <v>2020</v>
      </c>
      <c r="F111" s="24">
        <f ref="F111:AA111" t="shared" si="55">E111+1</f>
        <v>2021</v>
      </c>
      <c r="G111" s="24">
        <f t="shared" si="55"/>
        <v>2022</v>
      </c>
      <c r="H111" s="24">
        <f t="shared" si="55"/>
        <v>2023</v>
      </c>
      <c r="I111" s="24">
        <f t="shared" si="55"/>
        <v>2024</v>
      </c>
      <c r="J111" s="24">
        <f t="shared" si="55"/>
        <v>2025</v>
      </c>
      <c r="K111" s="24">
        <f t="shared" si="55"/>
        <v>2026</v>
      </c>
      <c r="L111" s="24">
        <f t="shared" si="55"/>
        <v>2027</v>
      </c>
      <c r="M111" s="24">
        <f t="shared" si="55"/>
        <v>2028</v>
      </c>
      <c r="N111" s="24">
        <f t="shared" si="55"/>
        <v>2029</v>
      </c>
      <c r="O111" s="24">
        <f t="shared" si="55"/>
        <v>2030</v>
      </c>
      <c r="P111" s="24">
        <f t="shared" si="55"/>
        <v>2031</v>
      </c>
      <c r="Q111" s="24">
        <f t="shared" si="55"/>
        <v>2032</v>
      </c>
      <c r="R111" s="24">
        <f t="shared" si="55"/>
        <v>2033</v>
      </c>
      <c r="S111" s="24">
        <f t="shared" si="55"/>
        <v>2034</v>
      </c>
      <c r="T111" s="24">
        <f t="shared" si="55"/>
        <v>2035</v>
      </c>
      <c r="U111" s="24">
        <f t="shared" si="55"/>
        <v>2036</v>
      </c>
      <c r="V111" s="24">
        <f t="shared" si="55"/>
        <v>2037</v>
      </c>
      <c r="W111" s="24">
        <f t="shared" si="55"/>
        <v>2038</v>
      </c>
      <c r="X111" s="24">
        <f t="shared" si="55"/>
        <v>2039</v>
      </c>
      <c r="Y111" s="24">
        <f t="shared" si="55"/>
        <v>2040</v>
      </c>
      <c r="Z111" s="24">
        <f t="shared" si="55"/>
        <v>2041</v>
      </c>
      <c r="AA111" s="24">
        <f t="shared" si="55"/>
        <v>2042</v>
      </c>
    </row>
    <row spans="1:34" r="112" x14ac:dyDescent="0.25">
      <c r="B112" s="8" t="s">
        <v>65</v>
      </c>
      <c r="C112" s="156">
        <f>$B$110</f>
        <v>40000</v>
      </c>
      <c r="D112" s="156">
        <f ref="D112:AA113" t="shared" si="56">$B$110</f>
        <v>40000</v>
      </c>
      <c r="E112" s="156">
        <f t="shared" si="56"/>
        <v>40000</v>
      </c>
      <c r="F112" s="156">
        <f t="shared" si="56"/>
        <v>40000</v>
      </c>
      <c r="G112" s="156">
        <f t="shared" si="56"/>
        <v>40000</v>
      </c>
      <c r="H112" s="156">
        <f t="shared" si="56"/>
        <v>40000</v>
      </c>
      <c r="I112" s="156">
        <f t="shared" si="56"/>
        <v>40000</v>
      </c>
      <c r="J112" s="156">
        <f t="shared" si="56"/>
        <v>40000</v>
      </c>
      <c r="K112" s="156">
        <f t="shared" si="56"/>
        <v>40000</v>
      </c>
      <c r="L112" s="156">
        <f t="shared" si="56"/>
        <v>40000</v>
      </c>
      <c r="M112" s="156">
        <f t="shared" si="56"/>
        <v>40000</v>
      </c>
      <c r="N112" s="156">
        <f t="shared" si="56"/>
        <v>40000</v>
      </c>
      <c r="O112" s="156">
        <f t="shared" si="56"/>
        <v>40000</v>
      </c>
      <c r="P112" s="156">
        <f t="shared" si="56"/>
        <v>40000</v>
      </c>
      <c r="Q112" s="156">
        <f t="shared" si="56"/>
        <v>40000</v>
      </c>
      <c r="R112" s="156">
        <f t="shared" si="56"/>
        <v>40000</v>
      </c>
      <c r="S112" s="156">
        <f t="shared" si="56"/>
        <v>40000</v>
      </c>
      <c r="T112" s="156">
        <f t="shared" si="56"/>
        <v>40000</v>
      </c>
      <c r="U112" s="156">
        <f t="shared" si="56"/>
        <v>40000</v>
      </c>
      <c r="V112" s="156">
        <f t="shared" si="56"/>
        <v>40000</v>
      </c>
      <c r="W112" s="156">
        <f t="shared" si="56"/>
        <v>40000</v>
      </c>
      <c r="X112" s="156">
        <f t="shared" si="56"/>
        <v>40000</v>
      </c>
      <c r="Y112" s="156">
        <f t="shared" si="56"/>
        <v>40000</v>
      </c>
      <c r="Z112" s="156">
        <f t="shared" si="56"/>
        <v>40000</v>
      </c>
      <c r="AA112" s="156">
        <f t="shared" si="56"/>
        <v>40000</v>
      </c>
      <c r="AB112" s="156"/>
      <c r="AC112" s="156"/>
      <c r="AD112" s="156"/>
      <c r="AE112" s="156"/>
      <c r="AF112" s="156"/>
      <c r="AG112" s="156"/>
      <c r="AH112" s="156"/>
    </row>
    <row spans="1:34" r="113" x14ac:dyDescent="0.25">
      <c r="B113" s="8" t="s">
        <v>66</v>
      </c>
      <c r="H113" s="156">
        <f>$B$110</f>
        <v>40000</v>
      </c>
      <c r="I113" s="156">
        <f t="shared" si="56"/>
        <v>40000</v>
      </c>
      <c r="J113" s="156">
        <f t="shared" si="56"/>
        <v>40000</v>
      </c>
      <c r="K113" s="156">
        <f t="shared" si="56"/>
        <v>40000</v>
      </c>
      <c r="L113" s="156">
        <f t="shared" si="56"/>
        <v>40000</v>
      </c>
      <c r="M113" s="156">
        <f t="shared" si="56"/>
        <v>40000</v>
      </c>
      <c r="N113" s="156">
        <f t="shared" si="56"/>
        <v>40000</v>
      </c>
      <c r="O113" s="156">
        <f t="shared" si="56"/>
        <v>40000</v>
      </c>
      <c r="P113" s="156">
        <f t="shared" si="56"/>
        <v>40000</v>
      </c>
      <c r="Q113" s="156">
        <f t="shared" si="56"/>
        <v>40000</v>
      </c>
      <c r="R113" s="156">
        <f t="shared" si="56"/>
        <v>40000</v>
      </c>
      <c r="S113" s="156">
        <f t="shared" si="56"/>
        <v>40000</v>
      </c>
      <c r="T113" s="156">
        <f t="shared" si="56"/>
        <v>40000</v>
      </c>
      <c r="U113" s="156">
        <f t="shared" si="56"/>
        <v>40000</v>
      </c>
      <c r="V113" s="156">
        <f t="shared" si="56"/>
        <v>40000</v>
      </c>
      <c r="W113" s="156">
        <f t="shared" si="56"/>
        <v>40000</v>
      </c>
      <c r="X113" s="156">
        <f t="shared" si="56"/>
        <v>40000</v>
      </c>
      <c r="Y113" s="156">
        <f t="shared" si="56"/>
        <v>40000</v>
      </c>
      <c r="Z113" s="156">
        <f t="shared" si="56"/>
        <v>40000</v>
      </c>
      <c r="AA113" s="156">
        <f t="shared" si="56"/>
        <v>40000</v>
      </c>
      <c r="AB113" s="156"/>
      <c r="AC113" s="156"/>
      <c r="AD113" s="156"/>
      <c r="AE113" s="156"/>
      <c r="AF113" s="156"/>
      <c r="AG113" s="156"/>
      <c r="AH113" s="156"/>
    </row>
    <row spans="1:34" r="114" x14ac:dyDescent="0.25">
      <c r="B114" s="8" t="s">
        <v>69</v>
      </c>
      <c r="C114" s="229" t="s">
        <v>117</v>
      </c>
      <c r="D114" s="229" t="s">
        <v>117</v>
      </c>
      <c r="E114" s="229" t="s">
        <v>117</v>
      </c>
      <c r="F114" s="229" t="s">
        <v>117</v>
      </c>
      <c r="G114" s="230">
        <f ref="G114:AA114" t="shared" si="57">SUM(G112:G113)</f>
        <v>40000</v>
      </c>
      <c r="H114" s="230">
        <f t="shared" si="57"/>
        <v>80000</v>
      </c>
      <c r="I114" s="230">
        <f t="shared" si="57"/>
        <v>80000</v>
      </c>
      <c r="J114" s="230">
        <f t="shared" si="57"/>
        <v>80000</v>
      </c>
      <c r="K114" s="230">
        <f t="shared" si="57"/>
        <v>80000</v>
      </c>
      <c r="L114" s="230">
        <f t="shared" si="57"/>
        <v>80000</v>
      </c>
      <c r="M114" s="230">
        <f t="shared" si="57"/>
        <v>80000</v>
      </c>
      <c r="N114" s="230">
        <f t="shared" si="57"/>
        <v>80000</v>
      </c>
      <c r="O114" s="230">
        <f t="shared" si="57"/>
        <v>80000</v>
      </c>
      <c r="P114" s="230">
        <f t="shared" si="57"/>
        <v>80000</v>
      </c>
      <c r="Q114" s="230">
        <f t="shared" si="57"/>
        <v>80000</v>
      </c>
      <c r="R114" s="230">
        <f t="shared" si="57"/>
        <v>80000</v>
      </c>
      <c r="S114" s="230">
        <f t="shared" si="57"/>
        <v>80000</v>
      </c>
      <c r="T114" s="230">
        <f t="shared" si="57"/>
        <v>80000</v>
      </c>
      <c r="U114" s="230">
        <f t="shared" si="57"/>
        <v>80000</v>
      </c>
      <c r="V114" s="230">
        <f t="shared" si="57"/>
        <v>80000</v>
      </c>
      <c r="W114" s="230">
        <f t="shared" si="57"/>
        <v>80000</v>
      </c>
      <c r="X114" s="230">
        <f t="shared" si="57"/>
        <v>80000</v>
      </c>
      <c r="Y114" s="230">
        <f t="shared" si="57"/>
        <v>80000</v>
      </c>
      <c r="Z114" s="230">
        <f t="shared" si="57"/>
        <v>80000</v>
      </c>
      <c r="AA114" s="230">
        <f t="shared" si="57"/>
        <v>80000</v>
      </c>
      <c r="AB114" s="156"/>
      <c r="AC114" s="156"/>
      <c r="AD114" s="156"/>
      <c r="AE114" s="156"/>
      <c r="AF114" s="156"/>
      <c r="AG114" s="156"/>
      <c r="AH114" s="156"/>
    </row>
    <row spans="1:34" r="118" customHeight="1" x14ac:dyDescent="0.25" ht="14.1"/>
    <row spans="1:34" r="119" x14ac:dyDescent="0.25">
      <c r="A119" s="8" t="s">
        <v>40</v>
      </c>
      <c r="B119" s="24" t="s">
        <v>70</v>
      </c>
      <c r="C119" s="24"/>
      <c r="D119" s="24"/>
      <c r="E119" s="24">
        <v>2020</v>
      </c>
      <c r="F119" s="24">
        <v>2021</v>
      </c>
      <c r="G119" s="24">
        <f>F119+1</f>
        <v>2022</v>
      </c>
      <c r="H119" s="24">
        <f ref="H119:AA119" t="shared" si="58">G119+1</f>
        <v>2023</v>
      </c>
      <c r="I119" s="24">
        <f t="shared" si="58"/>
        <v>2024</v>
      </c>
      <c r="J119" s="24">
        <f t="shared" si="58"/>
        <v>2025</v>
      </c>
      <c r="K119" s="24">
        <f t="shared" si="58"/>
        <v>2026</v>
      </c>
      <c r="L119" s="24">
        <f t="shared" si="58"/>
        <v>2027</v>
      </c>
      <c r="M119" s="24">
        <f t="shared" si="58"/>
        <v>2028</v>
      </c>
      <c r="N119" s="24">
        <f t="shared" si="58"/>
        <v>2029</v>
      </c>
      <c r="O119" s="24">
        <f t="shared" si="58"/>
        <v>2030</v>
      </c>
      <c r="P119" s="24">
        <f t="shared" si="58"/>
        <v>2031</v>
      </c>
      <c r="Q119" s="24">
        <f t="shared" si="58"/>
        <v>2032</v>
      </c>
      <c r="R119" s="24">
        <f t="shared" si="58"/>
        <v>2033</v>
      </c>
      <c r="S119" s="24">
        <f t="shared" si="58"/>
        <v>2034</v>
      </c>
      <c r="T119" s="24">
        <f t="shared" si="58"/>
        <v>2035</v>
      </c>
      <c r="U119" s="24">
        <f t="shared" si="58"/>
        <v>2036</v>
      </c>
      <c r="V119" s="24">
        <f t="shared" si="58"/>
        <v>2037</v>
      </c>
      <c r="W119" s="24">
        <f t="shared" si="58"/>
        <v>2038</v>
      </c>
      <c r="X119" s="24">
        <f t="shared" si="58"/>
        <v>2039</v>
      </c>
      <c r="Y119" s="24">
        <f t="shared" si="58"/>
        <v>2040</v>
      </c>
      <c r="Z119" s="24">
        <f t="shared" si="58"/>
        <v>2041</v>
      </c>
      <c r="AA119" s="24">
        <f t="shared" si="58"/>
        <v>2042</v>
      </c>
    </row>
    <row spans="1:34" r="120" x14ac:dyDescent="0.25">
      <c r="B120" s="151" t="s">
        <v>71</v>
      </c>
    </row>
    <row spans="1:34" r="121" x14ac:dyDescent="0.25">
      <c r="B121" s="8" t="s">
        <v>72</v>
      </c>
      <c r="E121" s="156">
        <f>'Balance Sheet'!F9</f>
        <v>19544.124000417218</v>
      </c>
      <c r="F121" s="156">
        <f>'Balance Sheet'!G9</f>
        <v>62931.979369805093</v>
      </c>
      <c r="G121" s="156">
        <f>G134*G84</f>
        <v>55922.646565327945</v>
      </c>
      <c r="H121" s="156">
        <f ref="H121:AA121" t="shared" si="59">H134*H84</f>
        <v>91457.728274898604</v>
      </c>
      <c r="I121" s="156">
        <f t="shared" si="59"/>
        <v>88451.09405882546</v>
      </c>
      <c r="J121" s="156">
        <f t="shared" si="59"/>
        <v>88451.09405882546</v>
      </c>
      <c r="K121" s="156">
        <f t="shared" si="59"/>
        <v>89470.741125068409</v>
      </c>
      <c r="L121" s="156">
        <f t="shared" si="59"/>
        <v>88451.09405882546</v>
      </c>
      <c r="M121" s="156">
        <f t="shared" si="59"/>
        <v>88451.09405882546</v>
      </c>
      <c r="N121" s="156">
        <f t="shared" si="59"/>
        <v>88451.09405882546</v>
      </c>
      <c r="O121" s="156">
        <f t="shared" si="59"/>
        <v>88451.09405882546</v>
      </c>
      <c r="P121" s="156">
        <f t="shared" si="59"/>
        <v>52038.979866513095</v>
      </c>
      <c r="Q121" s="156">
        <f t="shared" si="59"/>
        <v>52038.979866513095</v>
      </c>
      <c r="R121" s="156">
        <f t="shared" si="59"/>
        <v>52038.979866513095</v>
      </c>
      <c r="S121" s="156">
        <f t="shared" si="59"/>
        <v>52038.979866513095</v>
      </c>
      <c r="T121" s="156">
        <f t="shared" si="59"/>
        <v>52038.979866513095</v>
      </c>
      <c r="U121" s="156">
        <f t="shared" si="59"/>
        <v>52038.979866513095</v>
      </c>
      <c r="V121" s="156">
        <f t="shared" si="59"/>
        <v>52038.979866513095</v>
      </c>
      <c r="W121" s="156">
        <f t="shared" si="59"/>
        <v>52038.979866513095</v>
      </c>
      <c r="X121" s="156">
        <f t="shared" si="59"/>
        <v>52038.979866513095</v>
      </c>
      <c r="Y121" s="156">
        <f t="shared" si="59"/>
        <v>52038.979866513095</v>
      </c>
      <c r="Z121" s="156">
        <f t="shared" si="59"/>
        <v>52038.979866513095</v>
      </c>
      <c r="AA121" s="211">
        <f t="shared" si="59"/>
        <v>0</v>
      </c>
    </row>
    <row spans="1:34" r="122" x14ac:dyDescent="0.25">
      <c r="B122" s="8" t="s">
        <v>73</v>
      </c>
      <c r="E122" s="156">
        <f>'Balance Sheet'!F11</f>
        <v>1035.4762533898893</v>
      </c>
      <c r="F122" s="156">
        <f>'Balance Sheet'!G11</f>
        <v>1704.5005257158034</v>
      </c>
      <c r="G122" s="156">
        <f>G84/G135</f>
        <v>1163.8965246873677</v>
      </c>
      <c r="H122" s="156">
        <f ref="H122:AA122" t="shared" si="60">H84/H135</f>
        <v>1903.4745068906209</v>
      </c>
      <c r="I122" s="156">
        <f t="shared" si="60"/>
        <v>1840.8985858636054</v>
      </c>
      <c r="J122" s="156">
        <f t="shared" si="60"/>
        <v>1840.8985858636054</v>
      </c>
      <c r="K122" s="156">
        <f t="shared" si="60"/>
        <v>1862.1201079069422</v>
      </c>
      <c r="L122" s="156">
        <f t="shared" si="60"/>
        <v>1840.8985858636054</v>
      </c>
      <c r="M122" s="156">
        <f t="shared" si="60"/>
        <v>1840.8985858636054</v>
      </c>
      <c r="N122" s="156">
        <f t="shared" si="60"/>
        <v>1840.8985858636054</v>
      </c>
      <c r="O122" s="156">
        <f t="shared" si="60"/>
        <v>1840.8985858636054</v>
      </c>
      <c r="P122" s="156">
        <f t="shared" si="60"/>
        <v>1083.0672640672669</v>
      </c>
      <c r="Q122" s="156">
        <f t="shared" si="60"/>
        <v>1083.0672640672669</v>
      </c>
      <c r="R122" s="156">
        <f t="shared" si="60"/>
        <v>1083.0672640672669</v>
      </c>
      <c r="S122" s="156">
        <f t="shared" si="60"/>
        <v>1083.0672640672669</v>
      </c>
      <c r="T122" s="156">
        <f t="shared" si="60"/>
        <v>1083.0672640672669</v>
      </c>
      <c r="U122" s="156">
        <f t="shared" si="60"/>
        <v>1083.0672640672669</v>
      </c>
      <c r="V122" s="156">
        <f t="shared" si="60"/>
        <v>1083.0672640672669</v>
      </c>
      <c r="W122" s="156">
        <f t="shared" si="60"/>
        <v>1083.0672640672669</v>
      </c>
      <c r="X122" s="156">
        <f t="shared" si="60"/>
        <v>1083.0672640672669</v>
      </c>
      <c r="Y122" s="156">
        <f t="shared" si="60"/>
        <v>1083.0672640672669</v>
      </c>
      <c r="Z122" s="156">
        <f t="shared" si="60"/>
        <v>1083.0672640672669</v>
      </c>
      <c r="AA122" s="211">
        <f t="shared" si="60"/>
        <v>0</v>
      </c>
    </row>
    <row spans="1:34" r="123" x14ac:dyDescent="0.25">
      <c r="B123" s="151" t="s">
        <v>74</v>
      </c>
      <c r="E123" s="156">
        <f>SUM(E121:E122)</f>
        <v>20579.600253807108</v>
      </c>
      <c r="F123" s="156">
        <f>SUM(F121:F122)</f>
        <v>64636.479895520897</v>
      </c>
      <c r="G123" s="156">
        <f>SUM(G121:G122)</f>
        <v>57086.543090015315</v>
      </c>
      <c r="H123" s="156">
        <f ref="H123:AA123" t="shared" si="61">SUM(H121:H122)</f>
        <v>93361.202781789223</v>
      </c>
      <c r="I123" s="156">
        <f t="shared" si="61"/>
        <v>90291.99264468906</v>
      </c>
      <c r="J123" s="156">
        <f t="shared" si="61"/>
        <v>90291.99264468906</v>
      </c>
      <c r="K123" s="156">
        <f t="shared" si="61"/>
        <v>91332.861232975352</v>
      </c>
      <c r="L123" s="156">
        <f t="shared" si="61"/>
        <v>90291.99264468906</v>
      </c>
      <c r="M123" s="156">
        <f t="shared" si="61"/>
        <v>90291.99264468906</v>
      </c>
      <c r="N123" s="156">
        <f t="shared" si="61"/>
        <v>90291.99264468906</v>
      </c>
      <c r="O123" s="156">
        <f t="shared" si="61"/>
        <v>90291.99264468906</v>
      </c>
      <c r="P123" s="156">
        <f t="shared" si="61"/>
        <v>53122.047130580358</v>
      </c>
      <c r="Q123" s="156">
        <f t="shared" si="61"/>
        <v>53122.047130580358</v>
      </c>
      <c r="R123" s="156">
        <f t="shared" si="61"/>
        <v>53122.047130580358</v>
      </c>
      <c r="S123" s="156">
        <f t="shared" si="61"/>
        <v>53122.047130580358</v>
      </c>
      <c r="T123" s="156">
        <f t="shared" si="61"/>
        <v>53122.047130580358</v>
      </c>
      <c r="U123" s="156">
        <f t="shared" si="61"/>
        <v>53122.047130580358</v>
      </c>
      <c r="V123" s="156">
        <f t="shared" si="61"/>
        <v>53122.047130580358</v>
      </c>
      <c r="W123" s="156">
        <f t="shared" si="61"/>
        <v>53122.047130580358</v>
      </c>
      <c r="X123" s="156">
        <f t="shared" si="61"/>
        <v>53122.047130580358</v>
      </c>
      <c r="Y123" s="156">
        <f t="shared" si="61"/>
        <v>53122.047130580358</v>
      </c>
      <c r="Z123" s="156">
        <f t="shared" si="61"/>
        <v>53122.047130580358</v>
      </c>
      <c r="AA123" s="211">
        <f t="shared" si="61"/>
        <v>0</v>
      </c>
      <c r="AB123" s="156"/>
      <c r="AC123" s="156"/>
      <c r="AD123" s="156"/>
      <c r="AE123" s="156"/>
    </row>
    <row spans="1:34" r="124" x14ac:dyDescent="0.25">
      <c r="B124" s="151"/>
    </row>
    <row spans="1:34" r="125" x14ac:dyDescent="0.25">
      <c r="B125" s="151" t="s">
        <v>75</v>
      </c>
      <c r="E125" s="156">
        <f>'Balance Sheet'!F25</f>
        <v>90876.27885752033</v>
      </c>
      <c r="F125" s="156">
        <f>'Balance Sheet'!G25</f>
        <v>125638.90987570971</v>
      </c>
      <c r="G125" s="156">
        <f>G138*G139</f>
        <v>109810.22691377912</v>
      </c>
      <c r="H125" s="156">
        <f ref="H125:AA125" t="shared" si="62">H138*H139</f>
        <v>165859.19690102054</v>
      </c>
      <c r="I125" s="156">
        <f t="shared" si="62"/>
        <v>334006.10686274478</v>
      </c>
      <c r="J125" s="156">
        <f t="shared" si="62"/>
        <v>334006.10686274478</v>
      </c>
      <c r="K125" s="156">
        <f t="shared" si="62"/>
        <v>334006.10686274478</v>
      </c>
      <c r="L125" s="156">
        <f t="shared" si="62"/>
        <v>334006.10686274478</v>
      </c>
      <c r="M125" s="156">
        <f t="shared" si="62"/>
        <v>334006.10686274478</v>
      </c>
      <c r="N125" s="156">
        <f t="shared" si="62"/>
        <v>334006.10686274478</v>
      </c>
      <c r="O125" s="156">
        <f t="shared" si="62"/>
        <v>334006.10686274478</v>
      </c>
      <c r="P125" s="156">
        <f t="shared" si="62"/>
        <v>334006.10686274478</v>
      </c>
      <c r="Q125" s="156">
        <f t="shared" si="62"/>
        <v>224195.87994896571</v>
      </c>
      <c r="R125" s="156">
        <f t="shared" si="62"/>
        <v>224195.87994896571</v>
      </c>
      <c r="S125" s="156">
        <f t="shared" si="62"/>
        <v>224195.87994896571</v>
      </c>
      <c r="T125" s="156">
        <f t="shared" si="62"/>
        <v>224195.87994896571</v>
      </c>
      <c r="U125" s="156">
        <f t="shared" si="62"/>
        <v>224195.87994896571</v>
      </c>
      <c r="V125" s="156">
        <f t="shared" si="62"/>
        <v>224195.87994896571</v>
      </c>
      <c r="W125" s="156">
        <f t="shared" si="62"/>
        <v>224195.87994896571</v>
      </c>
      <c r="X125" s="156">
        <f t="shared" si="62"/>
        <v>224195.87994896571</v>
      </c>
      <c r="Y125" s="156">
        <f t="shared" si="62"/>
        <v>224195.87994896571</v>
      </c>
      <c r="Z125" s="156">
        <f t="shared" si="62"/>
        <v>224195.87994896571</v>
      </c>
      <c r="AA125" s="156">
        <f t="shared" si="62"/>
        <v>224195.87994896571</v>
      </c>
    </row>
    <row spans="1:34" r="126" x14ac:dyDescent="0.25">
      <c r="B126" s="8" t="s">
        <v>76</v>
      </c>
      <c r="E126" s="156">
        <f>SUM(E125)</f>
        <v>90876.27885752033</v>
      </c>
      <c r="F126" s="156">
        <f>SUM(F125)</f>
        <v>125638.90987570971</v>
      </c>
      <c r="G126" s="156">
        <f>SUM(G125)</f>
        <v>109810.22691377912</v>
      </c>
      <c r="H126" s="156">
        <f ref="H126:AA126" t="shared" si="63">SUM(H125)</f>
        <v>165859.19690102054</v>
      </c>
      <c r="I126" s="156">
        <f t="shared" si="63"/>
        <v>334006.10686274478</v>
      </c>
      <c r="J126" s="156">
        <f t="shared" si="63"/>
        <v>334006.10686274478</v>
      </c>
      <c r="K126" s="156">
        <f t="shared" si="63"/>
        <v>334006.10686274478</v>
      </c>
      <c r="L126" s="156">
        <f t="shared" si="63"/>
        <v>334006.10686274478</v>
      </c>
      <c r="M126" s="156">
        <f t="shared" si="63"/>
        <v>334006.10686274478</v>
      </c>
      <c r="N126" s="156">
        <f t="shared" si="63"/>
        <v>334006.10686274478</v>
      </c>
      <c r="O126" s="156">
        <f t="shared" si="63"/>
        <v>334006.10686274478</v>
      </c>
      <c r="P126" s="156">
        <f t="shared" si="63"/>
        <v>334006.10686274478</v>
      </c>
      <c r="Q126" s="156">
        <f t="shared" si="63"/>
        <v>224195.87994896571</v>
      </c>
      <c r="R126" s="156">
        <f t="shared" si="63"/>
        <v>224195.87994896571</v>
      </c>
      <c r="S126" s="156">
        <f t="shared" si="63"/>
        <v>224195.87994896571</v>
      </c>
      <c r="T126" s="156">
        <f t="shared" si="63"/>
        <v>224195.87994896571</v>
      </c>
      <c r="U126" s="156">
        <f t="shared" si="63"/>
        <v>224195.87994896571</v>
      </c>
      <c r="V126" s="156">
        <f t="shared" si="63"/>
        <v>224195.87994896571</v>
      </c>
      <c r="W126" s="156">
        <f t="shared" si="63"/>
        <v>224195.87994896571</v>
      </c>
      <c r="X126" s="156">
        <f t="shared" si="63"/>
        <v>224195.87994896571</v>
      </c>
      <c r="Y126" s="156">
        <f t="shared" si="63"/>
        <v>224195.87994896571</v>
      </c>
      <c r="Z126" s="156">
        <f t="shared" si="63"/>
        <v>224195.87994896571</v>
      </c>
      <c r="AA126" s="156">
        <f t="shared" si="63"/>
        <v>224195.87994896571</v>
      </c>
      <c r="AB126" s="156"/>
      <c r="AC126" s="156"/>
      <c r="AD126" s="156"/>
      <c r="AE126" s="156"/>
    </row>
    <row spans="1:34" r="127" x14ac:dyDescent="0.25">
      <c r="B127" s="8" t="s">
        <v>77</v>
      </c>
    </row>
    <row spans="2:31" r="129" x14ac:dyDescent="0.25">
      <c r="B129" s="8" t="s">
        <v>78</v>
      </c>
      <c r="E129" s="156">
        <f>E123-E126</f>
        <v>-70296.678603713226</v>
      </c>
      <c r="F129" s="156">
        <f>F123-F126</f>
        <v>-61002.429980188812</v>
      </c>
      <c r="G129" s="156">
        <f ref="G129:AA129" t="shared" si="64">G123-G126</f>
        <v>-52723.6838237638</v>
      </c>
      <c r="H129" s="156">
        <f t="shared" si="64"/>
        <v>-72497.994119231313</v>
      </c>
      <c r="I129" s="156">
        <f t="shared" si="64"/>
        <v>-243714.11421805574</v>
      </c>
      <c r="J129" s="156">
        <f t="shared" si="64"/>
        <v>-243714.11421805574</v>
      </c>
      <c r="K129" s="156">
        <f t="shared" si="64"/>
        <v>-242673.24562976943</v>
      </c>
      <c r="L129" s="156">
        <f t="shared" si="64"/>
        <v>-243714.11421805574</v>
      </c>
      <c r="M129" s="156">
        <f t="shared" si="64"/>
        <v>-243714.11421805574</v>
      </c>
      <c r="N129" s="156">
        <f t="shared" si="64"/>
        <v>-243714.11421805574</v>
      </c>
      <c r="O129" s="156">
        <f t="shared" si="64"/>
        <v>-243714.11421805574</v>
      </c>
      <c r="P129" s="156">
        <f t="shared" si="64"/>
        <v>-280884.05973216443</v>
      </c>
      <c r="Q129" s="156">
        <f t="shared" si="64"/>
        <v>-171073.83281838536</v>
      </c>
      <c r="R129" s="156">
        <f t="shared" si="64"/>
        <v>-171073.83281838536</v>
      </c>
      <c r="S129" s="156">
        <f t="shared" si="64"/>
        <v>-171073.83281838536</v>
      </c>
      <c r="T129" s="156">
        <f t="shared" si="64"/>
        <v>-171073.83281838536</v>
      </c>
      <c r="U129" s="156">
        <f t="shared" si="64"/>
        <v>-171073.83281838536</v>
      </c>
      <c r="V129" s="156">
        <f t="shared" si="64"/>
        <v>-171073.83281838536</v>
      </c>
      <c r="W129" s="156">
        <f t="shared" si="64"/>
        <v>-171073.83281838536</v>
      </c>
      <c r="X129" s="156">
        <f t="shared" si="64"/>
        <v>-171073.83281838536</v>
      </c>
      <c r="Y129" s="156">
        <f t="shared" si="64"/>
        <v>-171073.83281838536</v>
      </c>
      <c r="Z129" s="156">
        <f t="shared" si="64"/>
        <v>-171073.83281838536</v>
      </c>
      <c r="AA129" s="156">
        <f t="shared" si="64"/>
        <v>-224195.87994896571</v>
      </c>
      <c r="AB129" s="156"/>
      <c r="AC129" s="156"/>
      <c r="AD129" s="156"/>
      <c r="AE129" s="156"/>
    </row>
    <row spans="2:31" r="130" x14ac:dyDescent="0.25">
      <c r="B130" s="8" t="s">
        <v>79</v>
      </c>
      <c r="F130" s="156">
        <f>F129-E129</f>
        <v>9294.2486235244141</v>
      </c>
      <c r="G130" s="156">
        <f ref="G130:AA130" t="shared" si="65">G129-F129</f>
        <v>8278.7461564250116</v>
      </c>
      <c r="H130" s="156">
        <f t="shared" si="65"/>
        <v>-19774.310295467512</v>
      </c>
      <c r="I130" s="156">
        <f t="shared" si="65"/>
        <v>-171216.12009882444</v>
      </c>
      <c r="J130" s="211">
        <f t="shared" si="65"/>
        <v>0</v>
      </c>
      <c r="K130" s="156">
        <f t="shared" si="65"/>
        <v>1040.8685882863065</v>
      </c>
      <c r="L130" s="156">
        <f t="shared" si="65"/>
        <v>-1040.8685882863065</v>
      </c>
      <c r="M130" s="211">
        <f t="shared" si="65"/>
        <v>0</v>
      </c>
      <c r="N130" s="211">
        <f t="shared" si="65"/>
        <v>0</v>
      </c>
      <c r="O130" s="211">
        <f t="shared" si="65"/>
        <v>0</v>
      </c>
      <c r="P130" s="156">
        <f t="shared" si="65"/>
        <v>-37169.945514108695</v>
      </c>
      <c r="Q130" s="156">
        <f t="shared" si="65"/>
        <v>109810.22691377907</v>
      </c>
      <c r="R130" s="211">
        <f t="shared" si="65"/>
        <v>0</v>
      </c>
      <c r="S130" s="211">
        <f t="shared" si="65"/>
        <v>0</v>
      </c>
      <c r="T130" s="211">
        <f t="shared" si="65"/>
        <v>0</v>
      </c>
      <c r="U130" s="211">
        <f t="shared" si="65"/>
        <v>0</v>
      </c>
      <c r="V130" s="211">
        <f t="shared" si="65"/>
        <v>0</v>
      </c>
      <c r="W130" s="211">
        <f t="shared" si="65"/>
        <v>0</v>
      </c>
      <c r="X130" s="211">
        <f t="shared" si="65"/>
        <v>0</v>
      </c>
      <c r="Y130" s="211">
        <f t="shared" si="65"/>
        <v>0</v>
      </c>
      <c r="Z130" s="211">
        <f t="shared" si="65"/>
        <v>0</v>
      </c>
      <c r="AA130" s="156">
        <f t="shared" si="65"/>
        <v>-53122.047130580351</v>
      </c>
      <c r="AB130" s="156"/>
      <c r="AC130" s="156"/>
      <c r="AD130" s="156"/>
      <c r="AE130" s="156"/>
    </row>
    <row spans="2:31" r="131" x14ac:dyDescent="0.25">
      <c r="F131" s="156"/>
    </row>
    <row spans="2:31" r="132" x14ac:dyDescent="0.25">
      <c r="B132" s="151" t="s">
        <v>80</v>
      </c>
      <c r="F132" s="156"/>
    </row>
    <row spans="2:31" r="133" x14ac:dyDescent="0.25">
      <c r="B133" s="151" t="s">
        <v>71</v>
      </c>
      <c r="F133" s="156"/>
    </row>
    <row spans="2:31" r="134" x14ac:dyDescent="0.25">
      <c r="B134" s="8" t="s">
        <v>81</v>
      </c>
      <c r="E134" s="174">
        <f>E121/D7</f>
        <v>0.10374610746878346</v>
      </c>
      <c r="F134" s="209">
        <f>F121/E7</f>
        <v>0.34168118380131257</v>
      </c>
      <c r="G134" s="175">
        <f>AVERAGE($E$134:$F$134)</f>
        <v>0.22271364563504803</v>
      </c>
      <c r="H134" s="175">
        <f ref="H134:AA134" t="shared" si="66">AVERAGE($E$134:$F$134)</f>
        <v>0.22271364563504803</v>
      </c>
      <c r="I134" s="175">
        <f t="shared" si="66"/>
        <v>0.22271364563504803</v>
      </c>
      <c r="J134" s="175">
        <f t="shared" si="66"/>
        <v>0.22271364563504803</v>
      </c>
      <c r="K134" s="175">
        <f t="shared" si="66"/>
        <v>0.22271364563504803</v>
      </c>
      <c r="L134" s="175">
        <f t="shared" si="66"/>
        <v>0.22271364563504803</v>
      </c>
      <c r="M134" s="175">
        <f t="shared" si="66"/>
        <v>0.22271364563504803</v>
      </c>
      <c r="N134" s="175">
        <f t="shared" si="66"/>
        <v>0.22271364563504803</v>
      </c>
      <c r="O134" s="175">
        <f t="shared" si="66"/>
        <v>0.22271364563504803</v>
      </c>
      <c r="P134" s="175">
        <f t="shared" si="66"/>
        <v>0.22271364563504803</v>
      </c>
      <c r="Q134" s="175">
        <f t="shared" si="66"/>
        <v>0.22271364563504803</v>
      </c>
      <c r="R134" s="175">
        <f t="shared" si="66"/>
        <v>0.22271364563504803</v>
      </c>
      <c r="S134" s="175">
        <f t="shared" si="66"/>
        <v>0.22271364563504803</v>
      </c>
      <c r="T134" s="175">
        <f t="shared" si="66"/>
        <v>0.22271364563504803</v>
      </c>
      <c r="U134" s="175">
        <f t="shared" si="66"/>
        <v>0.22271364563504803</v>
      </c>
      <c r="V134" s="175">
        <f t="shared" si="66"/>
        <v>0.22271364563504803</v>
      </c>
      <c r="W134" s="175">
        <f t="shared" si="66"/>
        <v>0.22271364563504803</v>
      </c>
      <c r="X134" s="175">
        <f t="shared" si="66"/>
        <v>0.22271364563504803</v>
      </c>
      <c r="Y134" s="175">
        <f t="shared" si="66"/>
        <v>0.22271364563504803</v>
      </c>
      <c r="Z134" s="175">
        <f t="shared" si="66"/>
        <v>0.22271364563504803</v>
      </c>
      <c r="AA134" s="175">
        <f t="shared" si="66"/>
        <v>0.22271364563504803</v>
      </c>
      <c r="AB134" s="175"/>
      <c r="AC134" s="175"/>
      <c r="AD134" s="175"/>
      <c r="AE134" s="175"/>
    </row>
    <row spans="2:31" r="135" x14ac:dyDescent="0.25">
      <c r="B135" s="8" t="s">
        <v>82</v>
      </c>
      <c r="E135" s="174">
        <f>F84/E122</f>
        <v>284.16196284961421</v>
      </c>
      <c r="F135" s="209">
        <f>G84/F122</f>
        <v>147.31390769080392</v>
      </c>
      <c r="G135" s="175">
        <f>AVERAGE($E$135:$F$135)</f>
        <v>215.73793527020905</v>
      </c>
      <c r="H135" s="175">
        <f ref="H135:AA135" t="shared" si="67">AVERAGE($E$135:$F$135)</f>
        <v>215.73793527020905</v>
      </c>
      <c r="I135" s="175">
        <f t="shared" si="67"/>
        <v>215.73793527020905</v>
      </c>
      <c r="J135" s="175">
        <f t="shared" si="67"/>
        <v>215.73793527020905</v>
      </c>
      <c r="K135" s="175">
        <f t="shared" si="67"/>
        <v>215.73793527020905</v>
      </c>
      <c r="L135" s="175">
        <f t="shared" si="67"/>
        <v>215.73793527020905</v>
      </c>
      <c r="M135" s="175">
        <f t="shared" si="67"/>
        <v>215.73793527020905</v>
      </c>
      <c r="N135" s="175">
        <f t="shared" si="67"/>
        <v>215.73793527020905</v>
      </c>
      <c r="O135" s="175">
        <f t="shared" si="67"/>
        <v>215.73793527020905</v>
      </c>
      <c r="P135" s="175">
        <f t="shared" si="67"/>
        <v>215.73793527020905</v>
      </c>
      <c r="Q135" s="175">
        <f t="shared" si="67"/>
        <v>215.73793527020905</v>
      </c>
      <c r="R135" s="175">
        <f t="shared" si="67"/>
        <v>215.73793527020905</v>
      </c>
      <c r="S135" s="175">
        <f t="shared" si="67"/>
        <v>215.73793527020905</v>
      </c>
      <c r="T135" s="175">
        <f t="shared" si="67"/>
        <v>215.73793527020905</v>
      </c>
      <c r="U135" s="175">
        <f t="shared" si="67"/>
        <v>215.73793527020905</v>
      </c>
      <c r="V135" s="175">
        <f t="shared" si="67"/>
        <v>215.73793527020905</v>
      </c>
      <c r="W135" s="175">
        <f t="shared" si="67"/>
        <v>215.73793527020905</v>
      </c>
      <c r="X135" s="175">
        <f t="shared" si="67"/>
        <v>215.73793527020905</v>
      </c>
      <c r="Y135" s="175">
        <f t="shared" si="67"/>
        <v>215.73793527020905</v>
      </c>
      <c r="Z135" s="175">
        <f t="shared" si="67"/>
        <v>215.73793527020905</v>
      </c>
      <c r="AA135" s="175">
        <f t="shared" si="67"/>
        <v>215.73793527020905</v>
      </c>
      <c r="AB135" s="175"/>
      <c r="AC135" s="175"/>
      <c r="AD135" s="175"/>
      <c r="AE135" s="175"/>
    </row>
    <row spans="2:31" r="136" x14ac:dyDescent="0.25">
      <c r="B136" s="8" t="s">
        <v>83</v>
      </c>
      <c r="E136" s="176">
        <f>E135/365</f>
        <v>0.77852592561538136</v>
      </c>
      <c r="F136" s="176">
        <f>F135/365</f>
        <v>0.40359974709809293</v>
      </c>
      <c r="G136" s="176">
        <f ref="G136:AA136" t="shared" si="68">G135/365</f>
        <v>0.59106283635673718</v>
      </c>
      <c r="H136" s="176">
        <f t="shared" si="68"/>
        <v>0.59106283635673718</v>
      </c>
      <c r="I136" s="176">
        <f t="shared" si="68"/>
        <v>0.59106283635673718</v>
      </c>
      <c r="J136" s="176">
        <f t="shared" si="68"/>
        <v>0.59106283635673718</v>
      </c>
      <c r="K136" s="176">
        <f t="shared" si="68"/>
        <v>0.59106283635673718</v>
      </c>
      <c r="L136" s="176">
        <f t="shared" si="68"/>
        <v>0.59106283635673718</v>
      </c>
      <c r="M136" s="176">
        <f t="shared" si="68"/>
        <v>0.59106283635673718</v>
      </c>
      <c r="N136" s="176">
        <f t="shared" si="68"/>
        <v>0.59106283635673718</v>
      </c>
      <c r="O136" s="176">
        <f t="shared" si="68"/>
        <v>0.59106283635673718</v>
      </c>
      <c r="P136" s="176">
        <f t="shared" si="68"/>
        <v>0.59106283635673718</v>
      </c>
      <c r="Q136" s="176">
        <f t="shared" si="68"/>
        <v>0.59106283635673718</v>
      </c>
      <c r="R136" s="176">
        <f t="shared" si="68"/>
        <v>0.59106283635673718</v>
      </c>
      <c r="S136" s="176">
        <f t="shared" si="68"/>
        <v>0.59106283635673718</v>
      </c>
      <c r="T136" s="176">
        <f t="shared" si="68"/>
        <v>0.59106283635673718</v>
      </c>
      <c r="U136" s="176">
        <f t="shared" si="68"/>
        <v>0.59106283635673718</v>
      </c>
      <c r="V136" s="176">
        <f t="shared" si="68"/>
        <v>0.59106283635673718</v>
      </c>
      <c r="W136" s="176">
        <f t="shared" si="68"/>
        <v>0.59106283635673718</v>
      </c>
      <c r="X136" s="176">
        <f t="shared" si="68"/>
        <v>0.59106283635673718</v>
      </c>
      <c r="Y136" s="176">
        <f t="shared" si="68"/>
        <v>0.59106283635673718</v>
      </c>
      <c r="Z136" s="176">
        <f t="shared" si="68"/>
        <v>0.59106283635673718</v>
      </c>
      <c r="AA136" s="176">
        <f t="shared" si="68"/>
        <v>0.59106283635673718</v>
      </c>
      <c r="AB136" s="176"/>
      <c r="AC136" s="176"/>
      <c r="AD136" s="176"/>
      <c r="AE136" s="176"/>
    </row>
    <row spans="2:31" r="137" x14ac:dyDescent="0.25">
      <c r="B137" s="151" t="s">
        <v>75</v>
      </c>
      <c r="E137" s="174"/>
      <c r="F137" s="209"/>
    </row>
    <row spans="2:31" r="138" x14ac:dyDescent="0.25">
      <c r="B138" s="8" t="s">
        <v>84</v>
      </c>
      <c r="E138" s="174">
        <f>E125/E139</f>
        <v>1.7441324822954156</v>
      </c>
      <c r="F138" s="209">
        <f>F125/F139</f>
        <v>2.3491085897963506</v>
      </c>
      <c r="G138" s="175">
        <f>AVERAGE($E$138:$F$138)</f>
        <v>2.0466205360458831</v>
      </c>
      <c r="H138" s="175">
        <f ref="H138:AA138" t="shared" si="69">AVERAGE($E$138:$F$138)</f>
        <v>2.0466205360458831</v>
      </c>
      <c r="I138" s="175">
        <f t="shared" si="69"/>
        <v>2.0466205360458831</v>
      </c>
      <c r="J138" s="175">
        <f t="shared" si="69"/>
        <v>2.0466205360458831</v>
      </c>
      <c r="K138" s="175">
        <f t="shared" si="69"/>
        <v>2.0466205360458831</v>
      </c>
      <c r="L138" s="175">
        <f t="shared" si="69"/>
        <v>2.0466205360458831</v>
      </c>
      <c r="M138" s="175">
        <f t="shared" si="69"/>
        <v>2.0466205360458831</v>
      </c>
      <c r="N138" s="175">
        <f t="shared" si="69"/>
        <v>2.0466205360458831</v>
      </c>
      <c r="O138" s="175">
        <f t="shared" si="69"/>
        <v>2.0466205360458831</v>
      </c>
      <c r="P138" s="175">
        <f t="shared" si="69"/>
        <v>2.0466205360458831</v>
      </c>
      <c r="Q138" s="175">
        <f t="shared" si="69"/>
        <v>2.0466205360458831</v>
      </c>
      <c r="R138" s="175">
        <f t="shared" si="69"/>
        <v>2.0466205360458831</v>
      </c>
      <c r="S138" s="175">
        <f t="shared" si="69"/>
        <v>2.0466205360458831</v>
      </c>
      <c r="T138" s="175">
        <f t="shared" si="69"/>
        <v>2.0466205360458831</v>
      </c>
      <c r="U138" s="175">
        <f t="shared" si="69"/>
        <v>2.0466205360458831</v>
      </c>
      <c r="V138" s="175">
        <f t="shared" si="69"/>
        <v>2.0466205360458831</v>
      </c>
      <c r="W138" s="175">
        <f t="shared" si="69"/>
        <v>2.0466205360458831</v>
      </c>
      <c r="X138" s="175">
        <f t="shared" si="69"/>
        <v>2.0466205360458831</v>
      </c>
      <c r="Y138" s="175">
        <f t="shared" si="69"/>
        <v>2.0466205360458831</v>
      </c>
      <c r="Z138" s="175">
        <f t="shared" si="69"/>
        <v>2.0466205360458831</v>
      </c>
      <c r="AA138" s="175">
        <f t="shared" si="69"/>
        <v>2.0466205360458831</v>
      </c>
      <c r="AB138" s="175"/>
      <c r="AC138" s="175"/>
      <c r="AD138" s="175"/>
      <c r="AE138" s="175"/>
    </row>
    <row spans="2:31" r="139" x14ac:dyDescent="0.25">
      <c r="B139" s="8" t="s">
        <v>85</v>
      </c>
      <c r="E139" s="156">
        <f>D9+D46+D68</f>
        <v>52104</v>
      </c>
      <c r="F139" s="156">
        <f ref="F139:AA139" t="shared" si="70">E9+E46+E68</f>
        <v>53483.653510713877</v>
      </c>
      <c r="G139" s="156">
        <f t="shared" si="70"/>
        <v>53654.414670310573</v>
      </c>
      <c r="H139" s="156">
        <f t="shared" si="70"/>
        <v>81040.522158281587</v>
      </c>
      <c r="I139" s="156">
        <f t="shared" si="70"/>
        <v>163198.84462219465</v>
      </c>
      <c r="J139" s="156">
        <f t="shared" si="70"/>
        <v>163198.84462219465</v>
      </c>
      <c r="K139" s="156">
        <f t="shared" si="70"/>
        <v>163198.84462219465</v>
      </c>
      <c r="L139" s="156">
        <f t="shared" si="70"/>
        <v>163198.84462219465</v>
      </c>
      <c r="M139" s="156">
        <f t="shared" si="70"/>
        <v>163198.84462219465</v>
      </c>
      <c r="N139" s="156">
        <f t="shared" si="70"/>
        <v>163198.84462219465</v>
      </c>
      <c r="O139" s="156">
        <f t="shared" si="70"/>
        <v>163198.84462219465</v>
      </c>
      <c r="P139" s="156">
        <f t="shared" si="70"/>
        <v>163198.84462219465</v>
      </c>
      <c r="Q139" s="156">
        <f t="shared" si="70"/>
        <v>109544.42995188409</v>
      </c>
      <c r="R139" s="156">
        <f t="shared" si="70"/>
        <v>109544.42995188409</v>
      </c>
      <c r="S139" s="156">
        <f t="shared" si="70"/>
        <v>109544.42995188409</v>
      </c>
      <c r="T139" s="156">
        <f t="shared" si="70"/>
        <v>109544.42995188409</v>
      </c>
      <c r="U139" s="156">
        <f t="shared" si="70"/>
        <v>109544.42995188409</v>
      </c>
      <c r="V139" s="156">
        <f t="shared" si="70"/>
        <v>109544.42995188409</v>
      </c>
      <c r="W139" s="156">
        <f t="shared" si="70"/>
        <v>109544.42995188409</v>
      </c>
      <c r="X139" s="156">
        <f t="shared" si="70"/>
        <v>109544.42995188409</v>
      </c>
      <c r="Y139" s="156">
        <f t="shared" si="70"/>
        <v>109544.42995188409</v>
      </c>
      <c r="Z139" s="156">
        <f t="shared" si="70"/>
        <v>109544.42995188409</v>
      </c>
      <c r="AA139" s="156">
        <f t="shared" si="70"/>
        <v>109544.42995188409</v>
      </c>
      <c r="AB139" s="156"/>
      <c r="AC139" s="156"/>
      <c r="AD139" s="156"/>
      <c r="AE139" s="156"/>
    </row>
    <row spans="1:37" r="145" x14ac:dyDescent="0.25">
      <c r="A145" s="8" t="s">
        <v>7</v>
      </c>
      <c r="B145" s="24" t="s">
        <v>126</v>
      </c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152"/>
    </row>
    <row spans="1:37" r="146" x14ac:dyDescent="0.25">
      <c r="B146" s="24" t="s">
        <v>127</v>
      </c>
      <c r="C146" s="24">
        <v>2022</v>
      </c>
      <c r="D146" s="24">
        <f>C146+1</f>
        <v>2023</v>
      </c>
      <c r="E146" s="24">
        <f ref="E146:W146" t="shared" si="71">D146+1</f>
        <v>2024</v>
      </c>
      <c r="F146" s="24">
        <f t="shared" si="71"/>
        <v>2025</v>
      </c>
      <c r="G146" s="24">
        <f t="shared" si="71"/>
        <v>2026</v>
      </c>
      <c r="H146" s="24">
        <f t="shared" si="71"/>
        <v>2027</v>
      </c>
      <c r="I146" s="24">
        <f t="shared" si="71"/>
        <v>2028</v>
      </c>
      <c r="J146" s="24">
        <f t="shared" si="71"/>
        <v>2029</v>
      </c>
      <c r="K146" s="24">
        <f t="shared" si="71"/>
        <v>2030</v>
      </c>
      <c r="L146" s="24">
        <f t="shared" si="71"/>
        <v>2031</v>
      </c>
      <c r="M146" s="24">
        <f t="shared" si="71"/>
        <v>2032</v>
      </c>
      <c r="N146" s="24">
        <f t="shared" si="71"/>
        <v>2033</v>
      </c>
      <c r="O146" s="24">
        <f t="shared" si="71"/>
        <v>2034</v>
      </c>
      <c r="P146" s="24">
        <f t="shared" si="71"/>
        <v>2035</v>
      </c>
      <c r="Q146" s="24">
        <f t="shared" si="71"/>
        <v>2036</v>
      </c>
      <c r="R146" s="24">
        <f t="shared" si="71"/>
        <v>2037</v>
      </c>
      <c r="S146" s="24">
        <f t="shared" si="71"/>
        <v>2038</v>
      </c>
      <c r="T146" s="24">
        <f t="shared" si="71"/>
        <v>2039</v>
      </c>
      <c r="U146" s="24">
        <f t="shared" si="71"/>
        <v>2040</v>
      </c>
      <c r="V146" s="24">
        <f t="shared" si="71"/>
        <v>2041</v>
      </c>
      <c r="W146" s="24">
        <f t="shared" si="71"/>
        <v>2042</v>
      </c>
      <c r="X146" s="24"/>
      <c r="Y146" s="24"/>
      <c r="Z146" s="24"/>
      <c r="AA146" s="24"/>
      <c r="AB146" s="152"/>
    </row>
    <row spans="1:37" r="148" x14ac:dyDescent="0.25">
      <c r="B148" s="151" t="s">
        <v>88</v>
      </c>
      <c r="AB148" s="8" t="s">
        <v>89</v>
      </c>
    </row>
    <row spans="1:37" r="149" x14ac:dyDescent="0.25">
      <c r="B149" s="8" t="s">
        <v>90</v>
      </c>
      <c r="C149" s="156">
        <f ref="C149:W149" t="shared" si="72">F83</f>
        <v>221725.66666666669</v>
      </c>
      <c r="D149" s="156">
        <f t="shared" si="72"/>
        <v>334898.14236111112</v>
      </c>
      <c r="E149" s="156">
        <f t="shared" si="72"/>
        <v>674415.5694444445</v>
      </c>
      <c r="F149" s="156">
        <f t="shared" si="72"/>
        <v>674415.5694444445</v>
      </c>
      <c r="G149" s="156">
        <f t="shared" si="72"/>
        <v>674415.5694444445</v>
      </c>
      <c r="H149" s="156">
        <f t="shared" si="72"/>
        <v>674415.5694444445</v>
      </c>
      <c r="I149" s="156">
        <f t="shared" si="72"/>
        <v>674415.5694444445</v>
      </c>
      <c r="J149" s="156">
        <f t="shared" si="72"/>
        <v>674415.5694444445</v>
      </c>
      <c r="K149" s="156">
        <f t="shared" si="72"/>
        <v>674415.5694444445</v>
      </c>
      <c r="L149" s="156">
        <f t="shared" si="72"/>
        <v>674415.5694444445</v>
      </c>
      <c r="M149" s="156">
        <f t="shared" si="72"/>
        <v>452689.90277777787</v>
      </c>
      <c r="N149" s="156">
        <f t="shared" si="72"/>
        <v>452689.90277777787</v>
      </c>
      <c r="O149" s="156">
        <f t="shared" si="72"/>
        <v>452689.90277777787</v>
      </c>
      <c r="P149" s="156">
        <f t="shared" si="72"/>
        <v>452689.90277777787</v>
      </c>
      <c r="Q149" s="156">
        <f t="shared" si="72"/>
        <v>452689.90277777787</v>
      </c>
      <c r="R149" s="156">
        <f t="shared" si="72"/>
        <v>452689.90277777787</v>
      </c>
      <c r="S149" s="156">
        <f t="shared" si="72"/>
        <v>452689.90277777787</v>
      </c>
      <c r="T149" s="156">
        <f t="shared" si="72"/>
        <v>452689.90277777787</v>
      </c>
      <c r="U149" s="156">
        <f t="shared" si="72"/>
        <v>452689.90277777787</v>
      </c>
      <c r="V149" s="156">
        <f t="shared" si="72"/>
        <v>452689.90277777787</v>
      </c>
      <c r="W149" s="156">
        <f t="shared" si="72"/>
        <v>452689.90277777787</v>
      </c>
      <c r="X149" s="156"/>
      <c r="Y149" s="156"/>
      <c r="Z149" s="156"/>
      <c r="AA149" s="156"/>
      <c r="AB149" s="8" t="s">
        <v>91</v>
      </c>
    </row>
    <row spans="1:37" r="150" x14ac:dyDescent="0.25">
      <c r="B150" s="8" t="s">
        <v>45</v>
      </c>
      <c r="C150" s="156">
        <f ref="C150:W150" t="shared" si="73">F86</f>
        <v>254242.96464743541</v>
      </c>
      <c r="D150" s="156">
        <f t="shared" si="73"/>
        <v>171096.6331042246</v>
      </c>
      <c r="E150" s="156">
        <f t="shared" si="73"/>
        <v>330651.65995606186</v>
      </c>
      <c r="F150" s="156">
        <f t="shared" si="73"/>
        <v>317151.65995606186</v>
      </c>
      <c r="G150" s="156">
        <f t="shared" si="73"/>
        <v>317151.65995606186</v>
      </c>
      <c r="H150" s="156">
        <f t="shared" si="73"/>
        <v>321729.94730498258</v>
      </c>
      <c r="I150" s="156">
        <f t="shared" si="73"/>
        <v>317151.65995606186</v>
      </c>
      <c r="J150" s="156">
        <f t="shared" si="73"/>
        <v>317151.65995606186</v>
      </c>
      <c r="K150" s="156">
        <f t="shared" si="73"/>
        <v>317151.65995606186</v>
      </c>
      <c r="L150" s="156">
        <f t="shared" si="73"/>
        <v>317151.65995606186</v>
      </c>
      <c r="M150" s="156">
        <f t="shared" si="73"/>
        <v>153658.69530862645</v>
      </c>
      <c r="N150" s="156">
        <f t="shared" si="73"/>
        <v>153658.69530862645</v>
      </c>
      <c r="O150" s="156">
        <f t="shared" si="73"/>
        <v>153658.69530862645</v>
      </c>
      <c r="P150" s="156">
        <f t="shared" si="73"/>
        <v>153658.69530862645</v>
      </c>
      <c r="Q150" s="156">
        <f t="shared" si="73"/>
        <v>153658.69530862645</v>
      </c>
      <c r="R150" s="156">
        <f t="shared" si="73"/>
        <v>153658.69530862645</v>
      </c>
      <c r="S150" s="156">
        <f t="shared" si="73"/>
        <v>153658.69530862645</v>
      </c>
      <c r="T150" s="156">
        <f t="shared" si="73"/>
        <v>153658.69530862645</v>
      </c>
      <c r="U150" s="156">
        <f t="shared" si="73"/>
        <v>153658.69530862645</v>
      </c>
      <c r="V150" s="156">
        <f t="shared" si="73"/>
        <v>153658.69530862645</v>
      </c>
      <c r="W150" s="156">
        <f t="shared" si="73"/>
        <v>153658.69530862645</v>
      </c>
      <c r="X150" s="156"/>
      <c r="Y150" s="156"/>
      <c r="Z150" s="156"/>
      <c r="AA150" s="156"/>
    </row>
    <row spans="1:37" r="151" x14ac:dyDescent="0.25">
      <c r="B151" s="8" t="s">
        <v>92</v>
      </c>
      <c r="C151" s="156">
        <f ref="C151:L152" t="shared" si="74">F88</f>
        <v>26034.479579897386</v>
      </c>
      <c r="D151" s="156">
        <f t="shared" si="74"/>
        <v>35930.292951887168</v>
      </c>
      <c r="E151" s="156">
        <f t="shared" si="74"/>
        <v>69436.848590772992</v>
      </c>
      <c r="F151" s="156">
        <f t="shared" si="74"/>
        <v>66601.848590772992</v>
      </c>
      <c r="G151" s="156">
        <f t="shared" si="74"/>
        <v>66601.848590772992</v>
      </c>
      <c r="H151" s="156">
        <f t="shared" si="74"/>
        <v>67563.288934046344</v>
      </c>
      <c r="I151" s="156">
        <f t="shared" si="74"/>
        <v>66601.848590772992</v>
      </c>
      <c r="J151" s="156">
        <f t="shared" si="74"/>
        <v>66601.848590772992</v>
      </c>
      <c r="K151" s="156">
        <f t="shared" si="74"/>
        <v>66601.848590772992</v>
      </c>
      <c r="L151" s="156">
        <f t="shared" si="74"/>
        <v>66601.848590772992</v>
      </c>
      <c r="M151" s="156">
        <f ref="M151:V152" t="shared" si="75">P88</f>
        <v>32268.326014811555</v>
      </c>
      <c r="N151" s="156">
        <f t="shared" si="75"/>
        <v>32268.326014811555</v>
      </c>
      <c r="O151" s="156">
        <f t="shared" si="75"/>
        <v>32268.326014811555</v>
      </c>
      <c r="P151" s="156">
        <f t="shared" si="75"/>
        <v>32268.326014811555</v>
      </c>
      <c r="Q151" s="156">
        <f t="shared" si="75"/>
        <v>32268.326014811555</v>
      </c>
      <c r="R151" s="156">
        <f t="shared" si="75"/>
        <v>32268.326014811555</v>
      </c>
      <c r="S151" s="156">
        <f t="shared" si="75"/>
        <v>32268.326014811555</v>
      </c>
      <c r="T151" s="156">
        <f t="shared" si="75"/>
        <v>32268.326014811555</v>
      </c>
      <c r="U151" s="156">
        <f t="shared" si="75"/>
        <v>32268.326014811555</v>
      </c>
      <c r="V151" s="156">
        <f t="shared" si="75"/>
        <v>32268.326014811555</v>
      </c>
      <c r="W151" s="156">
        <f ref="W151:W152" t="shared" si="76">Z88</f>
        <v>32268.326014811555</v>
      </c>
      <c r="X151" s="156"/>
      <c r="Y151" s="156"/>
      <c r="Z151" s="156"/>
      <c r="AA151" s="156"/>
    </row>
    <row spans="1:37" r="152" x14ac:dyDescent="0.25">
      <c r="B152" s="8" t="s">
        <v>48</v>
      </c>
      <c r="C152" s="156">
        <f t="shared" si="74"/>
        <v>228208.48506753801</v>
      </c>
      <c r="D152" s="156">
        <f t="shared" si="74"/>
        <v>135166.34015233745</v>
      </c>
      <c r="E152" s="156">
        <f t="shared" si="74"/>
        <v>261214.81136528886</v>
      </c>
      <c r="F152" s="156">
        <f t="shared" si="74"/>
        <v>250549.81136528886</v>
      </c>
      <c r="G152" s="156">
        <f t="shared" si="74"/>
        <v>250549.81136528886</v>
      </c>
      <c r="H152" s="156">
        <f t="shared" si="74"/>
        <v>254166.65837093623</v>
      </c>
      <c r="I152" s="156">
        <f t="shared" si="74"/>
        <v>250549.81136528886</v>
      </c>
      <c r="J152" s="156">
        <f t="shared" si="74"/>
        <v>250549.81136528886</v>
      </c>
      <c r="K152" s="156">
        <f t="shared" si="74"/>
        <v>250549.81136528886</v>
      </c>
      <c r="L152" s="156">
        <f t="shared" si="74"/>
        <v>250549.81136528886</v>
      </c>
      <c r="M152" s="156">
        <f t="shared" si="75"/>
        <v>121390.3692938149</v>
      </c>
      <c r="N152" s="156">
        <f t="shared" si="75"/>
        <v>121390.3692938149</v>
      </c>
      <c r="O152" s="156">
        <f t="shared" si="75"/>
        <v>121390.3692938149</v>
      </c>
      <c r="P152" s="156">
        <f t="shared" si="75"/>
        <v>121390.3692938149</v>
      </c>
      <c r="Q152" s="156">
        <f t="shared" si="75"/>
        <v>121390.3692938149</v>
      </c>
      <c r="R152" s="156">
        <f t="shared" si="75"/>
        <v>121390.3692938149</v>
      </c>
      <c r="S152" s="156">
        <f t="shared" si="75"/>
        <v>121390.3692938149</v>
      </c>
      <c r="T152" s="156">
        <f t="shared" si="75"/>
        <v>121390.3692938149</v>
      </c>
      <c r="U152" s="156">
        <f t="shared" si="75"/>
        <v>121390.3692938149</v>
      </c>
      <c r="V152" s="156">
        <f t="shared" si="75"/>
        <v>121390.3692938149</v>
      </c>
      <c r="W152" s="156">
        <f t="shared" si="76"/>
        <v>121390.3692938149</v>
      </c>
      <c r="X152" s="156"/>
      <c r="Y152" s="156"/>
      <c r="Z152" s="156"/>
      <c r="AA152" s="156"/>
    </row>
    <row spans="1:37" r="154" x14ac:dyDescent="0.25">
      <c r="B154" s="8" t="s">
        <v>93</v>
      </c>
      <c r="C154" s="156">
        <f ref="C154:L155" t="shared" si="77">F90</f>
        <v>40000</v>
      </c>
      <c r="D154" s="156">
        <f t="shared" si="77"/>
        <v>80000</v>
      </c>
      <c r="E154" s="156">
        <f t="shared" si="77"/>
        <v>80000</v>
      </c>
      <c r="F154" s="156">
        <f t="shared" si="77"/>
        <v>80000</v>
      </c>
      <c r="G154" s="156">
        <f t="shared" si="77"/>
        <v>80000</v>
      </c>
      <c r="H154" s="156">
        <f t="shared" si="77"/>
        <v>80000</v>
      </c>
      <c r="I154" s="156">
        <f t="shared" si="77"/>
        <v>80000</v>
      </c>
      <c r="J154" s="156">
        <f t="shared" si="77"/>
        <v>80000</v>
      </c>
      <c r="K154" s="156">
        <f t="shared" si="77"/>
        <v>80000</v>
      </c>
      <c r="L154" s="156">
        <f t="shared" si="77"/>
        <v>80000</v>
      </c>
      <c r="M154" s="156">
        <f ref="M154:V155" t="shared" si="78">P90</f>
        <v>80000</v>
      </c>
      <c r="N154" s="156">
        <f t="shared" si="78"/>
        <v>80000</v>
      </c>
      <c r="O154" s="156">
        <f t="shared" si="78"/>
        <v>80000</v>
      </c>
      <c r="P154" s="156">
        <f t="shared" si="78"/>
        <v>80000</v>
      </c>
      <c r="Q154" s="156">
        <f t="shared" si="78"/>
        <v>80000</v>
      </c>
      <c r="R154" s="156">
        <f t="shared" si="78"/>
        <v>80000</v>
      </c>
      <c r="S154" s="156">
        <f t="shared" si="78"/>
        <v>80000</v>
      </c>
      <c r="T154" s="156">
        <f t="shared" si="78"/>
        <v>80000</v>
      </c>
      <c r="U154" s="156">
        <f t="shared" si="78"/>
        <v>80000</v>
      </c>
      <c r="V154" s="156">
        <f t="shared" si="78"/>
        <v>80000</v>
      </c>
      <c r="W154" s="156">
        <f ref="W154:W155" t="shared" si="79">Z90</f>
        <v>80000</v>
      </c>
      <c r="X154" s="156"/>
      <c r="Y154" s="156"/>
      <c r="Z154" s="156"/>
      <c r="AA154" s="156"/>
    </row>
    <row spans="1:37" r="155" x14ac:dyDescent="0.25">
      <c r="B155" s="8" t="s">
        <v>53</v>
      </c>
      <c r="C155" s="156">
        <f t="shared" si="77"/>
        <v>22172.566666666669</v>
      </c>
      <c r="D155" s="156">
        <f t="shared" si="77"/>
        <v>33489.814236111117</v>
      </c>
      <c r="E155" s="156">
        <f t="shared" si="77"/>
        <v>67441.556944444455</v>
      </c>
      <c r="F155" s="156">
        <f t="shared" si="77"/>
        <v>67441.556944444455</v>
      </c>
      <c r="G155" s="156">
        <f t="shared" si="77"/>
        <v>67441.556944444455</v>
      </c>
      <c r="H155" s="156">
        <f t="shared" si="77"/>
        <v>67441.556944444455</v>
      </c>
      <c r="I155" s="156">
        <f t="shared" si="77"/>
        <v>67441.556944444455</v>
      </c>
      <c r="J155" s="156">
        <f t="shared" si="77"/>
        <v>67441.556944444455</v>
      </c>
      <c r="K155" s="156">
        <f t="shared" si="77"/>
        <v>67441.556944444455</v>
      </c>
      <c r="L155" s="156">
        <f t="shared" si="77"/>
        <v>67441.556944444455</v>
      </c>
      <c r="M155" s="156">
        <f t="shared" si="78"/>
        <v>45268.99027777779</v>
      </c>
      <c r="N155" s="156">
        <f t="shared" si="78"/>
        <v>45268.99027777779</v>
      </c>
      <c r="O155" s="156">
        <f t="shared" si="78"/>
        <v>45268.99027777779</v>
      </c>
      <c r="P155" s="156">
        <f t="shared" si="78"/>
        <v>45268.99027777779</v>
      </c>
      <c r="Q155" s="156">
        <f t="shared" si="78"/>
        <v>45268.99027777779</v>
      </c>
      <c r="R155" s="156">
        <f t="shared" si="78"/>
        <v>45268.99027777779</v>
      </c>
      <c r="S155" s="156">
        <f t="shared" si="78"/>
        <v>45268.99027777779</v>
      </c>
      <c r="T155" s="156">
        <f t="shared" si="78"/>
        <v>45268.99027777779</v>
      </c>
      <c r="U155" s="156">
        <f t="shared" si="78"/>
        <v>45268.99027777779</v>
      </c>
      <c r="V155" s="156">
        <f t="shared" si="78"/>
        <v>45268.99027777779</v>
      </c>
      <c r="W155" s="156">
        <f t="shared" si="79"/>
        <v>45268.99027777779</v>
      </c>
      <c r="X155" s="156"/>
      <c r="Y155" s="156"/>
      <c r="Z155" s="156"/>
      <c r="AA155" s="156"/>
      <c r="AK155" s="156"/>
    </row>
    <row spans="1:37" r="156" s="2" x14ac:dyDescent="0.25" customFormat="1">
      <c r="B156" s="2" t="s">
        <v>79</v>
      </c>
      <c r="C156" s="20">
        <f>G130</f>
        <v>8278.7461564250116</v>
      </c>
      <c r="D156" s="20">
        <f ref="D156:W156" t="shared" si="80">H130</f>
        <v>-19774.310295467512</v>
      </c>
      <c r="E156" s="20">
        <f t="shared" si="80"/>
        <v>-171216.12009882444</v>
      </c>
      <c r="F156" s="208">
        <f t="shared" si="80"/>
        <v>0</v>
      </c>
      <c r="G156" s="20">
        <f t="shared" si="80"/>
        <v>1040.8685882863065</v>
      </c>
      <c r="H156" s="20">
        <f t="shared" si="80"/>
        <v>-1040.8685882863065</v>
      </c>
      <c r="I156" s="208">
        <f t="shared" si="80"/>
        <v>0</v>
      </c>
      <c r="J156" s="208">
        <f t="shared" si="80"/>
        <v>0</v>
      </c>
      <c r="K156" s="208">
        <f t="shared" si="80"/>
        <v>0</v>
      </c>
      <c r="L156" s="20">
        <f t="shared" si="80"/>
        <v>-37169.945514108695</v>
      </c>
      <c r="M156" s="20">
        <f t="shared" si="80"/>
        <v>109810.22691377907</v>
      </c>
      <c r="N156" s="208">
        <f t="shared" si="80"/>
        <v>0</v>
      </c>
      <c r="O156" s="208">
        <f t="shared" si="80"/>
        <v>0</v>
      </c>
      <c r="P156" s="208">
        <f t="shared" si="80"/>
        <v>0</v>
      </c>
      <c r="Q156" s="208">
        <f t="shared" si="80"/>
        <v>0</v>
      </c>
      <c r="R156" s="208">
        <f t="shared" si="80"/>
        <v>0</v>
      </c>
      <c r="S156" s="208">
        <f t="shared" si="80"/>
        <v>0</v>
      </c>
      <c r="T156" s="208">
        <f t="shared" si="80"/>
        <v>0</v>
      </c>
      <c r="U156" s="208">
        <f t="shared" si="80"/>
        <v>0</v>
      </c>
      <c r="V156" s="208">
        <f t="shared" si="80"/>
        <v>0</v>
      </c>
      <c r="W156" s="20">
        <f t="shared" si="80"/>
        <v>-53122.047130580351</v>
      </c>
      <c r="Y156" s="2" t="s">
        <v>128</v>
      </c>
      <c r="AK156" s="76"/>
    </row>
    <row spans="1:37" r="157" x14ac:dyDescent="0.25">
      <c r="B157" s="8" t="s">
        <v>94</v>
      </c>
      <c r="C157" s="156">
        <f>C152+C154-C155-C156</f>
        <v>237757.17224444629</v>
      </c>
      <c r="D157" s="156">
        <f ref="D157:W157" t="shared" si="81">D152+D154-D155-D156</f>
        <v>201450.83621169382</v>
      </c>
      <c r="E157" s="156">
        <f t="shared" si="81"/>
        <v>444989.37451966881</v>
      </c>
      <c r="F157" s="156">
        <f t="shared" si="81"/>
        <v>263108.25442084437</v>
      </c>
      <c r="G157" s="156">
        <f t="shared" si="81"/>
        <v>262067.38583255807</v>
      </c>
      <c r="H157" s="156">
        <f t="shared" si="81"/>
        <v>267765.97001477808</v>
      </c>
      <c r="I157" s="156">
        <f t="shared" si="81"/>
        <v>263108.25442084437</v>
      </c>
      <c r="J157" s="156">
        <f t="shared" si="81"/>
        <v>263108.25442084437</v>
      </c>
      <c r="K157" s="156">
        <f t="shared" si="81"/>
        <v>263108.25442084437</v>
      </c>
      <c r="L157" s="156">
        <f t="shared" si="81"/>
        <v>300278.19993495307</v>
      </c>
      <c r="M157" s="156">
        <f t="shared" si="81"/>
        <v>46311.152102258027</v>
      </c>
      <c r="N157" s="156">
        <f t="shared" si="81"/>
        <v>156121.3790160371</v>
      </c>
      <c r="O157" s="156">
        <f t="shared" si="81"/>
        <v>156121.3790160371</v>
      </c>
      <c r="P157" s="156">
        <f t="shared" si="81"/>
        <v>156121.3790160371</v>
      </c>
      <c r="Q157" s="156">
        <f t="shared" si="81"/>
        <v>156121.3790160371</v>
      </c>
      <c r="R157" s="156">
        <f t="shared" si="81"/>
        <v>156121.3790160371</v>
      </c>
      <c r="S157" s="156">
        <f t="shared" si="81"/>
        <v>156121.3790160371</v>
      </c>
      <c r="T157" s="156">
        <f t="shared" si="81"/>
        <v>156121.3790160371</v>
      </c>
      <c r="U157" s="156">
        <f t="shared" si="81"/>
        <v>156121.3790160371</v>
      </c>
      <c r="V157" s="156">
        <f t="shared" si="81"/>
        <v>156121.3790160371</v>
      </c>
      <c r="W157" s="156">
        <f t="shared" si="81"/>
        <v>209243.42614661745</v>
      </c>
      <c r="X157" s="156"/>
      <c r="Y157" s="156"/>
      <c r="Z157" s="156"/>
      <c r="AA157" s="156"/>
      <c r="AK157" s="162"/>
    </row>
    <row spans="1:37" r="158" x14ac:dyDescent="0.25">
      <c r="AK158" s="156"/>
    </row>
    <row spans="1:37" r="159" x14ac:dyDescent="0.25">
      <c r="B159" s="8" t="s">
        <v>95</v>
      </c>
      <c r="C159" s="8">
        <v>0.5</v>
      </c>
      <c r="D159" s="8">
        <f>C159+1</f>
        <v>1.5</v>
      </c>
      <c r="E159" s="8">
        <f ref="E159:W159" t="shared" si="82">D159+1</f>
        <v>2.5</v>
      </c>
      <c r="F159" s="8">
        <f t="shared" si="82"/>
        <v>3.5</v>
      </c>
      <c r="G159" s="8">
        <f t="shared" si="82"/>
        <v>4.5</v>
      </c>
      <c r="H159" s="8">
        <f t="shared" si="82"/>
        <v>5.5</v>
      </c>
      <c r="I159" s="8">
        <f t="shared" si="82"/>
        <v>6.5</v>
      </c>
      <c r="J159" s="8">
        <f t="shared" si="82"/>
        <v>7.5</v>
      </c>
      <c r="K159" s="8">
        <f t="shared" si="82"/>
        <v>8.5</v>
      </c>
      <c r="L159" s="8">
        <f t="shared" si="82"/>
        <v>9.5</v>
      </c>
      <c r="M159" s="8">
        <f t="shared" si="82"/>
        <v>10.5</v>
      </c>
      <c r="N159" s="8">
        <f t="shared" si="82"/>
        <v>11.5</v>
      </c>
      <c r="O159" s="8">
        <f t="shared" si="82"/>
        <v>12.5</v>
      </c>
      <c r="P159" s="8">
        <f t="shared" si="82"/>
        <v>13.5</v>
      </c>
      <c r="Q159" s="8">
        <f t="shared" si="82"/>
        <v>14.5</v>
      </c>
      <c r="R159" s="8">
        <f t="shared" si="82"/>
        <v>15.5</v>
      </c>
      <c r="S159" s="8">
        <f t="shared" si="82"/>
        <v>16.5</v>
      </c>
      <c r="T159" s="8">
        <f t="shared" si="82"/>
        <v>17.5</v>
      </c>
      <c r="U159" s="8">
        <f t="shared" si="82"/>
        <v>18.5</v>
      </c>
      <c r="V159" s="8">
        <f t="shared" si="82"/>
        <v>19.5</v>
      </c>
      <c r="W159" s="8">
        <f t="shared" si="82"/>
        <v>20.5</v>
      </c>
      <c r="AK159" s="156"/>
    </row>
    <row spans="1:37" r="160" x14ac:dyDescent="0.25">
      <c r="AK160" s="156"/>
    </row>
    <row spans="1:37" r="161" x14ac:dyDescent="0.25">
      <c r="B161" s="151" t="s">
        <v>96</v>
      </c>
      <c r="C161" s="156">
        <f>C157/(1+$G$177)^C159</f>
        <v>227445.19888140581</v>
      </c>
      <c r="D161" s="156">
        <f ref="D161:W161" t="shared" si="83">D157/(1+$G$177)^D159</f>
        <v>176359.36046554451</v>
      </c>
      <c r="E161" s="156">
        <f t="shared" si="83"/>
        <v>356504.79514449072</v>
      </c>
      <c r="F161" s="156">
        <f t="shared" si="83"/>
        <v>192901.89847694815</v>
      </c>
      <c r="G161" s="156">
        <f t="shared" si="83"/>
        <v>175833.36966254623</v>
      </c>
      <c r="H161" s="156">
        <f t="shared" si="83"/>
        <v>164410.66979685661</v>
      </c>
      <c r="I161" s="156">
        <f t="shared" si="83"/>
        <v>147841.1674846891</v>
      </c>
      <c r="J161" s="156">
        <f t="shared" si="83"/>
        <v>135294.9783018665</v>
      </c>
      <c r="K161" s="156">
        <f t="shared" si="83"/>
        <v>123813.49163519168</v>
      </c>
      <c r="L161" s="156">
        <f t="shared" si="83"/>
        <v>129313.41932358363</v>
      </c>
      <c r="M161" s="156">
        <f t="shared" si="83"/>
        <v>18251.21036782024</v>
      </c>
      <c r="N161" s="156">
        <f t="shared" si="83"/>
        <v>56306.010666631293</v>
      </c>
      <c r="O161" s="156">
        <f t="shared" si="83"/>
        <v>51527.734940239039</v>
      </c>
      <c r="P161" s="156">
        <f t="shared" si="83"/>
        <v>47154.956222906949</v>
      </c>
      <c r="Q161" s="156">
        <f t="shared" si="83"/>
        <v>43153.262975039579</v>
      </c>
      <c r="R161" s="156">
        <f t="shared" si="83"/>
        <v>39491.163910535026</v>
      </c>
      <c r="S161" s="156">
        <f t="shared" si="83"/>
        <v>36139.840176415157</v>
      </c>
      <c r="T161" s="156">
        <f t="shared" si="83"/>
        <v>33072.918563142346</v>
      </c>
      <c r="U161" s="156">
        <f t="shared" si="83"/>
        <v>30266.263960903481</v>
      </c>
      <c r="V161" s="156">
        <f t="shared" si="83"/>
        <v>27697.789428597946</v>
      </c>
      <c r="W161" s="156">
        <f t="shared" si="83"/>
        <v>33971.978996765705</v>
      </c>
      <c r="X161" s="156"/>
      <c r="Y161" s="156"/>
      <c r="Z161" s="156"/>
      <c r="AA161" s="156"/>
    </row>
    <row spans="1:37" r="163" x14ac:dyDescent="0.25">
      <c r="B163" s="151" t="s">
        <v>129</v>
      </c>
      <c r="AK163" s="156"/>
    </row>
    <row spans="1:37" r="164" x14ac:dyDescent="0.25">
      <c r="B164" s="8" t="s">
        <v>130</v>
      </c>
      <c r="H164" s="8" t="s">
        <v>131</v>
      </c>
      <c r="AK164" s="156"/>
    </row>
    <row spans="1:37" r="165" x14ac:dyDescent="0.25">
      <c r="B165" s="8" t="s">
        <v>132</v>
      </c>
      <c r="AK165" s="156"/>
    </row>
    <row spans="1:37" r="166" x14ac:dyDescent="0.25">
      <c r="B166" s="8" t="s">
        <v>133</v>
      </c>
    </row>
    <row spans="1:37" r="167" x14ac:dyDescent="0.25">
      <c r="B167" s="8" t="s">
        <v>134</v>
      </c>
      <c r="J167" s="156"/>
    </row>
    <row spans="1:37" r="168" x14ac:dyDescent="0.25">
      <c r="B168" s="8" t="s">
        <v>135</v>
      </c>
      <c r="J168" s="156"/>
    </row>
    <row spans="1:37" r="169" x14ac:dyDescent="0.25">
      <c r="B169" s="8" t="s">
        <v>136</v>
      </c>
      <c r="J169" s="156"/>
    </row>
    <row spans="1:37" r="170" x14ac:dyDescent="0.25">
      <c r="B170" s="8" t="s">
        <v>137</v>
      </c>
      <c r="J170" s="156"/>
    </row>
    <row spans="1:37" r="171" x14ac:dyDescent="0.25">
      <c r="B171" s="8" t="s">
        <v>138</v>
      </c>
    </row>
    <row spans="1:37" r="172" x14ac:dyDescent="0.25">
      <c r="B172" s="8" t="s">
        <v>139</v>
      </c>
    </row>
    <row spans="1:37" r="173" x14ac:dyDescent="0.25">
      <c r="B173" s="8" t="s">
        <v>140</v>
      </c>
    </row>
    <row spans="1:37" r="175" x14ac:dyDescent="0.25">
      <c r="A175" s="8" t="s">
        <v>7</v>
      </c>
      <c r="B175" s="31" t="s">
        <v>102</v>
      </c>
      <c r="C175" s="33"/>
      <c r="F175" s="31" t="s">
        <v>98</v>
      </c>
      <c r="G175" s="32"/>
      <c r="H175" s="33"/>
    </row>
    <row spans="1:37" r="176" x14ac:dyDescent="0.25">
      <c r="B176" s="159" t="s">
        <v>103</v>
      </c>
      <c r="C176" s="283">
        <f>SUM(C161:W161)</f>
        <v>2246751.4793821196</v>
      </c>
      <c r="F176" s="72" t="s">
        <v>99</v>
      </c>
      <c r="G176" s="24" t="s">
        <v>100</v>
      </c>
      <c r="H176" s="285" t="s">
        <v>101</v>
      </c>
    </row>
    <row spans="2:10" r="177" x14ac:dyDescent="0.25">
      <c r="B177" s="159" t="s">
        <v>104</v>
      </c>
      <c r="C177" s="283">
        <f>SUM('Liquidity Position'!E6:E7)</f>
        <v>510000</v>
      </c>
      <c r="F177" s="286">
        <f>G177-0.005</f>
        <v>8.7732112753142258E-2</v>
      </c>
      <c r="G177" s="157">
        <f>WACC!C23</f>
        <v>9.2732112753142262E-2</v>
      </c>
      <c r="H177" s="287">
        <f>G177+0.005</f>
        <v>9.7732112753142267E-2</v>
      </c>
    </row>
    <row spans="2:10" r="178" x14ac:dyDescent="0.25">
      <c r="B178" s="159" t="s">
        <v>141</v>
      </c>
      <c r="C178" s="283">
        <f>'Liquidity Position'!E8*0.5</f>
        <v>247752</v>
      </c>
      <c r="F178" s="159"/>
      <c r="H178" s="288"/>
    </row>
    <row spans="2:10" r="179" x14ac:dyDescent="0.25">
      <c r="B179" s="159" t="s">
        <v>142</v>
      </c>
      <c r="C179" s="283">
        <f>'Liquidity Position'!E9*0.5</f>
        <v>65766.2</v>
      </c>
      <c r="F179" s="72" t="s">
        <v>101</v>
      </c>
      <c r="G179" s="24" t="s">
        <v>100</v>
      </c>
      <c r="H179" s="285" t="s">
        <v>99</v>
      </c>
    </row>
    <row spans="2:10" r="180" x14ac:dyDescent="0.25">
      <c r="B180" s="159" t="s">
        <v>143</v>
      </c>
      <c r="C180" s="283">
        <f>'Liquidity Position'!E10*0.5</f>
        <v>24000</v>
      </c>
      <c r="F180" s="289">
        <v>16.190000000000001</v>
      </c>
      <c r="G180" s="290">
        <v>16.760000000000002</v>
      </c>
      <c r="H180" s="291">
        <v>17.37</v>
      </c>
    </row>
    <row spans="2:10" r="181" x14ac:dyDescent="0.25">
      <c r="B181" s="159" t="s">
        <v>108</v>
      </c>
      <c r="C181" s="283">
        <v>400000</v>
      </c>
    </row>
    <row spans="2:10" r="182" x14ac:dyDescent="0.25">
      <c r="B182" s="159" t="s">
        <v>109</v>
      </c>
      <c r="C182" s="283">
        <f>WACC!C20*1000</f>
        <v>1656000</v>
      </c>
    </row>
    <row spans="2:10" r="183" x14ac:dyDescent="0.25">
      <c r="B183" s="159" t="s">
        <v>110</v>
      </c>
      <c r="C183" s="283">
        <f>WACC!C18*1000</f>
        <v>108222.60400000001</v>
      </c>
    </row>
    <row spans="2:10" r="184" x14ac:dyDescent="0.25">
      <c r="B184" s="273" t="s">
        <v>144</v>
      </c>
      <c r="C184" s="284">
        <f>(SUM(C176:C181)-C182)/C183</f>
        <v>16.986004877337084</v>
      </c>
    </row>
    <row spans="2:10" r="186" x14ac:dyDescent="0.25">
      <c r="B186" s="152">
        <f>B174</f>
        <v>0</v>
      </c>
      <c r="C186" s="152"/>
    </row>
    <row spans="2:10" r="187" x14ac:dyDescent="0.25">
      <c r="B187" s="24" t="str">
        <f>B175</f>
        <v>Sum of the Parts Valuation</v>
      </c>
      <c r="C187" s="370"/>
    </row>
    <row spans="2:10" r="188" x14ac:dyDescent="0.25">
      <c r="B188" s="8" t="str">
        <f ref="B188:B195" t="shared" si="84">B176</f>
        <v>PV of FLNG Cash Flows</v>
      </c>
      <c r="C188" s="271">
        <f>C176/$C$183</f>
        <v>20.760464046698779</v>
      </c>
      <c r="F188" s="2"/>
      <c r="G188" s="2" t="s">
        <v>560</v>
      </c>
      <c r="H188" s="2" t="s">
        <v>561</v>
      </c>
      <c r="I188" s="2" t="s">
        <v>562</v>
      </c>
      <c r="J188" s="2" t="s">
        <v>563</v>
      </c>
    </row>
    <row spans="2:10" r="189" x14ac:dyDescent="0.25">
      <c r="B189" s="8" t="str">
        <f t="shared" si="84"/>
        <v>Cash</v>
      </c>
      <c r="C189" s="271">
        <f ref="C189:C194" t="shared" si="85">C177/$C$183</f>
        <v>4.7125090429352445</v>
      </c>
      <c r="F189" s="2" t="s">
        <v>163</v>
      </c>
      <c r="G189" s="2"/>
      <c r="H189" s="2"/>
      <c r="I189" s="2"/>
      <c r="J189" s="205">
        <f>C188</f>
        <v>20.760464046698779</v>
      </c>
    </row>
    <row spans="2:10" r="190" x14ac:dyDescent="0.25">
      <c r="B190" s="8" t="str">
        <f t="shared" si="84"/>
        <v>NFE Shares fall 50%</v>
      </c>
      <c r="C190" s="271">
        <f t="shared" si="85"/>
        <v>2.2892814517750839</v>
      </c>
      <c r="F190" s="2" t="str">
        <f>B189</f>
        <v>Cash</v>
      </c>
      <c r="G190" s="205">
        <f>J189</f>
        <v>20.760464046698779</v>
      </c>
      <c r="H190" s="2"/>
      <c r="I190" s="205">
        <f>C189</f>
        <v>4.7125090429352445</v>
      </c>
      <c r="J190" s="2"/>
    </row>
    <row spans="2:10" r="191" x14ac:dyDescent="0.25">
      <c r="B191" s="8" t="str">
        <f t="shared" si="84"/>
        <v>CoolCo Shares fall 50%</v>
      </c>
      <c r="C191" s="271">
        <f t="shared" si="85"/>
        <v>0.60769374944997623</v>
      </c>
      <c r="F191" s="2" t="str">
        <f ref="F191:F196" t="shared" si="86">B190</f>
        <v>NFE Shares fall 50%</v>
      </c>
      <c r="G191" s="2">
        <f>SUM(G190:I190)</f>
        <v>25.472973089634024</v>
      </c>
      <c r="H191" s="2"/>
      <c r="I191" s="205">
        <f>C190</f>
        <v>2.2892814517750839</v>
      </c>
      <c r="J191" s="2"/>
    </row>
    <row spans="2:10" r="192" x14ac:dyDescent="0.25">
      <c r="B192" s="8" t="str">
        <f t="shared" si="84"/>
        <v>Avenier LNG Shares fall 50%</v>
      </c>
      <c r="C192" s="271">
        <f t="shared" si="85"/>
        <v>0.2217651314322468</v>
      </c>
      <c r="F192" s="2" t="str">
        <f t="shared" si="86"/>
        <v>CoolCo Shares fall 50%</v>
      </c>
      <c r="G192" s="2">
        <f ref="G192:G194" t="shared" si="87">SUM(G191:I191)</f>
        <v>27.762254541409106</v>
      </c>
      <c r="H192" s="2"/>
      <c r="I192" s="205">
        <f>C191</f>
        <v>0.60769374944997623</v>
      </c>
      <c r="J192" s="2"/>
    </row>
    <row spans="2:10" r="193" x14ac:dyDescent="0.25">
      <c r="B193" s="8" t="str">
        <f t="shared" si="84"/>
        <v>Golar Tundra FLNG Valued at 400m</v>
      </c>
      <c r="C193" s="271">
        <f t="shared" si="85"/>
        <v>3.6960855238707802</v>
      </c>
      <c r="F193" s="2" t="str">
        <f t="shared" si="86"/>
        <v>Avenier LNG Shares fall 50%</v>
      </c>
      <c r="G193" s="2">
        <f t="shared" si="87"/>
        <v>28.369948290859082</v>
      </c>
      <c r="H193" s="2"/>
      <c r="I193" s="205">
        <f>C192</f>
        <v>0.2217651314322468</v>
      </c>
      <c r="J193" s="2"/>
    </row>
    <row spans="2:10" r="194" x14ac:dyDescent="0.25">
      <c r="B194" s="8" t="str">
        <f t="shared" si="84"/>
        <v>Debt</v>
      </c>
      <c r="C194" s="271">
        <f t="shared" si="85"/>
        <v>15.30179406882503</v>
      </c>
      <c r="F194" s="2" t="str">
        <f t="shared" si="86"/>
        <v>Golar Tundra FLNG Valued at 400m</v>
      </c>
      <c r="G194" s="2">
        <f t="shared" si="87"/>
        <v>28.591713422291328</v>
      </c>
      <c r="H194" s="2"/>
      <c r="I194" s="205">
        <f>C193</f>
        <v>3.6960855238707802</v>
      </c>
      <c r="J194" s="2"/>
    </row>
    <row spans="2:10" r="195" x14ac:dyDescent="0.25">
      <c r="B195" s="8" t="str">
        <f t="shared" si="84"/>
        <v>Shares Outstanding</v>
      </c>
      <c r="C195" s="156">
        <f>C183</f>
        <v>108222.60400000001</v>
      </c>
      <c r="F195" s="2" t="str">
        <f t="shared" si="86"/>
        <v>Debt</v>
      </c>
      <c r="G195" s="2">
        <v>15.30179406882503</v>
      </c>
      <c r="H195" s="2"/>
      <c r="I195" s="2">
        <v>15.30179406882503</v>
      </c>
      <c r="J195" s="2"/>
    </row>
    <row spans="2:10" r="196" x14ac:dyDescent="0.25">
      <c r="F196" s="2" t="s">
        <v>712</v>
      </c>
      <c r="G196" s="2"/>
      <c r="H196" s="2"/>
      <c r="I196" s="205">
        <v>17.024455818486786</v>
      </c>
      <c r="J196" s="2"/>
    </row>
  </sheetData>
  <pageMargins top="0.75" left="0.7" footer="0.3" bottom="0.75" header="0.3" right="0.7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2881-6D20-4F40-87DC-DAE3DE438B3B}">
  <dimension ref="A1:AB84"/>
  <sheetViews>
    <sheetView showGridLines="0" workbookViewId="0">
      <pane xSplit="2" ySplit="9" topLeftCell="J13" activePane="bottomRight" state="frozen"/>
      <selection pane="topRight" activeCell="C2" sqref="C2"/>
      <selection pane="bottomLeft" activeCell="A10" sqref="A10"/>
      <selection pane="bottomRight" activeCell="R13" sqref="R13"/>
    </sheetView>
  </sheetViews>
  <sheetFormatPr defaultColWidth="8.5703125" defaultRowHeight="15.75" outlineLevelRow="1" outlineLevelCol="2" x14ac:dyDescent="0.25"/>
  <cols>
    <col min="1" max="1" width="1.85546875" style="80" bestFit="1" customWidth="1"/>
    <col min="2" max="2" width="32.42578125" style="80" bestFit="1" customWidth="1"/>
    <col min="3" max="3" width="15.5703125" style="80" customWidth="1"/>
    <col min="4" max="5" width="15.5703125" style="80" customWidth="1" outlineLevel="2"/>
    <col min="6" max="6" width="19.42578125" style="80" customWidth="1" outlineLevel="2"/>
    <col min="7" max="9" width="15.5703125" style="80" customWidth="1" outlineLevel="2"/>
    <col min="10" max="10" width="17.7109375" style="80" customWidth="1" outlineLevel="2"/>
    <col min="11" max="13" width="15.5703125" style="80" customWidth="1" outlineLevel="2"/>
    <col min="14" max="14" width="16.85546875" style="80" bestFit="1" customWidth="1" outlineLevel="2"/>
    <col min="15" max="15" width="15.5703125" style="80" customWidth="1" outlineLevel="2"/>
    <col min="16" max="16" width="17" style="80" customWidth="1" outlineLevel="1"/>
    <col min="17" max="17" width="18.5703125" style="80" bestFit="1" customWidth="1" outlineLevel="1"/>
    <col min="18" max="18" width="22.7109375" style="80" bestFit="1" customWidth="1" outlineLevel="1"/>
    <col min="19" max="19" width="22.140625" style="80" bestFit="1" customWidth="1" outlineLevel="1"/>
    <col min="20" max="20" width="25.5703125" style="80" hidden="1" customWidth="1" outlineLevel="1"/>
    <col min="21" max="21" width="22.85546875" style="80" bestFit="1" customWidth="1"/>
    <col min="22" max="22" width="2.140625" style="80" bestFit="1" customWidth="1"/>
    <col min="23" max="23" width="2.140625" style="80" customWidth="1"/>
    <col min="24" max="24" width="11.42578125" style="80" bestFit="1" customWidth="1"/>
    <col min="25" max="25" width="10" style="80" bestFit="1" customWidth="1"/>
    <col min="26" max="16384" width="8.5703125" style="80"/>
  </cols>
  <sheetData>
    <row r="1" spans="1:28" x14ac:dyDescent="0.25">
      <c r="A1" s="10"/>
      <c r="B1" s="10"/>
      <c r="C1" s="10">
        <v>2</v>
      </c>
      <c r="D1" s="10">
        <f>C1+1</f>
        <v>3</v>
      </c>
      <c r="E1" s="10">
        <f t="shared" ref="E1:K1" si="0">D1+1</f>
        <v>4</v>
      </c>
      <c r="F1" s="10">
        <f t="shared" si="0"/>
        <v>5</v>
      </c>
      <c r="G1" s="10">
        <f t="shared" si="0"/>
        <v>6</v>
      </c>
      <c r="H1" s="10">
        <f t="shared" si="0"/>
        <v>7</v>
      </c>
      <c r="I1" s="10">
        <f t="shared" si="0"/>
        <v>8</v>
      </c>
      <c r="J1" s="10">
        <f t="shared" si="0"/>
        <v>9</v>
      </c>
      <c r="K1" s="10">
        <f t="shared" si="0"/>
        <v>10</v>
      </c>
      <c r="L1" s="10">
        <f t="shared" ref="L1" si="1">K1+1</f>
        <v>11</v>
      </c>
      <c r="M1" s="10">
        <f t="shared" ref="M1" si="2">L1+1</f>
        <v>12</v>
      </c>
      <c r="N1" s="10">
        <f t="shared" ref="N1" si="3">M1+1</f>
        <v>13</v>
      </c>
      <c r="O1" s="10">
        <f t="shared" ref="O1" si="4">N1+1</f>
        <v>14</v>
      </c>
      <c r="P1" s="10">
        <f t="shared" ref="P1" si="5">O1+1</f>
        <v>15</v>
      </c>
      <c r="Q1" s="10">
        <f t="shared" ref="Q1" si="6">P1+1</f>
        <v>16</v>
      </c>
      <c r="R1" s="10">
        <f t="shared" ref="R1" si="7">Q1+1</f>
        <v>17</v>
      </c>
      <c r="S1" s="10">
        <f t="shared" ref="S1" si="8">R1+1</f>
        <v>18</v>
      </c>
      <c r="T1" s="10" t="e">
        <f>#REF!+1</f>
        <v>#REF!</v>
      </c>
      <c r="U1" s="10"/>
      <c r="V1" s="10"/>
      <c r="W1" s="10"/>
    </row>
    <row r="2" spans="1:28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8" x14ac:dyDescent="0.25">
      <c r="A3" s="10"/>
      <c r="B3" s="256" t="s">
        <v>145</v>
      </c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8"/>
      <c r="T3" s="81"/>
      <c r="X3" s="82"/>
      <c r="Y3" s="82"/>
      <c r="Z3" s="82"/>
      <c r="AA3" s="82"/>
      <c r="AB3" s="82"/>
    </row>
    <row r="4" spans="1:28" x14ac:dyDescent="0.25">
      <c r="A4" s="10"/>
      <c r="B4" s="259" t="s">
        <v>146</v>
      </c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1"/>
      <c r="T4" s="83"/>
      <c r="X4" s="84"/>
      <c r="Y4" s="84"/>
      <c r="Z4" s="84"/>
      <c r="AA4" s="84"/>
      <c r="AB4" s="84"/>
    </row>
    <row r="5" spans="1:28" x14ac:dyDescent="0.25">
      <c r="A5" s="10"/>
      <c r="B5" s="60" t="s">
        <v>147</v>
      </c>
      <c r="C5" s="231">
        <v>44678</v>
      </c>
      <c r="D5" s="232"/>
      <c r="E5" s="232"/>
      <c r="F5" s="232"/>
      <c r="G5" s="233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1"/>
      <c r="T5" s="10"/>
    </row>
    <row r="6" spans="1:28" x14ac:dyDescent="0.25">
      <c r="A6" s="10"/>
      <c r="B6" s="86" t="s">
        <v>148</v>
      </c>
      <c r="C6" s="85" t="s">
        <v>149</v>
      </c>
      <c r="D6" s="85" t="s">
        <v>150</v>
      </c>
      <c r="E6" s="85" t="s">
        <v>151</v>
      </c>
      <c r="F6" s="85" t="s">
        <v>110</v>
      </c>
      <c r="G6" s="85" t="s">
        <v>152</v>
      </c>
      <c r="H6" s="85" t="s">
        <v>104</v>
      </c>
      <c r="I6" s="85" t="s">
        <v>109</v>
      </c>
      <c r="J6" s="85" t="s">
        <v>153</v>
      </c>
      <c r="K6" s="85" t="s">
        <v>154</v>
      </c>
      <c r="L6" s="85" t="s">
        <v>155</v>
      </c>
      <c r="M6" s="85" t="s">
        <v>156</v>
      </c>
      <c r="N6" s="85" t="s">
        <v>157</v>
      </c>
      <c r="O6" s="85" t="s">
        <v>158</v>
      </c>
      <c r="P6" s="85" t="s">
        <v>159</v>
      </c>
      <c r="Q6" s="85" t="str">
        <f>_xlfn.CONCAT($K$6,"/ ",M6)</f>
        <v>EV/ 2023E EBIT</v>
      </c>
      <c r="R6" s="85" t="s">
        <v>160</v>
      </c>
      <c r="S6" s="234" t="str">
        <f>_xlfn.CONCAT($K$6,"/ ",O6)</f>
        <v>EV/ 2023E EBITDA</v>
      </c>
      <c r="T6" s="85" t="s">
        <v>161</v>
      </c>
    </row>
    <row r="7" spans="1:28" x14ac:dyDescent="0.25">
      <c r="A7" s="10" t="s">
        <v>7</v>
      </c>
      <c r="B7" s="87" t="s">
        <v>0</v>
      </c>
      <c r="C7" s="88" t="str">
        <f>VLOOKUP($B$7,$B$8:$T$19,C1,)</f>
        <v>GLNG</v>
      </c>
      <c r="D7" s="88" t="str">
        <f>VLOOKUP($B$7,$B$8:$T$19,D1,)</f>
        <v>FLNG</v>
      </c>
      <c r="E7" s="88">
        <f>VLOOKUP($B$7,$B$9:$T$19,E1,)</f>
        <v>22.38</v>
      </c>
      <c r="F7" s="88">
        <f t="shared" ref="F7:T7" si="9">VLOOKUP($B$7,$B$8:$T$19,F1,)</f>
        <v>109.943594</v>
      </c>
      <c r="G7" s="88">
        <f t="shared" si="9"/>
        <v>2460.53763372</v>
      </c>
      <c r="H7" s="88">
        <f t="shared" si="9"/>
        <v>1185.0364</v>
      </c>
      <c r="I7" s="88">
        <f t="shared" si="9"/>
        <v>1656</v>
      </c>
      <c r="J7" s="88">
        <f t="shared" si="9"/>
        <v>0</v>
      </c>
      <c r="K7" s="88">
        <f t="shared" si="9"/>
        <v>2931.5012337199996</v>
      </c>
      <c r="L7" s="88">
        <f>VLOOKUP($B$7,$B$8:$T$19,L1,)</f>
        <v>295.3909646474354</v>
      </c>
      <c r="M7" s="88">
        <f t="shared" si="9"/>
        <v>266.50321054546379</v>
      </c>
      <c r="N7" s="88">
        <f t="shared" si="9"/>
        <v>335.3909646474354</v>
      </c>
      <c r="O7" s="88">
        <f t="shared" si="9"/>
        <v>316.50321054546379</v>
      </c>
      <c r="P7" s="89">
        <f t="shared" si="9"/>
        <v>9.9241398165949324</v>
      </c>
      <c r="Q7" s="89">
        <f t="shared" si="9"/>
        <v>10.999872113059981</v>
      </c>
      <c r="R7" s="89">
        <f t="shared" si="9"/>
        <v>8.7405492178407602</v>
      </c>
      <c r="S7" s="235">
        <f t="shared" si="9"/>
        <v>9.2621532295607061</v>
      </c>
      <c r="T7" s="88" t="e">
        <f t="shared" si="9"/>
        <v>#REF!</v>
      </c>
    </row>
    <row r="8" spans="1:28" outlineLevel="1" x14ac:dyDescent="0.25">
      <c r="A8" s="10"/>
      <c r="B8" s="90"/>
      <c r="C8" s="91"/>
      <c r="D8" s="91"/>
      <c r="E8" s="92"/>
      <c r="F8" s="92"/>
      <c r="G8" s="93"/>
      <c r="H8" s="93"/>
      <c r="I8" s="93"/>
      <c r="J8" s="93"/>
      <c r="K8" s="93"/>
      <c r="L8" s="93"/>
      <c r="M8" s="93"/>
      <c r="N8" s="93"/>
      <c r="O8" s="93"/>
      <c r="P8" s="94"/>
      <c r="Q8" s="94"/>
      <c r="R8" s="94"/>
      <c r="S8" s="236"/>
      <c r="T8" s="95"/>
    </row>
    <row r="9" spans="1:28" outlineLevel="1" x14ac:dyDescent="0.25">
      <c r="A9" s="10" t="s">
        <v>7</v>
      </c>
      <c r="B9" s="9" t="s">
        <v>0</v>
      </c>
      <c r="C9" s="96" t="s">
        <v>162</v>
      </c>
      <c r="D9" s="96" t="s">
        <v>163</v>
      </c>
      <c r="E9" s="97">
        <v>22.38</v>
      </c>
      <c r="F9" s="98">
        <f>109943594/1000000</f>
        <v>109.943594</v>
      </c>
      <c r="G9" s="99">
        <f>E9*F9</f>
        <v>2460.53763372</v>
      </c>
      <c r="H9" s="100">
        <f>'Liquidity Position'!E11/1000</f>
        <v>1185.0364</v>
      </c>
      <c r="I9" s="100">
        <f>WACC!C20</f>
        <v>1656</v>
      </c>
      <c r="J9" s="100">
        <v>0</v>
      </c>
      <c r="K9" s="99">
        <f>G9+I9+J9-H9</f>
        <v>2931.5012337199996</v>
      </c>
      <c r="L9" s="100">
        <f>Base!C150/1000</f>
        <v>295.3909646474354</v>
      </c>
      <c r="M9" s="100">
        <f>Base!D150/1000</f>
        <v>266.50321054546379</v>
      </c>
      <c r="N9" s="100">
        <f>Base!F84/1000</f>
        <v>335.3909646474354</v>
      </c>
      <c r="O9" s="100">
        <f>Base!G84/1000</f>
        <v>316.50321054546379</v>
      </c>
      <c r="P9" s="101">
        <f t="shared" ref="P9:R10" si="10">$K9/L9</f>
        <v>9.9241398165949324</v>
      </c>
      <c r="Q9" s="101">
        <f t="shared" si="10"/>
        <v>10.999872113059981</v>
      </c>
      <c r="R9" s="101">
        <f t="shared" si="10"/>
        <v>8.7405492178407602</v>
      </c>
      <c r="S9" s="237">
        <f t="shared" ref="S9:S19" si="11">$K9/O9</f>
        <v>9.2621532295607061</v>
      </c>
      <c r="T9" s="102" t="e">
        <f>I9-H9/#REF!</f>
        <v>#REF!</v>
      </c>
    </row>
    <row r="10" spans="1:28" outlineLevel="1" x14ac:dyDescent="0.25">
      <c r="A10" s="10"/>
      <c r="B10" s="9" t="s">
        <v>164</v>
      </c>
      <c r="C10" s="50" t="s">
        <v>165</v>
      </c>
      <c r="D10" s="50" t="s">
        <v>165</v>
      </c>
      <c r="E10" s="97">
        <v>139.53</v>
      </c>
      <c r="F10" s="103">
        <f>254385409/1000000</f>
        <v>254.38540900000001</v>
      </c>
      <c r="G10" s="99">
        <f t="shared" ref="G10:G13" si="12">E10*F10</f>
        <v>35494.396117770004</v>
      </c>
      <c r="H10" s="99">
        <v>1404</v>
      </c>
      <c r="I10" s="99">
        <v>31950</v>
      </c>
      <c r="J10" s="99">
        <v>2538</v>
      </c>
      <c r="K10" s="99">
        <f t="shared" ref="K10:K13" si="13">G10+I10+J10-H10</f>
        <v>68578.396117769997</v>
      </c>
      <c r="L10" s="99">
        <v>6449.8</v>
      </c>
      <c r="M10" s="99">
        <v>5699.8</v>
      </c>
      <c r="N10" s="99">
        <v>7499.5</v>
      </c>
      <c r="O10" s="99">
        <v>6780.4</v>
      </c>
      <c r="P10" s="101">
        <f t="shared" si="10"/>
        <v>10.632639169861081</v>
      </c>
      <c r="Q10" s="101">
        <f t="shared" si="10"/>
        <v>12.031719730125618</v>
      </c>
      <c r="R10" s="101">
        <f t="shared" si="10"/>
        <v>9.1443957754210281</v>
      </c>
      <c r="S10" s="237">
        <f t="shared" si="11"/>
        <v>10.114210978374432</v>
      </c>
      <c r="T10" s="104" t="e">
        <f>I10-H10/#REF!</f>
        <v>#REF!</v>
      </c>
      <c r="X10" s="105"/>
    </row>
    <row r="11" spans="1:28" outlineLevel="1" x14ac:dyDescent="0.25">
      <c r="A11" s="10"/>
      <c r="B11" s="9" t="s">
        <v>166</v>
      </c>
      <c r="C11" s="50" t="s">
        <v>167</v>
      </c>
      <c r="D11" s="50" t="s">
        <v>165</v>
      </c>
      <c r="E11" s="97">
        <v>53.05</v>
      </c>
      <c r="F11" s="103">
        <f>484027123/1000000</f>
        <v>484.02712300000002</v>
      </c>
      <c r="G11" s="99">
        <f t="shared" si="12"/>
        <v>25677.638875149998</v>
      </c>
      <c r="H11" s="99">
        <v>876</v>
      </c>
      <c r="I11" s="99">
        <v>17274</v>
      </c>
      <c r="J11" s="99">
        <v>0</v>
      </c>
      <c r="K11" s="99">
        <f t="shared" si="13"/>
        <v>42075.638875149998</v>
      </c>
      <c r="L11" s="99">
        <v>3285.9</v>
      </c>
      <c r="M11" s="99">
        <v>3226.9</v>
      </c>
      <c r="N11" s="99">
        <v>387.8</v>
      </c>
      <c r="O11" s="99">
        <v>3811.1</v>
      </c>
      <c r="P11" s="101">
        <f t="shared" ref="P11:P19" si="14">$K11/L11</f>
        <v>12.804905467345323</v>
      </c>
      <c r="Q11" s="101">
        <f t="shared" ref="Q11:Q19" si="15">$K11/M11</f>
        <v>13.039027820865225</v>
      </c>
      <c r="R11" s="144"/>
      <c r="S11" s="237">
        <f t="shared" si="11"/>
        <v>11.04028728586235</v>
      </c>
      <c r="T11" s="104"/>
      <c r="X11" s="105"/>
    </row>
    <row r="12" spans="1:28" outlineLevel="1" x14ac:dyDescent="0.25">
      <c r="A12" s="10"/>
      <c r="B12" s="9" t="s">
        <v>168</v>
      </c>
      <c r="C12" s="50" t="s">
        <v>169</v>
      </c>
      <c r="D12" s="50" t="s">
        <v>170</v>
      </c>
      <c r="E12" s="97">
        <v>6.47</v>
      </c>
      <c r="F12" s="103">
        <f>33361042/1000000</f>
        <v>33.361041999999998</v>
      </c>
      <c r="G12" s="99">
        <f t="shared" si="12"/>
        <v>215.84594173999997</v>
      </c>
      <c r="H12" s="99">
        <v>42.5</v>
      </c>
      <c r="I12" s="99">
        <v>411</v>
      </c>
      <c r="J12" s="99">
        <v>176.1</v>
      </c>
      <c r="K12" s="99">
        <f t="shared" si="13"/>
        <v>760.44594173999997</v>
      </c>
      <c r="L12" s="99">
        <v>92.5</v>
      </c>
      <c r="M12" s="99">
        <v>92.9</v>
      </c>
      <c r="N12" s="99">
        <v>120</v>
      </c>
      <c r="O12" s="99">
        <v>120.3</v>
      </c>
      <c r="P12" s="101">
        <f t="shared" si="14"/>
        <v>8.2210372080000003</v>
      </c>
      <c r="Q12" s="101">
        <f t="shared" si="15"/>
        <v>8.1856398465016138</v>
      </c>
      <c r="R12" s="101">
        <f t="shared" ref="R12:R19" si="16">$K12/N12</f>
        <v>6.3370495144999994</v>
      </c>
      <c r="S12" s="237">
        <f t="shared" si="11"/>
        <v>6.3212463985037406</v>
      </c>
      <c r="T12" s="104"/>
      <c r="X12" s="105"/>
    </row>
    <row r="13" spans="1:28" outlineLevel="1" x14ac:dyDescent="0.25">
      <c r="A13" s="10"/>
      <c r="B13" s="9" t="s">
        <v>171</v>
      </c>
      <c r="C13" s="50" t="s">
        <v>172</v>
      </c>
      <c r="D13" s="50" t="s">
        <v>173</v>
      </c>
      <c r="E13" s="97">
        <v>39.99</v>
      </c>
      <c r="F13" s="103">
        <f>206863242/1000000</f>
        <v>206.86324200000001</v>
      </c>
      <c r="G13" s="99">
        <f t="shared" si="12"/>
        <v>8272.4610475800018</v>
      </c>
      <c r="H13" s="99">
        <v>187.5</v>
      </c>
      <c r="I13" s="99">
        <v>4136.3</v>
      </c>
      <c r="J13" s="99">
        <v>202.5</v>
      </c>
      <c r="K13" s="99">
        <f t="shared" si="13"/>
        <v>12423.761047580003</v>
      </c>
      <c r="L13" s="99">
        <v>614.79999999999995</v>
      </c>
      <c r="M13" s="99">
        <v>1093.8</v>
      </c>
      <c r="N13" s="99">
        <v>757.1</v>
      </c>
      <c r="O13" s="99">
        <v>1070.5999999999999</v>
      </c>
      <c r="P13" s="101">
        <f t="shared" si="14"/>
        <v>20.207809120982439</v>
      </c>
      <c r="Q13" s="101">
        <f t="shared" si="15"/>
        <v>11.358348004735786</v>
      </c>
      <c r="R13" s="101">
        <f t="shared" si="16"/>
        <v>16.409669855474842</v>
      </c>
      <c r="S13" s="237">
        <f t="shared" si="11"/>
        <v>11.604484445712687</v>
      </c>
      <c r="T13" s="104" t="e">
        <f>I13-H13/#REF!</f>
        <v>#REF!</v>
      </c>
      <c r="U13" s="80" t="s">
        <v>174</v>
      </c>
      <c r="X13" s="105"/>
    </row>
    <row r="14" spans="1:28" outlineLevel="1" x14ac:dyDescent="0.25">
      <c r="A14" s="10"/>
      <c r="B14" s="9" t="s">
        <v>175</v>
      </c>
      <c r="C14" s="50" t="s">
        <v>176</v>
      </c>
      <c r="D14" s="50" t="s">
        <v>165</v>
      </c>
      <c r="E14" s="97">
        <v>164.44</v>
      </c>
      <c r="F14" s="103">
        <f>315772021/1000000</f>
        <v>315.772021</v>
      </c>
      <c r="G14" s="99">
        <f t="shared" ref="G14:G19" si="17">E14*F14</f>
        <v>51925.551133239998</v>
      </c>
      <c r="H14" s="99">
        <v>559</v>
      </c>
      <c r="I14" s="99">
        <v>25164</v>
      </c>
      <c r="J14" s="99">
        <v>2305</v>
      </c>
      <c r="K14" s="99">
        <f t="shared" ref="K14:K19" si="18">G14+I14+J14-H14</f>
        <v>78835.551133239991</v>
      </c>
      <c r="L14" s="99">
        <v>3396.9</v>
      </c>
      <c r="M14" s="99">
        <v>3591.4</v>
      </c>
      <c r="N14" s="99">
        <v>5753.3</v>
      </c>
      <c r="O14" s="99">
        <v>6102.5</v>
      </c>
      <c r="P14" s="101">
        <f t="shared" si="14"/>
        <v>23.208087118619915</v>
      </c>
      <c r="Q14" s="101">
        <f t="shared" si="15"/>
        <v>21.951203189073897</v>
      </c>
      <c r="R14" s="101">
        <f t="shared" si="16"/>
        <v>13.702666492837153</v>
      </c>
      <c r="S14" s="237">
        <f t="shared" si="11"/>
        <v>12.918566347110199</v>
      </c>
      <c r="T14" s="104" t="e">
        <f>I14-H14/#REF!</f>
        <v>#REF!</v>
      </c>
      <c r="X14" s="105"/>
    </row>
    <row r="15" spans="1:28" outlineLevel="1" x14ac:dyDescent="0.25">
      <c r="A15" s="10"/>
      <c r="B15" s="9" t="s">
        <v>177</v>
      </c>
      <c r="C15" s="50" t="s">
        <v>178</v>
      </c>
      <c r="D15" s="50" t="s">
        <v>179</v>
      </c>
      <c r="E15" s="97">
        <v>18.440000000000001</v>
      </c>
      <c r="F15" s="103">
        <f>2267468356/1000000</f>
        <v>2267.4683559999999</v>
      </c>
      <c r="G15" s="99">
        <f t="shared" si="17"/>
        <v>41812.116484639999</v>
      </c>
      <c r="H15" s="99">
        <v>1140</v>
      </c>
      <c r="I15" s="99">
        <v>33635</v>
      </c>
      <c r="J15" s="99">
        <v>1140</v>
      </c>
      <c r="K15" s="99">
        <f t="shared" si="18"/>
        <v>75447.116484639992</v>
      </c>
      <c r="L15" s="99">
        <v>4389</v>
      </c>
      <c r="M15" s="99">
        <v>4497.8</v>
      </c>
      <c r="N15" s="99">
        <v>7256.1</v>
      </c>
      <c r="O15" s="99">
        <v>7358.2</v>
      </c>
      <c r="P15" s="101">
        <f t="shared" si="14"/>
        <v>17.190047045942126</v>
      </c>
      <c r="Q15" s="101">
        <f t="shared" si="15"/>
        <v>16.774226618489038</v>
      </c>
      <c r="R15" s="101">
        <f t="shared" si="16"/>
        <v>10.39775037342925</v>
      </c>
      <c r="S15" s="237">
        <f t="shared" si="11"/>
        <v>10.253474556907939</v>
      </c>
      <c r="T15" s="104"/>
      <c r="X15" s="105"/>
    </row>
    <row r="16" spans="1:28" outlineLevel="1" x14ac:dyDescent="0.25">
      <c r="A16" s="10"/>
      <c r="B16" s="9" t="s">
        <v>180</v>
      </c>
      <c r="C16" s="50" t="s">
        <v>181</v>
      </c>
      <c r="D16" s="50" t="s">
        <v>179</v>
      </c>
      <c r="E16" s="97">
        <v>55.04</v>
      </c>
      <c r="F16" s="103">
        <f>980827927/1000000</f>
        <v>980.82792700000005</v>
      </c>
      <c r="G16" s="99">
        <f t="shared" si="17"/>
        <v>53984.769102080005</v>
      </c>
      <c r="H16" s="99">
        <v>673</v>
      </c>
      <c r="I16" s="99">
        <v>53195</v>
      </c>
      <c r="J16" s="99">
        <v>3612</v>
      </c>
      <c r="K16" s="99">
        <f t="shared" si="18"/>
        <v>110118.76910208</v>
      </c>
      <c r="L16" s="99">
        <v>7220</v>
      </c>
      <c r="M16" s="99">
        <v>7652.2</v>
      </c>
      <c r="N16" s="99">
        <v>9698.2999999999993</v>
      </c>
      <c r="O16" s="99">
        <v>10237.700000000001</v>
      </c>
      <c r="P16" s="101">
        <f t="shared" si="14"/>
        <v>15.251907077850415</v>
      </c>
      <c r="Q16" s="101">
        <f t="shared" si="15"/>
        <v>14.390471903776692</v>
      </c>
      <c r="R16" s="101">
        <f t="shared" si="16"/>
        <v>11.354440376362868</v>
      </c>
      <c r="S16" s="237">
        <f t="shared" si="11"/>
        <v>10.756201988931107</v>
      </c>
      <c r="T16" s="104"/>
      <c r="U16" s="80" t="s">
        <v>182</v>
      </c>
      <c r="X16" s="105"/>
    </row>
    <row r="17" spans="1:24" outlineLevel="1" x14ac:dyDescent="0.25">
      <c r="A17" s="10"/>
      <c r="B17" s="9" t="s">
        <v>183</v>
      </c>
      <c r="C17" s="50" t="s">
        <v>184</v>
      </c>
      <c r="D17" s="50" t="s">
        <v>179</v>
      </c>
      <c r="E17" s="97">
        <v>43.76</v>
      </c>
      <c r="F17" s="103">
        <f>2025603109/1000000</f>
        <v>2025.6031089999999</v>
      </c>
      <c r="G17" s="99">
        <f t="shared" si="17"/>
        <v>88640.392049839997</v>
      </c>
      <c r="H17" s="99">
        <v>286</v>
      </c>
      <c r="I17" s="99">
        <v>76344</v>
      </c>
      <c r="J17" s="99">
        <v>10289</v>
      </c>
      <c r="K17" s="99">
        <f t="shared" si="18"/>
        <v>174987.39204984001</v>
      </c>
      <c r="L17" s="99">
        <v>10991.4</v>
      </c>
      <c r="M17" s="99">
        <v>12145.8</v>
      </c>
      <c r="N17" s="99">
        <v>15371.3</v>
      </c>
      <c r="O17" s="99">
        <v>15844.3</v>
      </c>
      <c r="P17" s="101">
        <f t="shared" si="14"/>
        <v>15.920391583405209</v>
      </c>
      <c r="Q17" s="101">
        <f t="shared" si="15"/>
        <v>14.407234768384134</v>
      </c>
      <c r="R17" s="101">
        <f t="shared" si="16"/>
        <v>11.384033364116243</v>
      </c>
      <c r="S17" s="237">
        <f t="shared" si="11"/>
        <v>11.044185735554112</v>
      </c>
      <c r="T17" s="104"/>
      <c r="X17" s="105"/>
    </row>
    <row r="18" spans="1:24" outlineLevel="1" x14ac:dyDescent="0.25">
      <c r="A18" s="10"/>
      <c r="B18" s="9" t="s">
        <v>185</v>
      </c>
      <c r="C18" s="50" t="s">
        <v>186</v>
      </c>
      <c r="D18" s="50" t="s">
        <v>179</v>
      </c>
      <c r="E18" s="97">
        <v>16.04</v>
      </c>
      <c r="F18" s="103">
        <f>2176379587/1000000</f>
        <v>2176.3795869999999</v>
      </c>
      <c r="G18" s="99">
        <f t="shared" si="17"/>
        <v>34909.128575479997</v>
      </c>
      <c r="H18" s="99">
        <v>2819.4</v>
      </c>
      <c r="I18" s="99">
        <v>30080.400000000001</v>
      </c>
      <c r="J18" s="99">
        <v>1158.9000000000001</v>
      </c>
      <c r="K18" s="99">
        <f t="shared" si="18"/>
        <v>63329.028575479992</v>
      </c>
      <c r="L18" s="99">
        <v>6407</v>
      </c>
      <c r="M18" s="99">
        <v>6716.4</v>
      </c>
      <c r="N18" s="99">
        <v>8631.9</v>
      </c>
      <c r="O18" s="99">
        <v>8963.7000000000007</v>
      </c>
      <c r="P18" s="101">
        <f t="shared" si="14"/>
        <v>9.8843497074262512</v>
      </c>
      <c r="Q18" s="101">
        <f t="shared" si="15"/>
        <v>9.4290138430528252</v>
      </c>
      <c r="R18" s="101">
        <f t="shared" si="16"/>
        <v>7.3366267653100703</v>
      </c>
      <c r="S18" s="237">
        <f t="shared" si="11"/>
        <v>7.0650544502247943</v>
      </c>
      <c r="T18" s="104"/>
      <c r="X18" s="105"/>
    </row>
    <row r="19" spans="1:24" outlineLevel="1" x14ac:dyDescent="0.25">
      <c r="A19" s="10"/>
      <c r="B19" s="51" t="s">
        <v>187</v>
      </c>
      <c r="C19" s="52" t="s">
        <v>188</v>
      </c>
      <c r="D19" s="52" t="s">
        <v>179</v>
      </c>
      <c r="E19" s="238">
        <v>11.27</v>
      </c>
      <c r="F19" s="113">
        <f>3082828515/1000000</f>
        <v>3082.8285150000002</v>
      </c>
      <c r="G19" s="239">
        <f t="shared" si="17"/>
        <v>34743.477364049999</v>
      </c>
      <c r="H19" s="239">
        <v>336</v>
      </c>
      <c r="I19" s="239">
        <v>50566</v>
      </c>
      <c r="J19" s="239">
        <v>14879</v>
      </c>
      <c r="K19" s="239">
        <f t="shared" si="18"/>
        <v>99852.477364049992</v>
      </c>
      <c r="L19" s="239">
        <v>7656.9</v>
      </c>
      <c r="M19" s="239">
        <v>8009.9</v>
      </c>
      <c r="N19" s="239">
        <v>12093.4</v>
      </c>
      <c r="O19" s="239">
        <v>12420.5</v>
      </c>
      <c r="P19" s="240">
        <f t="shared" si="14"/>
        <v>13.040849085667828</v>
      </c>
      <c r="Q19" s="240">
        <f t="shared" si="15"/>
        <v>12.466132831127728</v>
      </c>
      <c r="R19" s="240">
        <f t="shared" si="16"/>
        <v>8.2567745517430993</v>
      </c>
      <c r="S19" s="241">
        <f t="shared" si="11"/>
        <v>8.0393283172215284</v>
      </c>
      <c r="T19" s="104"/>
      <c r="X19" s="105"/>
    </row>
    <row r="20" spans="1:24" outlineLevel="1" x14ac:dyDescent="0.25">
      <c r="A20" s="10"/>
      <c r="B20" s="9"/>
      <c r="C20" s="10"/>
      <c r="D20" s="10"/>
      <c r="E20" s="103"/>
      <c r="F20" s="103"/>
      <c r="G20" s="99"/>
      <c r="H20" s="99"/>
      <c r="I20" s="99"/>
      <c r="J20" s="99"/>
      <c r="K20" s="99"/>
      <c r="L20" s="99"/>
      <c r="M20" s="99"/>
      <c r="N20" s="99"/>
      <c r="O20" s="99"/>
      <c r="P20" s="104"/>
      <c r="Q20" s="104"/>
      <c r="R20" s="104"/>
      <c r="S20" s="104"/>
      <c r="T20" s="102"/>
      <c r="X20" s="105"/>
    </row>
    <row r="21" spans="1:24" outlineLevel="1" x14ac:dyDescent="0.25">
      <c r="A21" s="10" t="s">
        <v>7</v>
      </c>
      <c r="B21" s="244" t="s">
        <v>189</v>
      </c>
      <c r="C21" s="245"/>
      <c r="D21" s="246"/>
      <c r="E21" s="245"/>
      <c r="F21" s="245"/>
      <c r="G21" s="247"/>
      <c r="H21" s="247"/>
      <c r="I21" s="247"/>
      <c r="J21" s="247"/>
      <c r="K21" s="247"/>
      <c r="L21" s="247"/>
      <c r="M21" s="247"/>
      <c r="N21" s="247"/>
      <c r="O21" s="247"/>
      <c r="P21" s="248"/>
      <c r="Q21" s="248"/>
      <c r="R21" s="248"/>
      <c r="S21" s="249"/>
      <c r="T21" s="107"/>
      <c r="X21" s="105"/>
    </row>
    <row r="22" spans="1:24" outlineLevel="1" x14ac:dyDescent="0.25">
      <c r="A22" s="10"/>
      <c r="B22" s="9" t="s">
        <v>190</v>
      </c>
      <c r="C22" s="115"/>
      <c r="D22" s="115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1">
        <f t="shared" ref="P22:T22" si="19">MIN(P9:P19)</f>
        <v>8.2210372080000003</v>
      </c>
      <c r="Q22" s="101">
        <f t="shared" si="19"/>
        <v>8.1856398465016138</v>
      </c>
      <c r="R22" s="101">
        <f t="shared" si="19"/>
        <v>6.3370495144999994</v>
      </c>
      <c r="S22" s="237">
        <f t="shared" si="19"/>
        <v>6.3212463985037406</v>
      </c>
      <c r="T22" s="108" t="e">
        <f t="shared" si="19"/>
        <v>#REF!</v>
      </c>
      <c r="X22" s="105"/>
    </row>
    <row r="23" spans="1:24" outlineLevel="1" x14ac:dyDescent="0.25">
      <c r="A23" s="10"/>
      <c r="B23" s="9" t="s">
        <v>191</v>
      </c>
      <c r="C23" s="109"/>
      <c r="D23" s="109"/>
      <c r="E23" s="103"/>
      <c r="F23" s="103"/>
      <c r="G23" s="250"/>
      <c r="H23" s="103"/>
      <c r="I23" s="103"/>
      <c r="J23" s="103"/>
      <c r="K23" s="103"/>
      <c r="L23" s="103"/>
      <c r="M23" s="103"/>
      <c r="N23" s="103"/>
      <c r="O23" s="103"/>
      <c r="P23" s="101">
        <f t="shared" ref="P23:T23" si="20">_xlfn.QUARTILE.EXC(P9:P19,1)</f>
        <v>9.9241398165949324</v>
      </c>
      <c r="Q23" s="101">
        <f t="shared" si="20"/>
        <v>10.999872113059981</v>
      </c>
      <c r="R23" s="101">
        <f t="shared" si="20"/>
        <v>8.0267376051348425</v>
      </c>
      <c r="S23" s="237">
        <f t="shared" si="20"/>
        <v>8.0393283172215284</v>
      </c>
      <c r="T23" s="103" t="e">
        <f t="shared" si="20"/>
        <v>#REF!</v>
      </c>
      <c r="X23" s="105"/>
    </row>
    <row r="24" spans="1:24" outlineLevel="1" x14ac:dyDescent="0.25">
      <c r="A24" s="10"/>
      <c r="B24" s="242" t="s">
        <v>192</v>
      </c>
      <c r="C24" s="109"/>
      <c r="D24" s="109"/>
      <c r="E24" s="103"/>
      <c r="F24" s="103"/>
      <c r="G24" s="250"/>
      <c r="H24" s="103"/>
      <c r="I24" s="103"/>
      <c r="J24" s="103"/>
      <c r="K24" s="103"/>
      <c r="L24" s="103"/>
      <c r="M24" s="103"/>
      <c r="N24" s="103"/>
      <c r="O24" s="103"/>
      <c r="P24" s="101">
        <f t="shared" ref="P24:T24" si="21">MEDIAN(P9:P19)</f>
        <v>13.040849085667828</v>
      </c>
      <c r="Q24" s="101">
        <f t="shared" si="21"/>
        <v>12.466132831127728</v>
      </c>
      <c r="R24" s="101">
        <f t="shared" si="21"/>
        <v>9.7710730744251393</v>
      </c>
      <c r="S24" s="237">
        <f t="shared" si="21"/>
        <v>10.253474556907939</v>
      </c>
      <c r="T24" s="110" t="e">
        <f t="shared" si="21"/>
        <v>#REF!</v>
      </c>
      <c r="X24" s="105"/>
    </row>
    <row r="25" spans="1:24" outlineLevel="1" x14ac:dyDescent="0.25">
      <c r="A25" s="10"/>
      <c r="B25" s="9" t="s">
        <v>193</v>
      </c>
      <c r="C25" s="111"/>
      <c r="D25" s="111"/>
      <c r="E25" s="103"/>
      <c r="F25" s="103"/>
      <c r="G25" s="250"/>
      <c r="H25" s="103"/>
      <c r="I25" s="103"/>
      <c r="J25" s="103"/>
      <c r="K25" s="103"/>
      <c r="L25" s="103"/>
      <c r="M25" s="103"/>
      <c r="N25" s="103"/>
      <c r="O25" s="103"/>
      <c r="P25" s="101">
        <f t="shared" ref="P25:T25" si="22">_xlfn.QUARTILE.EXC(P9:P19,3)</f>
        <v>17.190047045942126</v>
      </c>
      <c r="Q25" s="101">
        <f t="shared" si="22"/>
        <v>14.407234768384134</v>
      </c>
      <c r="R25" s="101">
        <f t="shared" si="22"/>
        <v>11.963691646296471</v>
      </c>
      <c r="S25" s="237">
        <f t="shared" si="22"/>
        <v>11.044185735554112</v>
      </c>
      <c r="T25" s="103" t="e">
        <f t="shared" si="22"/>
        <v>#REF!</v>
      </c>
    </row>
    <row r="26" spans="1:24" outlineLevel="1" x14ac:dyDescent="0.25">
      <c r="A26" s="10"/>
      <c r="B26" s="51" t="s">
        <v>194</v>
      </c>
      <c r="C26" s="112"/>
      <c r="D26" s="112"/>
      <c r="E26" s="113"/>
      <c r="F26" s="113"/>
      <c r="G26" s="114"/>
      <c r="H26" s="113"/>
      <c r="I26" s="113"/>
      <c r="J26" s="113"/>
      <c r="K26" s="113"/>
      <c r="L26" s="113"/>
      <c r="M26" s="113"/>
      <c r="N26" s="113"/>
      <c r="O26" s="113"/>
      <c r="P26" s="240">
        <f t="shared" ref="P26:T26" si="23">MAX(P9:P19)</f>
        <v>23.208087118619915</v>
      </c>
      <c r="Q26" s="240">
        <f t="shared" si="23"/>
        <v>21.951203189073897</v>
      </c>
      <c r="R26" s="240">
        <f t="shared" si="23"/>
        <v>16.409669855474842</v>
      </c>
      <c r="S26" s="241">
        <f t="shared" si="23"/>
        <v>12.918566347110199</v>
      </c>
      <c r="T26" s="113" t="e">
        <f t="shared" si="23"/>
        <v>#REF!</v>
      </c>
    </row>
    <row r="27" spans="1:24" outlineLevel="1" x14ac:dyDescent="0.25">
      <c r="A27" s="10"/>
      <c r="B27" s="9"/>
      <c r="C27" s="115"/>
      <c r="D27" s="115"/>
      <c r="E27" s="103"/>
      <c r="F27" s="103"/>
      <c r="G27" s="250"/>
      <c r="H27" s="103"/>
      <c r="I27" s="103"/>
      <c r="J27" s="103"/>
      <c r="K27" s="103"/>
      <c r="L27" s="103"/>
      <c r="M27" s="103"/>
      <c r="N27" s="103"/>
      <c r="O27" s="103"/>
      <c r="P27" s="116"/>
      <c r="Q27" s="116"/>
      <c r="R27" s="116"/>
      <c r="S27" s="251"/>
      <c r="T27" s="116"/>
    </row>
    <row r="28" spans="1:24" outlineLevel="1" x14ac:dyDescent="0.25">
      <c r="A28" s="10" t="s">
        <v>7</v>
      </c>
      <c r="B28" s="117" t="s">
        <v>195</v>
      </c>
      <c r="C28" s="118"/>
      <c r="D28" s="118"/>
      <c r="E28" s="48"/>
      <c r="F28" s="48"/>
      <c r="G28" s="119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9"/>
      <c r="T28" s="120"/>
    </row>
    <row r="29" spans="1:24" outlineLevel="1" x14ac:dyDescent="0.25">
      <c r="A29" s="10"/>
      <c r="B29" s="9" t="s">
        <v>190</v>
      </c>
      <c r="C29" s="109"/>
      <c r="D29" s="109"/>
      <c r="E29" s="103"/>
      <c r="F29" s="103"/>
      <c r="G29" s="250"/>
      <c r="H29" s="103"/>
      <c r="I29" s="103"/>
      <c r="J29" s="103"/>
      <c r="K29" s="103"/>
      <c r="L29" s="103"/>
      <c r="M29" s="103"/>
      <c r="N29" s="103"/>
      <c r="O29" s="103"/>
      <c r="P29" s="252">
        <f t="shared" ref="P29:S33" si="24">((P22*L$7)-$I$7-$J$7+$H$7)/$F$7</f>
        <v>17.804188857729891</v>
      </c>
      <c r="Q29" s="252">
        <f t="shared" si="24"/>
        <v>15.558302555231705</v>
      </c>
      <c r="R29" s="252">
        <f t="shared" si="24"/>
        <v>15.047948584314213</v>
      </c>
      <c r="S29" s="253">
        <f t="shared" si="24"/>
        <v>13.913781823208218</v>
      </c>
      <c r="T29" s="122"/>
    </row>
    <row r="30" spans="1:24" outlineLevel="1" x14ac:dyDescent="0.25">
      <c r="A30" s="10"/>
      <c r="B30" s="9" t="s">
        <v>191</v>
      </c>
      <c r="C30" s="109"/>
      <c r="D30" s="109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252">
        <f t="shared" si="24"/>
        <v>22.379999999999995</v>
      </c>
      <c r="Q30" s="252">
        <f t="shared" si="24"/>
        <v>22.379999999999995</v>
      </c>
      <c r="R30" s="252">
        <f t="shared" si="24"/>
        <v>20.202465532989763</v>
      </c>
      <c r="S30" s="253">
        <f t="shared" si="24"/>
        <v>18.859758423302718</v>
      </c>
      <c r="T30" s="123"/>
      <c r="U30" s="124"/>
      <c r="V30" s="124"/>
      <c r="W30" s="124"/>
      <c r="X30" s="125"/>
    </row>
    <row r="31" spans="1:24" outlineLevel="1" x14ac:dyDescent="0.25">
      <c r="A31" s="10"/>
      <c r="B31" s="242" t="s">
        <v>192</v>
      </c>
      <c r="C31" s="109"/>
      <c r="D31" s="109"/>
      <c r="E31" s="103"/>
      <c r="F31" s="103"/>
      <c r="G31" s="250"/>
      <c r="H31" s="103"/>
      <c r="I31" s="103"/>
      <c r="J31" s="103"/>
      <c r="K31" s="103"/>
      <c r="L31" s="103"/>
      <c r="M31" s="103"/>
      <c r="N31" s="103"/>
      <c r="O31" s="103"/>
      <c r="P31" s="252">
        <f t="shared" si="24"/>
        <v>30.753819010474093</v>
      </c>
      <c r="Q31" s="252">
        <f t="shared" si="24"/>
        <v>25.93421516292938</v>
      </c>
      <c r="R31" s="252">
        <f t="shared" si="24"/>
        <v>25.523688302130907</v>
      </c>
      <c r="S31" s="253">
        <f t="shared" si="24"/>
        <v>25.233794126355274</v>
      </c>
      <c r="T31" s="126"/>
      <c r="U31" s="145"/>
      <c r="X31" s="127"/>
    </row>
    <row r="32" spans="1:24" outlineLevel="1" x14ac:dyDescent="0.25">
      <c r="A32" s="10"/>
      <c r="B32" s="9" t="s">
        <v>193</v>
      </c>
      <c r="C32" s="109"/>
      <c r="D32" s="109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252">
        <f t="shared" si="24"/>
        <v>41.901677138511971</v>
      </c>
      <c r="Q32" s="252">
        <f t="shared" si="24"/>
        <v>30.639445176374743</v>
      </c>
      <c r="R32" s="252">
        <f t="shared" si="24"/>
        <v>32.212431421841984</v>
      </c>
      <c r="S32" s="253">
        <f t="shared" si="24"/>
        <v>27.510076150169247</v>
      </c>
      <c r="T32" s="128"/>
      <c r="X32" s="127"/>
    </row>
    <row r="33" spans="1:24" outlineLevel="1" x14ac:dyDescent="0.25">
      <c r="A33" s="10"/>
      <c r="B33" s="51" t="s">
        <v>194</v>
      </c>
      <c r="C33" s="129"/>
      <c r="D33" s="129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243">
        <f t="shared" si="24"/>
        <v>58.070647040980454</v>
      </c>
      <c r="Q33" s="243">
        <f t="shared" si="24"/>
        <v>48.926020421199041</v>
      </c>
      <c r="R33" s="243">
        <f t="shared" si="24"/>
        <v>45.775212718384019</v>
      </c>
      <c r="S33" s="254">
        <f t="shared" si="24"/>
        <v>32.906002004127338</v>
      </c>
      <c r="T33" s="130"/>
      <c r="U33" s="57"/>
      <c r="V33" s="57"/>
      <c r="W33" s="57"/>
      <c r="X33" s="58"/>
    </row>
    <row r="34" spans="1:24" outlineLevel="1" x14ac:dyDescent="0.25">
      <c r="A34" s="10"/>
      <c r="B34" s="59" t="s">
        <v>196</v>
      </c>
      <c r="C34" s="131"/>
      <c r="D34" s="132"/>
      <c r="E34" s="131"/>
      <c r="F34" s="131"/>
      <c r="G34" s="133"/>
      <c r="H34" s="133"/>
      <c r="I34" s="133"/>
      <c r="J34" s="133"/>
      <c r="K34" s="133"/>
      <c r="L34" s="133"/>
      <c r="M34" s="133"/>
      <c r="N34" s="133"/>
      <c r="O34" s="133"/>
      <c r="P34" s="134"/>
      <c r="Q34" s="134"/>
      <c r="R34" s="134"/>
      <c r="S34" s="255"/>
      <c r="T34" s="135"/>
    </row>
    <row r="35" spans="1:24" x14ac:dyDescent="0.25">
      <c r="A35" s="10"/>
      <c r="B35" s="136"/>
      <c r="C35" s="98"/>
      <c r="D35" s="106"/>
      <c r="E35" s="98"/>
      <c r="F35" s="98"/>
      <c r="G35" s="100"/>
      <c r="H35" s="100"/>
      <c r="I35" s="100"/>
      <c r="J35" s="100"/>
      <c r="K35" s="100"/>
      <c r="L35" s="100"/>
      <c r="M35" s="100"/>
      <c r="N35" s="100"/>
      <c r="O35" s="100"/>
      <c r="P35" s="107"/>
      <c r="Q35" s="107"/>
      <c r="R35" s="107"/>
      <c r="S35" s="107"/>
      <c r="T35" s="107"/>
    </row>
    <row r="36" spans="1:24" x14ac:dyDescent="0.25">
      <c r="A36" s="10"/>
      <c r="B36" s="10"/>
      <c r="C36" s="10"/>
      <c r="D36" s="10"/>
      <c r="E36" s="103"/>
      <c r="F36" s="103"/>
      <c r="G36" s="99"/>
      <c r="H36" s="99"/>
      <c r="I36" s="99"/>
      <c r="J36" s="99"/>
      <c r="K36" s="99"/>
      <c r="L36" s="99"/>
      <c r="M36" s="99"/>
      <c r="N36" s="99"/>
      <c r="O36" s="99"/>
      <c r="P36" s="116"/>
      <c r="Q36" s="116"/>
      <c r="R36" s="116"/>
      <c r="S36" s="116"/>
      <c r="T36" s="116"/>
    </row>
    <row r="37" spans="1:24" x14ac:dyDescent="0.25">
      <c r="A37" s="10"/>
      <c r="B37" s="10"/>
      <c r="C37" s="10"/>
      <c r="D37" s="10"/>
      <c r="E37" s="103"/>
      <c r="F37" s="103"/>
      <c r="G37" s="99"/>
      <c r="H37" s="99"/>
      <c r="I37" s="99"/>
      <c r="J37" s="99"/>
      <c r="K37" s="99"/>
      <c r="L37" s="99"/>
      <c r="M37" s="99"/>
      <c r="N37" s="99"/>
      <c r="O37" s="99"/>
      <c r="P37" s="116"/>
      <c r="Q37" s="116"/>
      <c r="R37" s="116"/>
      <c r="S37" s="116"/>
      <c r="T37" s="116"/>
    </row>
    <row r="38" spans="1:24" ht="15" hidden="1" customHeight="1" x14ac:dyDescent="0.25">
      <c r="A38" s="10"/>
      <c r="B38" s="10"/>
      <c r="C38" s="10"/>
      <c r="D38" s="10"/>
      <c r="E38" s="103"/>
      <c r="F38" s="103"/>
      <c r="G38" s="99"/>
      <c r="H38" s="99"/>
      <c r="I38" s="99"/>
      <c r="J38" s="99"/>
      <c r="K38" s="99"/>
      <c r="L38" s="99"/>
      <c r="M38" s="99"/>
      <c r="N38" s="99"/>
      <c r="O38" s="99"/>
      <c r="P38" s="116"/>
      <c r="Q38" s="116"/>
      <c r="R38" s="116"/>
      <c r="S38" s="116"/>
      <c r="T38" s="116"/>
    </row>
    <row r="39" spans="1:24" x14ac:dyDescent="0.25">
      <c r="A39" s="10"/>
      <c r="B39" s="10"/>
      <c r="C39" s="10"/>
      <c r="D39" s="10"/>
      <c r="E39" s="103"/>
      <c r="F39" s="103"/>
      <c r="G39" s="99"/>
      <c r="H39" s="99"/>
      <c r="I39" s="99"/>
      <c r="J39" s="99"/>
      <c r="K39" s="99"/>
      <c r="L39" s="99"/>
      <c r="M39" s="99"/>
      <c r="N39" s="99"/>
      <c r="O39" s="99"/>
      <c r="P39" s="116"/>
      <c r="Q39" s="116"/>
      <c r="R39" s="116"/>
      <c r="S39" s="116"/>
      <c r="T39" s="116"/>
    </row>
    <row r="40" spans="1:24" x14ac:dyDescent="0.25">
      <c r="A40" s="10"/>
      <c r="B40" s="10"/>
      <c r="C40" s="10"/>
      <c r="D40" s="10"/>
      <c r="E40" s="103"/>
      <c r="F40" s="103"/>
      <c r="G40" s="99"/>
      <c r="H40" s="99"/>
      <c r="I40" s="99"/>
      <c r="J40" s="99"/>
      <c r="K40" s="99"/>
      <c r="L40" s="99"/>
      <c r="M40" s="99"/>
      <c r="N40" s="99"/>
      <c r="O40" s="99"/>
      <c r="P40" s="116"/>
      <c r="Q40" s="116"/>
      <c r="R40" s="116"/>
      <c r="S40" s="116"/>
      <c r="T40" s="116"/>
    </row>
    <row r="41" spans="1:24" x14ac:dyDescent="0.25">
      <c r="A41" s="10"/>
      <c r="B41" s="136"/>
      <c r="C41" s="98"/>
      <c r="D41" s="106"/>
      <c r="E41" s="98"/>
      <c r="F41" s="98"/>
      <c r="G41" s="100"/>
      <c r="H41" s="100"/>
      <c r="I41" s="100"/>
      <c r="J41" s="100"/>
      <c r="K41" s="100"/>
      <c r="L41" s="100"/>
      <c r="M41" s="100"/>
      <c r="N41" s="100"/>
      <c r="O41" s="100"/>
      <c r="P41" s="107"/>
      <c r="Q41" s="107"/>
      <c r="R41" s="107"/>
      <c r="S41" s="107"/>
      <c r="T41" s="107"/>
    </row>
    <row r="42" spans="1:24" x14ac:dyDescent="0.25">
      <c r="A42" s="10"/>
      <c r="B42" s="10"/>
      <c r="C42" s="115"/>
      <c r="D42" s="115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16"/>
      <c r="Q42" s="116"/>
      <c r="R42" s="116"/>
      <c r="S42" s="116"/>
      <c r="T42" s="116"/>
    </row>
    <row r="43" spans="1:24" x14ac:dyDescent="0.25">
      <c r="A43" s="10"/>
      <c r="B43" s="10"/>
      <c r="C43" s="109"/>
      <c r="D43" s="109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16"/>
      <c r="Q43" s="116"/>
      <c r="R43" s="116"/>
      <c r="S43" s="116"/>
      <c r="T43" s="116"/>
    </row>
    <row r="44" spans="1:24" x14ac:dyDescent="0.25">
      <c r="A44" s="10"/>
      <c r="B44" s="115"/>
      <c r="C44" s="109"/>
      <c r="D44" s="109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16"/>
      <c r="Q44" s="116"/>
      <c r="R44" s="116"/>
      <c r="S44" s="116"/>
      <c r="T44" s="116"/>
    </row>
    <row r="45" spans="1:24" x14ac:dyDescent="0.25">
      <c r="A45" s="10"/>
      <c r="B45" s="10"/>
      <c r="C45" s="111"/>
      <c r="D45" s="111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16"/>
      <c r="Q45" s="116"/>
      <c r="R45" s="116"/>
      <c r="S45" s="116"/>
      <c r="T45" s="116"/>
    </row>
    <row r="46" spans="1:24" x14ac:dyDescent="0.25">
      <c r="A46" s="10"/>
      <c r="B46" s="10"/>
      <c r="C46" s="115"/>
      <c r="D46" s="115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16"/>
      <c r="Q46" s="116"/>
      <c r="R46" s="116"/>
      <c r="S46" s="116"/>
      <c r="T46" s="116"/>
    </row>
    <row r="47" spans="1:24" x14ac:dyDescent="0.25">
      <c r="A47" s="10"/>
      <c r="B47" s="10"/>
      <c r="C47" s="109"/>
      <c r="D47" s="109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4" x14ac:dyDescent="0.25">
      <c r="A48" s="10"/>
      <c r="B48" s="10"/>
      <c r="C48" s="109"/>
      <c r="D48" s="109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21"/>
      <c r="Q48" s="121"/>
      <c r="R48" s="121"/>
      <c r="S48" s="121"/>
      <c r="T48" s="121"/>
    </row>
    <row r="49" spans="1:27" x14ac:dyDescent="0.25">
      <c r="A49" s="10"/>
      <c r="B49" s="10"/>
      <c r="C49" s="109"/>
      <c r="D49" s="109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21"/>
      <c r="Q49" s="121"/>
      <c r="R49" s="137"/>
      <c r="S49" s="137"/>
      <c r="T49" s="137"/>
    </row>
    <row r="50" spans="1:27" x14ac:dyDescent="0.25">
      <c r="A50" s="10"/>
      <c r="B50" s="115"/>
      <c r="C50" s="109"/>
      <c r="D50" s="109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21"/>
      <c r="Q50" s="121"/>
      <c r="R50" s="121"/>
      <c r="S50" s="121"/>
      <c r="T50" s="121"/>
    </row>
    <row r="51" spans="1:27" x14ac:dyDescent="0.25">
      <c r="A51" s="10"/>
      <c r="B51" s="10"/>
      <c r="C51" s="109"/>
      <c r="D51" s="109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21"/>
      <c r="Q51" s="121"/>
      <c r="R51" s="121"/>
      <c r="S51" s="121"/>
      <c r="T51" s="121"/>
    </row>
    <row r="52" spans="1:27" x14ac:dyDescent="0.25">
      <c r="A52" s="10"/>
      <c r="B52" s="10"/>
      <c r="C52" s="111"/>
      <c r="D52" s="111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21"/>
      <c r="Q52" s="121"/>
      <c r="R52" s="121"/>
      <c r="S52" s="121"/>
      <c r="T52" s="121"/>
    </row>
    <row r="53" spans="1:27" x14ac:dyDescent="0.25">
      <c r="A53" s="10"/>
      <c r="B53" s="10"/>
      <c r="C53" s="111"/>
      <c r="D53" s="111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21"/>
      <c r="Q53" s="121"/>
      <c r="R53" s="121"/>
      <c r="S53" s="121"/>
      <c r="T53" s="121"/>
    </row>
    <row r="54" spans="1:27" x14ac:dyDescent="0.25">
      <c r="A54" s="10"/>
      <c r="B54" s="10"/>
      <c r="C54" s="111"/>
      <c r="D54" s="111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21"/>
      <c r="Q54" s="121"/>
      <c r="R54" s="121"/>
      <c r="S54" s="121"/>
      <c r="T54" s="121"/>
    </row>
    <row r="55" spans="1:27" x14ac:dyDescent="0.25">
      <c r="A55" s="10"/>
      <c r="B55" s="10"/>
      <c r="C55" s="111"/>
      <c r="D55" s="111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21"/>
      <c r="Q55" s="121"/>
      <c r="R55" s="121"/>
      <c r="S55" s="121"/>
      <c r="T55" s="121"/>
      <c r="Y55" s="138"/>
    </row>
    <row r="57" spans="1:27" x14ac:dyDescent="0.25">
      <c r="P57" s="139"/>
      <c r="Q57" s="139"/>
      <c r="R57" s="139"/>
      <c r="S57" s="139"/>
      <c r="T57" s="139"/>
    </row>
    <row r="58" spans="1:27" x14ac:dyDescent="0.25">
      <c r="P58" s="139"/>
      <c r="Q58" s="139"/>
      <c r="R58" s="139"/>
      <c r="S58" s="139"/>
      <c r="T58" s="139"/>
    </row>
    <row r="59" spans="1:27" x14ac:dyDescent="0.25">
      <c r="P59" s="140"/>
      <c r="Q59" s="140"/>
      <c r="R59" s="141"/>
      <c r="S59" s="141"/>
      <c r="T59" s="141"/>
      <c r="U59" s="140"/>
    </row>
    <row r="60" spans="1:27" x14ac:dyDescent="0.25">
      <c r="P60" s="140"/>
      <c r="Q60" s="140"/>
      <c r="R60" s="140"/>
      <c r="S60" s="140"/>
      <c r="T60" s="140"/>
    </row>
    <row r="62" spans="1:27" x14ac:dyDescent="0.25">
      <c r="P62" s="139"/>
      <c r="Q62" s="139"/>
      <c r="R62" s="139"/>
      <c r="S62" s="139"/>
      <c r="T62" s="139"/>
    </row>
    <row r="63" spans="1:27" x14ac:dyDescent="0.25">
      <c r="P63" s="139"/>
      <c r="Q63" s="139"/>
      <c r="R63" s="139"/>
      <c r="S63" s="139"/>
      <c r="T63" s="139"/>
      <c r="AA63" s="138"/>
    </row>
    <row r="64" spans="1:27" x14ac:dyDescent="0.25">
      <c r="P64" s="140"/>
      <c r="Q64" s="140"/>
      <c r="R64" s="141"/>
      <c r="S64" s="141"/>
      <c r="T64" s="141"/>
      <c r="U64" s="140"/>
    </row>
    <row r="65" spans="2:21" x14ac:dyDescent="0.25">
      <c r="P65" s="140"/>
      <c r="Q65" s="140"/>
      <c r="R65" s="140"/>
      <c r="S65" s="140"/>
      <c r="T65" s="140"/>
    </row>
    <row r="66" spans="2:21" x14ac:dyDescent="0.25">
      <c r="P66" s="140"/>
      <c r="Q66" s="140"/>
      <c r="R66" s="140"/>
      <c r="S66" s="140"/>
      <c r="T66" s="140"/>
      <c r="U66" s="140"/>
    </row>
    <row r="67" spans="2:21" x14ac:dyDescent="0.25">
      <c r="B67" s="142"/>
    </row>
    <row r="70" spans="2:21" x14ac:dyDescent="0.25">
      <c r="B70" s="142"/>
    </row>
    <row r="83" spans="11:11" x14ac:dyDescent="0.25">
      <c r="K83" s="143"/>
    </row>
    <row r="84" spans="11:11" x14ac:dyDescent="0.25">
      <c r="K84" s="143"/>
    </row>
  </sheetData>
  <conditionalFormatting sqref="T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43E6D-6F96-43E9-BC0A-5AC433A3BA88}">
  <dimension ref="B1:K37"/>
  <sheetViews>
    <sheetView showGridLines="0" workbookViewId="0">
      <selection activeCell="E27" sqref="E27"/>
    </sheetView>
  </sheetViews>
  <sheetFormatPr defaultColWidth="8.5703125" defaultRowHeight="15.75" x14ac:dyDescent="0.25"/>
  <cols>
    <col min="1" max="1" width="8.5703125" style="161"/>
    <col min="2" max="2" width="26.42578125" style="161" bestFit="1" customWidth="1"/>
    <col min="3" max="16384" width="8.5703125" style="161"/>
  </cols>
  <sheetData>
    <row r="1" spans="2:5" ht="16.5" thickBot="1" x14ac:dyDescent="0.3"/>
    <row r="2" spans="2:5" x14ac:dyDescent="0.25">
      <c r="B2" s="180" t="s">
        <v>0</v>
      </c>
      <c r="C2" s="181"/>
      <c r="D2" s="181"/>
      <c r="E2" s="182"/>
    </row>
    <row r="3" spans="2:5" x14ac:dyDescent="0.25">
      <c r="B3" s="183" t="s">
        <v>197</v>
      </c>
      <c r="C3" s="184" t="s">
        <v>198</v>
      </c>
      <c r="D3" s="184" t="s">
        <v>199</v>
      </c>
      <c r="E3" s="185" t="s">
        <v>200</v>
      </c>
    </row>
    <row r="4" spans="2:5" x14ac:dyDescent="0.25">
      <c r="B4" s="186"/>
      <c r="C4" s="187"/>
      <c r="D4" s="187"/>
      <c r="E4" s="188"/>
    </row>
    <row r="5" spans="2:5" x14ac:dyDescent="0.25">
      <c r="B5" s="186" t="s">
        <v>201</v>
      </c>
      <c r="C5" s="194">
        <f>Bull!F167</f>
        <v>39.36</v>
      </c>
      <c r="D5" s="189">
        <f t="shared" ref="D5:D6" si="0">E5-C5</f>
        <v>4.4200000000000017</v>
      </c>
      <c r="E5" s="195">
        <f>Bull!H167</f>
        <v>43.78</v>
      </c>
    </row>
    <row r="6" spans="2:5" x14ac:dyDescent="0.25">
      <c r="B6" s="186" t="s">
        <v>202</v>
      </c>
      <c r="C6" s="194">
        <f>Bear!F180</f>
        <v>16.190000000000001</v>
      </c>
      <c r="D6" s="189">
        <f t="shared" si="0"/>
        <v>1.1799999999999997</v>
      </c>
      <c r="E6" s="195">
        <f>Bear!H180</f>
        <v>17.37</v>
      </c>
    </row>
    <row r="7" spans="2:5" x14ac:dyDescent="0.25">
      <c r="B7" s="186"/>
      <c r="C7" s="194"/>
      <c r="D7" s="189"/>
      <c r="E7" s="195"/>
    </row>
    <row r="8" spans="2:5" x14ac:dyDescent="0.25">
      <c r="B8" s="186" t="s">
        <v>203</v>
      </c>
      <c r="C8" s="194">
        <f>Base!F169</f>
        <v>32.44</v>
      </c>
      <c r="D8" s="189">
        <f>E8-C8</f>
        <v>3.0200000000000031</v>
      </c>
      <c r="E8" s="195">
        <f>Base!H169</f>
        <v>35.46</v>
      </c>
    </row>
    <row r="9" spans="2:5" x14ac:dyDescent="0.25">
      <c r="B9" s="186"/>
      <c r="C9" s="189"/>
      <c r="D9" s="189"/>
      <c r="E9" s="190"/>
    </row>
    <row r="10" spans="2:5" x14ac:dyDescent="0.25">
      <c r="B10" s="186" t="s">
        <v>160</v>
      </c>
      <c r="C10" s="189">
        <f>COMPS!R31</f>
        <v>25.523688302130907</v>
      </c>
      <c r="D10" s="189">
        <f t="shared" ref="D10:D17" si="1">E10-C10</f>
        <v>6.6887431197110772</v>
      </c>
      <c r="E10" s="190">
        <f>COMPS!R32</f>
        <v>32.212431421841984</v>
      </c>
    </row>
    <row r="11" spans="2:5" x14ac:dyDescent="0.25">
      <c r="B11" s="186" t="s">
        <v>204</v>
      </c>
      <c r="C11" s="189">
        <f>COMPS!S31</f>
        <v>25.233794126355274</v>
      </c>
      <c r="D11" s="189">
        <f t="shared" si="1"/>
        <v>2.2762820238139732</v>
      </c>
      <c r="E11" s="190">
        <f>COMPS!S32</f>
        <v>27.510076150169247</v>
      </c>
    </row>
    <row r="12" spans="2:5" x14ac:dyDescent="0.25">
      <c r="B12" s="186"/>
      <c r="C12" s="189"/>
      <c r="D12" s="189"/>
      <c r="E12" s="190"/>
    </row>
    <row r="13" spans="2:5" x14ac:dyDescent="0.25">
      <c r="B13" s="186" t="s">
        <v>205</v>
      </c>
      <c r="C13" s="189">
        <f>COMPS!P31</f>
        <v>30.753819010474093</v>
      </c>
      <c r="D13" s="189">
        <f t="shared" si="1"/>
        <v>11.147858128037878</v>
      </c>
      <c r="E13" s="190">
        <f>COMPS!P32</f>
        <v>41.901677138511971</v>
      </c>
    </row>
    <row r="14" spans="2:5" x14ac:dyDescent="0.25">
      <c r="B14" s="186" t="s">
        <v>206</v>
      </c>
      <c r="C14" s="189">
        <f>COMPS!Q31</f>
        <v>25.93421516292938</v>
      </c>
      <c r="D14" s="189">
        <f t="shared" si="1"/>
        <v>4.7052300134453624</v>
      </c>
      <c r="E14" s="190">
        <f>COMPS!Q32</f>
        <v>30.639445176374743</v>
      </c>
    </row>
    <row r="15" spans="2:5" x14ac:dyDescent="0.25">
      <c r="B15" s="186"/>
      <c r="C15" s="187"/>
      <c r="D15" s="189"/>
      <c r="E15" s="188"/>
    </row>
    <row r="16" spans="2:5" x14ac:dyDescent="0.25">
      <c r="B16" s="186" t="s">
        <v>207</v>
      </c>
      <c r="C16" s="189">
        <v>20</v>
      </c>
      <c r="D16" s="189">
        <f t="shared" si="1"/>
        <v>15</v>
      </c>
      <c r="E16" s="190">
        <v>35</v>
      </c>
    </row>
    <row r="17" spans="2:11" ht="16.5" thickBot="1" x14ac:dyDescent="0.3">
      <c r="B17" s="191" t="s">
        <v>208</v>
      </c>
      <c r="C17" s="192">
        <v>10.01</v>
      </c>
      <c r="D17" s="192">
        <f t="shared" si="1"/>
        <v>16.590000000000003</v>
      </c>
      <c r="E17" s="193">
        <v>26.6</v>
      </c>
    </row>
    <row r="27" spans="2:11" x14ac:dyDescent="0.25">
      <c r="B27" s="161" t="s">
        <v>195</v>
      </c>
      <c r="C27" s="161" t="s">
        <v>195</v>
      </c>
      <c r="D27" s="161" t="s">
        <v>209</v>
      </c>
      <c r="K27" s="199"/>
    </row>
    <row r="28" spans="2:11" x14ac:dyDescent="0.25">
      <c r="B28" s="161" t="s">
        <v>210</v>
      </c>
      <c r="C28" s="204">
        <f>Base!G169</f>
        <v>33.909999999999997</v>
      </c>
      <c r="D28" s="207">
        <v>0.7</v>
      </c>
      <c r="E28" s="196">
        <f>C28*D28</f>
        <v>23.736999999999995</v>
      </c>
      <c r="I28" s="161" t="s">
        <v>211</v>
      </c>
      <c r="J28" s="197">
        <v>0.7</v>
      </c>
      <c r="K28" s="199"/>
    </row>
    <row r="29" spans="2:11" x14ac:dyDescent="0.25">
      <c r="B29" s="161" t="s">
        <v>160</v>
      </c>
      <c r="C29" s="196">
        <f>AVERAGE(C10,E10)</f>
        <v>28.868059861986445</v>
      </c>
      <c r="D29" s="207">
        <v>7.4999999999999997E-2</v>
      </c>
      <c r="E29" s="196">
        <f t="shared" ref="E29:E32" si="2">C29*D29</f>
        <v>2.1651044896489835</v>
      </c>
      <c r="I29" s="161" t="s">
        <v>212</v>
      </c>
      <c r="J29" s="197">
        <v>0.3</v>
      </c>
    </row>
    <row r="30" spans="2:11" x14ac:dyDescent="0.25">
      <c r="B30" s="161" t="s">
        <v>204</v>
      </c>
      <c r="C30" s="196">
        <f>AVERAGE(C11,E11)</f>
        <v>26.371935138262259</v>
      </c>
      <c r="D30" s="207">
        <v>7.4999999999999997E-2</v>
      </c>
      <c r="E30" s="196">
        <f t="shared" si="2"/>
        <v>1.9778951353696694</v>
      </c>
    </row>
    <row r="31" spans="2:11" x14ac:dyDescent="0.25">
      <c r="B31" s="161" t="s">
        <v>205</v>
      </c>
      <c r="C31" s="196">
        <f>AVERAGE(C13,E13)</f>
        <v>36.32774807449303</v>
      </c>
      <c r="D31" s="207">
        <v>7.4999999999999997E-2</v>
      </c>
      <c r="E31" s="196">
        <f t="shared" si="2"/>
        <v>2.7245811055869771</v>
      </c>
    </row>
    <row r="32" spans="2:11" x14ac:dyDescent="0.25">
      <c r="B32" s="161" t="s">
        <v>206</v>
      </c>
      <c r="C32" s="196">
        <f>AVERAGE(C14,E14)</f>
        <v>28.286830169652063</v>
      </c>
      <c r="D32" s="207">
        <v>7.4999999999999997E-2</v>
      </c>
      <c r="E32" s="196">
        <f t="shared" si="2"/>
        <v>2.1215122627239045</v>
      </c>
    </row>
    <row r="33" spans="3:5" x14ac:dyDescent="0.25">
      <c r="C33" s="161" t="s">
        <v>213</v>
      </c>
      <c r="D33" s="197">
        <f>SUM(D28:D32)</f>
        <v>0.99999999999999978</v>
      </c>
      <c r="E33" s="196">
        <f>SUM(E28:E32)</f>
        <v>32.72609299332953</v>
      </c>
    </row>
    <row r="34" spans="3:5" x14ac:dyDescent="0.25">
      <c r="C34" s="161" t="s">
        <v>214</v>
      </c>
      <c r="E34" s="161">
        <v>23.75</v>
      </c>
    </row>
    <row r="35" spans="3:5" x14ac:dyDescent="0.25">
      <c r="C35" s="161" t="s">
        <v>215</v>
      </c>
      <c r="D35" s="198">
        <f>E33/E34-1</f>
        <v>0.37794075761387491</v>
      </c>
    </row>
    <row r="37" spans="3:5" x14ac:dyDescent="0.25">
      <c r="C37" s="196">
        <f>AVERAGE(C29:C32)</f>
        <v>29.963643311098451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E5ADF-C1FA-44CB-A07E-0939DE93F0A1}">
  <dimension ref="B3:G25"/>
  <sheetViews>
    <sheetView workbookViewId="0">
      <selection activeCell="I26" sqref="I26"/>
    </sheetView>
  </sheetViews>
  <sheetFormatPr defaultColWidth="8.7109375" defaultRowHeight="15" x14ac:dyDescent="0.25"/>
  <cols>
    <col min="1" max="1" width="8.7109375" style="2"/>
    <col min="2" max="2" width="32" style="2" customWidth="1"/>
    <col min="3" max="3" width="9" style="2" bestFit="1" customWidth="1"/>
    <col min="4" max="6" width="8.7109375" style="2"/>
    <col min="7" max="7" width="10" style="2" bestFit="1" customWidth="1"/>
    <col min="8" max="16384" width="8.7109375" style="2"/>
  </cols>
  <sheetData>
    <row r="3" spans="2:4" x14ac:dyDescent="0.25">
      <c r="B3" s="31" t="s">
        <v>375</v>
      </c>
      <c r="C3" s="62"/>
    </row>
    <row r="4" spans="2:4" ht="15.75" x14ac:dyDescent="0.25">
      <c r="B4" s="60" t="s">
        <v>147</v>
      </c>
      <c r="C4" s="34"/>
    </row>
    <row r="5" spans="2:4" ht="15.75" x14ac:dyDescent="0.25">
      <c r="B5" s="9" t="s">
        <v>376</v>
      </c>
      <c r="C5" s="64">
        <v>2.7609999999999999E-2</v>
      </c>
    </row>
    <row r="6" spans="2:4" ht="15.75" x14ac:dyDescent="0.25">
      <c r="B6" s="9" t="s">
        <v>377</v>
      </c>
      <c r="C6" s="64">
        <v>0.1</v>
      </c>
    </row>
    <row r="7" spans="2:4" ht="15.75" x14ac:dyDescent="0.25">
      <c r="B7" s="9" t="s">
        <v>378</v>
      </c>
      <c r="C7" s="64">
        <f>C6-C5</f>
        <v>7.239000000000001E-2</v>
      </c>
    </row>
    <row r="8" spans="2:4" ht="15.75" x14ac:dyDescent="0.25">
      <c r="B8" s="9" t="s">
        <v>379</v>
      </c>
      <c r="C8" s="66">
        <v>1.33</v>
      </c>
    </row>
    <row r="9" spans="2:4" ht="15.75" x14ac:dyDescent="0.25">
      <c r="B9" s="61" t="s">
        <v>380</v>
      </c>
      <c r="C9" s="67">
        <f>C5+C8*(C7)</f>
        <v>0.12388870000000002</v>
      </c>
    </row>
    <row r="10" spans="2:4" x14ac:dyDescent="0.25">
      <c r="B10" s="29"/>
      <c r="C10" s="34"/>
    </row>
    <row r="11" spans="2:4" x14ac:dyDescent="0.25">
      <c r="B11" s="29" t="s">
        <v>381</v>
      </c>
      <c r="C11" s="66">
        <f>'Income Statment'!F22/-'Income Statment'!F28</f>
        <v>6.8334960677448562</v>
      </c>
    </row>
    <row r="12" spans="2:4" ht="15.75" x14ac:dyDescent="0.25">
      <c r="B12" s="9" t="s">
        <v>382</v>
      </c>
      <c r="C12" s="64">
        <v>2.2499999999999999E-2</v>
      </c>
    </row>
    <row r="13" spans="2:4" ht="15.75" x14ac:dyDescent="0.25">
      <c r="B13" s="9" t="s">
        <v>383</v>
      </c>
      <c r="C13" s="64">
        <f>C12+C5</f>
        <v>5.0110000000000002E-2</v>
      </c>
    </row>
    <row r="14" spans="2:4" ht="15.75" x14ac:dyDescent="0.25">
      <c r="B14" s="9" t="s">
        <v>384</v>
      </c>
      <c r="C14" s="64">
        <v>0.1024</v>
      </c>
      <c r="D14" s="2" t="s">
        <v>385</v>
      </c>
    </row>
    <row r="15" spans="2:4" ht="15.75" x14ac:dyDescent="0.25">
      <c r="B15" s="61" t="s">
        <v>386</v>
      </c>
      <c r="C15" s="67">
        <f>C13*(1-C14)+0.0008</f>
        <v>4.5778736E-2</v>
      </c>
    </row>
    <row r="16" spans="2:4" ht="15.75" x14ac:dyDescent="0.25">
      <c r="B16" s="9"/>
      <c r="C16" s="34"/>
    </row>
    <row r="17" spans="2:7" ht="15.75" x14ac:dyDescent="0.25">
      <c r="B17" s="9" t="s">
        <v>387</v>
      </c>
      <c r="C17" s="34">
        <v>23.06</v>
      </c>
    </row>
    <row r="18" spans="2:7" ht="15.75" x14ac:dyDescent="0.25">
      <c r="B18" s="9" t="s">
        <v>388</v>
      </c>
      <c r="C18" s="336">
        <f>108222604/1000000</f>
        <v>108.222604</v>
      </c>
    </row>
    <row r="19" spans="2:7" ht="15.75" x14ac:dyDescent="0.25">
      <c r="B19" s="9" t="s">
        <v>389</v>
      </c>
      <c r="C19" s="70">
        <f>C18*C17</f>
        <v>2495.6132482399998</v>
      </c>
      <c r="F19" s="2" t="s">
        <v>390</v>
      </c>
      <c r="G19" s="205">
        <f>SUM(C19:C20)</f>
        <v>4151.6132482399998</v>
      </c>
    </row>
    <row r="20" spans="2:7" ht="15.75" x14ac:dyDescent="0.25">
      <c r="B20" s="9" t="s">
        <v>109</v>
      </c>
      <c r="C20" s="70">
        <v>1656</v>
      </c>
      <c r="D20" s="12" t="s">
        <v>391</v>
      </c>
      <c r="F20" s="2" t="s">
        <v>104</v>
      </c>
      <c r="G20" s="205">
        <f>SUM('Liquidity Position'!E6:E7)/1000</f>
        <v>510</v>
      </c>
    </row>
    <row r="21" spans="2:7" ht="15.75" x14ac:dyDescent="0.25">
      <c r="B21" s="9" t="s">
        <v>392</v>
      </c>
      <c r="C21" s="276">
        <f>C19/(C19+C20)</f>
        <v>0.60111891426735597</v>
      </c>
      <c r="F21" s="2" t="s">
        <v>154</v>
      </c>
      <c r="G21" s="205">
        <f>G19-G20</f>
        <v>3641.6132482399998</v>
      </c>
    </row>
    <row r="22" spans="2:7" ht="15.75" x14ac:dyDescent="0.25">
      <c r="B22" s="9" t="s">
        <v>393</v>
      </c>
      <c r="C22" s="276">
        <f>C20/(C19+C20)</f>
        <v>0.39888108573264397</v>
      </c>
      <c r="F22" s="2" t="s">
        <v>394</v>
      </c>
      <c r="G22" s="20">
        <f>Base!F35/1000</f>
        <v>335.3909646474354</v>
      </c>
    </row>
    <row r="23" spans="2:7" ht="15.75" x14ac:dyDescent="0.25">
      <c r="B23" s="63" t="s">
        <v>395</v>
      </c>
      <c r="C23" s="67">
        <f>(C21*C9)+(C22*C15)</f>
        <v>9.2732112753142262E-2</v>
      </c>
      <c r="G23" s="205">
        <f>G21/G22</f>
        <v>10.857815600572547</v>
      </c>
    </row>
    <row r="24" spans="2:7" x14ac:dyDescent="0.25">
      <c r="F24" s="20"/>
    </row>
    <row r="25" spans="2:7" x14ac:dyDescent="0.25">
      <c r="B25" s="2" t="s">
        <v>713</v>
      </c>
      <c r="C25" s="76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583F3-CD9F-4D98-B52E-AC9B7130A411}">
  <dimension ref="B3:N17"/>
  <sheetViews>
    <sheetView showGridLines="0" workbookViewId="0">
      <selection activeCell="C22" sqref="C22"/>
    </sheetView>
  </sheetViews>
  <sheetFormatPr defaultColWidth="8.7109375" defaultRowHeight="15" x14ac:dyDescent="0.25"/>
  <cols>
    <col min="1" max="1" width="8.7109375" style="8"/>
    <col min="2" max="2" width="28.42578125" style="8" bestFit="1" customWidth="1"/>
    <col min="3" max="4" width="8.7109375" style="8"/>
    <col min="5" max="5" width="10" style="8" bestFit="1" customWidth="1"/>
    <col min="6" max="6" width="8.7109375" style="8"/>
    <col min="7" max="7" width="10.5703125" style="8" bestFit="1" customWidth="1"/>
    <col min="8" max="8" width="7.5703125" style="8" bestFit="1" customWidth="1"/>
    <col min="9" max="9" width="12.42578125" style="8" bestFit="1" customWidth="1"/>
    <col min="10" max="10" width="11" style="8" bestFit="1" customWidth="1"/>
    <col min="11" max="16384" width="8.7109375" style="8"/>
  </cols>
  <sheetData>
    <row r="3" spans="2:14" x14ac:dyDescent="0.25">
      <c r="B3" s="8" t="s">
        <v>216</v>
      </c>
    </row>
    <row r="5" spans="2:14" x14ac:dyDescent="0.25">
      <c r="B5" s="31" t="s">
        <v>217</v>
      </c>
      <c r="C5" s="262"/>
      <c r="D5" s="262"/>
      <c r="E5" s="263"/>
      <c r="N5" s="151"/>
    </row>
    <row r="6" spans="2:14" x14ac:dyDescent="0.25">
      <c r="B6" s="159" t="s">
        <v>218</v>
      </c>
      <c r="E6" s="264">
        <v>260000</v>
      </c>
    </row>
    <row r="7" spans="2:14" x14ac:dyDescent="0.25">
      <c r="B7" s="159" t="s">
        <v>219</v>
      </c>
      <c r="E7" s="264">
        <v>250000</v>
      </c>
      <c r="G7" s="268"/>
      <c r="H7" s="269"/>
      <c r="I7" s="269"/>
      <c r="J7" s="270" t="s">
        <v>220</v>
      </c>
    </row>
    <row r="8" spans="2:14" x14ac:dyDescent="0.25">
      <c r="B8" s="159" t="s">
        <v>221</v>
      </c>
      <c r="E8" s="264">
        <f>(H8*J8)*1000</f>
        <v>495504</v>
      </c>
      <c r="G8" s="159" t="s">
        <v>222</v>
      </c>
      <c r="H8" s="271">
        <v>39.96</v>
      </c>
      <c r="I8" s="8" t="s">
        <v>223</v>
      </c>
      <c r="J8" s="272">
        <v>12.4</v>
      </c>
    </row>
    <row r="9" spans="2:14" x14ac:dyDescent="0.25">
      <c r="B9" s="159" t="s">
        <v>224</v>
      </c>
      <c r="E9" s="264">
        <f>H9*J9*1000</f>
        <v>131532.4</v>
      </c>
      <c r="G9" s="273" t="s">
        <v>222</v>
      </c>
      <c r="H9" s="274">
        <v>9.86</v>
      </c>
      <c r="I9" s="266" t="s">
        <v>223</v>
      </c>
      <c r="J9" s="275">
        <v>13.34</v>
      </c>
    </row>
    <row r="10" spans="2:14" x14ac:dyDescent="0.25">
      <c r="B10" s="159" t="s">
        <v>225</v>
      </c>
      <c r="E10" s="264">
        <v>48000</v>
      </c>
    </row>
    <row r="11" spans="2:14" x14ac:dyDescent="0.25">
      <c r="B11" s="265" t="s">
        <v>226</v>
      </c>
      <c r="C11" s="266"/>
      <c r="D11" s="266"/>
      <c r="E11" s="267">
        <f>SUM(E6:E10)</f>
        <v>1185036.3999999999</v>
      </c>
    </row>
    <row r="12" spans="2:14" x14ac:dyDescent="0.25">
      <c r="E12" s="14"/>
    </row>
    <row r="13" spans="2:14" x14ac:dyDescent="0.25">
      <c r="E13" s="14"/>
    </row>
    <row r="14" spans="2:14" x14ac:dyDescent="0.25">
      <c r="E14" s="14"/>
    </row>
    <row r="15" spans="2:14" x14ac:dyDescent="0.25">
      <c r="E15" s="14"/>
    </row>
    <row r="16" spans="2:14" x14ac:dyDescent="0.25">
      <c r="E16" s="14"/>
    </row>
    <row r="17" spans="5:5" x14ac:dyDescent="0.25">
      <c r="E17" s="1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99D87-A1A4-47E2-BF53-19DEB170D011}">
  <dimension ref="A1:Z65"/>
  <sheetViews>
    <sheetView workbookViewId="0">
      <selection activeCell="Z8" sqref="Z8"/>
    </sheetView>
  </sheetViews>
  <sheetFormatPr defaultRowHeight="15" x14ac:dyDescent="0.25"/>
  <cols>
    <col min="1" max="1" width="13.28515625" customWidth="1"/>
    <col min="2" max="2" width="21" customWidth="1"/>
    <col min="3" max="3" width="18.140625" customWidth="1"/>
    <col min="4" max="4" width="22.85546875" customWidth="1"/>
    <col min="5" max="5" width="13.140625" bestFit="1" customWidth="1"/>
    <col min="6" max="6" width="10.140625" bestFit="1" customWidth="1"/>
  </cols>
  <sheetData>
    <row r="1" spans="1:26" x14ac:dyDescent="0.25">
      <c r="A1" s="79"/>
      <c r="B1" s="79"/>
      <c r="C1" s="79"/>
      <c r="D1" s="79"/>
      <c r="E1" s="79"/>
      <c r="F1" s="79"/>
      <c r="W1" t="s">
        <v>227</v>
      </c>
      <c r="X1" t="s">
        <v>228</v>
      </c>
    </row>
    <row r="2" spans="1:26" x14ac:dyDescent="0.25">
      <c r="B2" s="369"/>
      <c r="C2" s="369"/>
      <c r="D2" s="369"/>
      <c r="W2" t="s">
        <v>229</v>
      </c>
      <c r="X2">
        <v>104.13</v>
      </c>
    </row>
    <row r="3" spans="1:26" x14ac:dyDescent="0.25">
      <c r="A3" s="79" t="s">
        <v>230</v>
      </c>
      <c r="B3" s="79" t="s">
        <v>231</v>
      </c>
      <c r="H3">
        <v>2022</v>
      </c>
      <c r="I3">
        <v>2023</v>
      </c>
      <c r="J3">
        <v>2024</v>
      </c>
      <c r="K3">
        <v>2025</v>
      </c>
      <c r="L3">
        <v>2026</v>
      </c>
      <c r="W3" t="s">
        <v>232</v>
      </c>
      <c r="X3">
        <v>100.45</v>
      </c>
      <c r="Y3" t="s">
        <v>233</v>
      </c>
    </row>
    <row r="4" spans="1:26" x14ac:dyDescent="0.25">
      <c r="H4">
        <f>AVERAGE(B10:B13)</f>
        <v>34.667499999999997</v>
      </c>
      <c r="I4">
        <f>AVERAGE(B14:B25)</f>
        <v>22.590000000000003</v>
      </c>
      <c r="J4">
        <f>AVERAGE(B26:B37)</f>
        <v>16.011666666666667</v>
      </c>
      <c r="K4">
        <f>AVERAGE(B38:B49)</f>
        <v>12.059166666666668</v>
      </c>
      <c r="L4">
        <f>AVERAGE(B50:B59)</f>
        <v>9.3989999999999991</v>
      </c>
      <c r="W4" t="s">
        <v>234</v>
      </c>
      <c r="X4">
        <v>96.14</v>
      </c>
      <c r="Y4">
        <v>2022</v>
      </c>
      <c r="Z4">
        <f>AVERAGE(X2:X4)</f>
        <v>100.24</v>
      </c>
    </row>
    <row r="5" spans="1:26" x14ac:dyDescent="0.25">
      <c r="A5" t="s">
        <v>235</v>
      </c>
      <c r="W5" t="s">
        <v>236</v>
      </c>
      <c r="X5">
        <v>92.78</v>
      </c>
      <c r="Y5">
        <v>2023</v>
      </c>
      <c r="Z5">
        <f>AVERAGE(X5:X8)</f>
        <v>89.132499999999993</v>
      </c>
    </row>
    <row r="6" spans="1:26" x14ac:dyDescent="0.25">
      <c r="A6" t="s">
        <v>237</v>
      </c>
      <c r="B6">
        <v>35.72</v>
      </c>
      <c r="W6" t="s">
        <v>238</v>
      </c>
      <c r="X6">
        <v>90.23</v>
      </c>
      <c r="Y6">
        <v>2024</v>
      </c>
      <c r="Z6">
        <f>AVERAGE(X10:X13)</f>
        <v>79.7</v>
      </c>
    </row>
    <row r="7" spans="1:26" x14ac:dyDescent="0.25">
      <c r="A7" t="s">
        <v>239</v>
      </c>
      <c r="B7">
        <v>35.549999999999997</v>
      </c>
      <c r="W7" t="s">
        <v>240</v>
      </c>
      <c r="X7">
        <v>87.88</v>
      </c>
      <c r="Y7">
        <v>2025</v>
      </c>
      <c r="Z7">
        <f>AVERAGE(X13:X16)</f>
        <v>76.032499999999999</v>
      </c>
    </row>
    <row r="8" spans="1:26" x14ac:dyDescent="0.25">
      <c r="A8" t="s">
        <v>241</v>
      </c>
      <c r="B8">
        <v>36.090000000000003</v>
      </c>
      <c r="W8" t="s">
        <v>242</v>
      </c>
      <c r="X8">
        <v>85.64</v>
      </c>
      <c r="Y8">
        <v>2026</v>
      </c>
      <c r="Z8">
        <f>AVERAGE(X17:X20)</f>
        <v>72.947499999999991</v>
      </c>
    </row>
    <row r="9" spans="1:26" x14ac:dyDescent="0.25">
      <c r="A9" t="s">
        <v>243</v>
      </c>
      <c r="B9">
        <v>36.18</v>
      </c>
      <c r="W9" t="s">
        <v>244</v>
      </c>
      <c r="X9">
        <v>83.55</v>
      </c>
    </row>
    <row r="10" spans="1:26" x14ac:dyDescent="0.25">
      <c r="A10" t="s">
        <v>245</v>
      </c>
      <c r="B10">
        <v>36.36</v>
      </c>
      <c r="W10" t="s">
        <v>246</v>
      </c>
      <c r="X10">
        <v>81.84</v>
      </c>
    </row>
    <row r="11" spans="1:26" x14ac:dyDescent="0.25">
      <c r="A11" t="s">
        <v>247</v>
      </c>
      <c r="B11">
        <v>34.799999999999997</v>
      </c>
      <c r="W11" t="s">
        <v>248</v>
      </c>
      <c r="X11">
        <v>80.31</v>
      </c>
    </row>
    <row r="12" spans="1:26" x14ac:dyDescent="0.25">
      <c r="A12" t="s">
        <v>249</v>
      </c>
      <c r="B12">
        <v>33.83</v>
      </c>
      <c r="W12" t="s">
        <v>250</v>
      </c>
      <c r="X12">
        <v>78.98</v>
      </c>
    </row>
    <row r="13" spans="1:26" x14ac:dyDescent="0.25">
      <c r="A13" t="s">
        <v>251</v>
      </c>
      <c r="B13">
        <v>33.68</v>
      </c>
      <c r="W13" t="s">
        <v>252</v>
      </c>
      <c r="X13">
        <v>77.67</v>
      </c>
    </row>
    <row r="14" spans="1:26" x14ac:dyDescent="0.25">
      <c r="A14" t="s">
        <v>253</v>
      </c>
      <c r="B14">
        <v>33.07</v>
      </c>
      <c r="W14" t="s">
        <v>254</v>
      </c>
      <c r="X14">
        <v>76.459999999999994</v>
      </c>
    </row>
    <row r="15" spans="1:26" x14ac:dyDescent="0.25">
      <c r="A15" t="s">
        <v>255</v>
      </c>
      <c r="B15">
        <v>32.46</v>
      </c>
      <c r="W15" t="s">
        <v>256</v>
      </c>
      <c r="X15">
        <v>75.42</v>
      </c>
    </row>
    <row r="16" spans="1:26" x14ac:dyDescent="0.25">
      <c r="A16" t="s">
        <v>257</v>
      </c>
      <c r="B16">
        <v>32.200000000000003</v>
      </c>
      <c r="W16" t="s">
        <v>258</v>
      </c>
      <c r="X16">
        <v>74.58</v>
      </c>
    </row>
    <row r="17" spans="1:24" x14ac:dyDescent="0.25">
      <c r="A17" t="s">
        <v>259</v>
      </c>
      <c r="B17">
        <v>20.100000000000001</v>
      </c>
      <c r="W17" t="s">
        <v>260</v>
      </c>
      <c r="X17">
        <v>73.94</v>
      </c>
    </row>
    <row r="18" spans="1:24" x14ac:dyDescent="0.25">
      <c r="A18" t="s">
        <v>261</v>
      </c>
      <c r="B18">
        <v>18.66</v>
      </c>
      <c r="W18" t="s">
        <v>262</v>
      </c>
      <c r="X18">
        <v>73.28</v>
      </c>
    </row>
    <row r="19" spans="1:24" x14ac:dyDescent="0.25">
      <c r="A19" t="s">
        <v>263</v>
      </c>
      <c r="B19">
        <v>18.8</v>
      </c>
      <c r="W19" t="s">
        <v>264</v>
      </c>
      <c r="X19">
        <v>72.61</v>
      </c>
    </row>
    <row r="20" spans="1:24" x14ac:dyDescent="0.25">
      <c r="A20" t="s">
        <v>265</v>
      </c>
      <c r="B20">
        <v>19.53</v>
      </c>
      <c r="W20" t="s">
        <v>266</v>
      </c>
      <c r="X20">
        <v>71.959999999999994</v>
      </c>
    </row>
    <row r="21" spans="1:24" x14ac:dyDescent="0.25">
      <c r="A21" t="s">
        <v>267</v>
      </c>
      <c r="B21">
        <v>19.670000000000002</v>
      </c>
    </row>
    <row r="22" spans="1:24" x14ac:dyDescent="0.25">
      <c r="A22" t="s">
        <v>268</v>
      </c>
      <c r="B22">
        <v>19.86</v>
      </c>
    </row>
    <row r="23" spans="1:24" x14ac:dyDescent="0.25">
      <c r="A23" t="s">
        <v>269</v>
      </c>
      <c r="B23">
        <v>18.940000000000001</v>
      </c>
    </row>
    <row r="24" spans="1:24" x14ac:dyDescent="0.25">
      <c r="A24" t="s">
        <v>270</v>
      </c>
      <c r="B24">
        <v>18.88</v>
      </c>
    </row>
    <row r="25" spans="1:24" x14ac:dyDescent="0.25">
      <c r="A25" t="s">
        <v>271</v>
      </c>
      <c r="B25">
        <v>18.91</v>
      </c>
    </row>
    <row r="26" spans="1:24" x14ac:dyDescent="0.25">
      <c r="A26" t="s">
        <v>272</v>
      </c>
      <c r="B26">
        <v>18.11</v>
      </c>
    </row>
    <row r="27" spans="1:24" x14ac:dyDescent="0.25">
      <c r="A27" t="s">
        <v>273</v>
      </c>
      <c r="B27">
        <v>18.73</v>
      </c>
    </row>
    <row r="28" spans="1:24" x14ac:dyDescent="0.25">
      <c r="A28" t="s">
        <v>274</v>
      </c>
      <c r="B28">
        <v>18.27</v>
      </c>
    </row>
    <row r="29" spans="1:24" x14ac:dyDescent="0.25">
      <c r="A29" t="s">
        <v>275</v>
      </c>
      <c r="B29">
        <v>16.920000000000002</v>
      </c>
    </row>
    <row r="30" spans="1:24" x14ac:dyDescent="0.25">
      <c r="A30" t="s">
        <v>276</v>
      </c>
      <c r="B30">
        <v>15.26</v>
      </c>
    </row>
    <row r="31" spans="1:24" x14ac:dyDescent="0.25">
      <c r="A31" t="s">
        <v>277</v>
      </c>
      <c r="B31">
        <v>15.01</v>
      </c>
    </row>
    <row r="32" spans="1:24" x14ac:dyDescent="0.25">
      <c r="A32" t="s">
        <v>278</v>
      </c>
      <c r="B32">
        <v>14.81</v>
      </c>
    </row>
    <row r="33" spans="1:15" x14ac:dyDescent="0.25">
      <c r="A33" t="s">
        <v>279</v>
      </c>
      <c r="B33">
        <v>14.69</v>
      </c>
    </row>
    <row r="34" spans="1:15" x14ac:dyDescent="0.25">
      <c r="A34" t="s">
        <v>280</v>
      </c>
      <c r="B34">
        <v>14.85</v>
      </c>
    </row>
    <row r="35" spans="1:15" x14ac:dyDescent="0.25">
      <c r="A35" t="s">
        <v>281</v>
      </c>
      <c r="B35">
        <v>15.03</v>
      </c>
    </row>
    <row r="36" spans="1:15" x14ac:dyDescent="0.25">
      <c r="A36" t="s">
        <v>282</v>
      </c>
      <c r="B36">
        <v>15.29</v>
      </c>
      <c r="O36" t="s">
        <v>283</v>
      </c>
    </row>
    <row r="37" spans="1:15" x14ac:dyDescent="0.25">
      <c r="A37" t="s">
        <v>284</v>
      </c>
      <c r="B37">
        <v>15.17</v>
      </c>
    </row>
    <row r="38" spans="1:15" x14ac:dyDescent="0.25">
      <c r="A38" t="s">
        <v>285</v>
      </c>
      <c r="B38">
        <v>14.56</v>
      </c>
    </row>
    <row r="39" spans="1:15" x14ac:dyDescent="0.25">
      <c r="A39" t="s">
        <v>286</v>
      </c>
      <c r="B39">
        <v>14.02</v>
      </c>
    </row>
    <row r="40" spans="1:15" x14ac:dyDescent="0.25">
      <c r="A40" t="s">
        <v>287</v>
      </c>
      <c r="B40">
        <v>13.12</v>
      </c>
    </row>
    <row r="41" spans="1:15" x14ac:dyDescent="0.25">
      <c r="A41" t="s">
        <v>288</v>
      </c>
      <c r="B41">
        <v>12.57</v>
      </c>
    </row>
    <row r="42" spans="1:15" x14ac:dyDescent="0.25">
      <c r="A42" t="s">
        <v>289</v>
      </c>
      <c r="B42">
        <v>12.07</v>
      </c>
    </row>
    <row r="43" spans="1:15" x14ac:dyDescent="0.25">
      <c r="A43" t="s">
        <v>290</v>
      </c>
      <c r="B43">
        <v>11.69</v>
      </c>
    </row>
    <row r="44" spans="1:15" x14ac:dyDescent="0.25">
      <c r="A44" t="s">
        <v>291</v>
      </c>
      <c r="B44">
        <v>11.23</v>
      </c>
    </row>
    <row r="45" spans="1:15" x14ac:dyDescent="0.25">
      <c r="A45" t="s">
        <v>292</v>
      </c>
      <c r="B45">
        <v>11.25</v>
      </c>
    </row>
    <row r="46" spans="1:15" x14ac:dyDescent="0.25">
      <c r="A46" t="s">
        <v>293</v>
      </c>
      <c r="B46">
        <v>11.25</v>
      </c>
    </row>
    <row r="47" spans="1:15" x14ac:dyDescent="0.25">
      <c r="A47" t="s">
        <v>294</v>
      </c>
      <c r="B47">
        <v>11.01</v>
      </c>
    </row>
    <row r="48" spans="1:15" x14ac:dyDescent="0.25">
      <c r="A48" t="s">
        <v>295</v>
      </c>
      <c r="B48">
        <v>11</v>
      </c>
    </row>
    <row r="49" spans="1:2" x14ac:dyDescent="0.25">
      <c r="A49" t="s">
        <v>296</v>
      </c>
      <c r="B49">
        <v>10.94</v>
      </c>
    </row>
    <row r="50" spans="1:2" x14ac:dyDescent="0.25">
      <c r="A50" t="s">
        <v>297</v>
      </c>
      <c r="B50">
        <v>10.47</v>
      </c>
    </row>
    <row r="51" spans="1:2" x14ac:dyDescent="0.25">
      <c r="A51" t="s">
        <v>298</v>
      </c>
      <c r="B51">
        <v>10.44</v>
      </c>
    </row>
    <row r="52" spans="1:2" x14ac:dyDescent="0.25">
      <c r="A52" t="s">
        <v>299</v>
      </c>
      <c r="B52">
        <v>10.53</v>
      </c>
    </row>
    <row r="53" spans="1:2" x14ac:dyDescent="0.25">
      <c r="A53" t="s">
        <v>300</v>
      </c>
      <c r="B53">
        <v>9.1199999999999992</v>
      </c>
    </row>
    <row r="54" spans="1:2" x14ac:dyDescent="0.25">
      <c r="A54" t="s">
        <v>301</v>
      </c>
      <c r="B54">
        <v>8.93</v>
      </c>
    </row>
    <row r="55" spans="1:2" x14ac:dyDescent="0.25">
      <c r="A55" t="s">
        <v>302</v>
      </c>
      <c r="B55">
        <v>8.73</v>
      </c>
    </row>
    <row r="56" spans="1:2" x14ac:dyDescent="0.25">
      <c r="A56" t="s">
        <v>303</v>
      </c>
      <c r="B56">
        <v>8.58</v>
      </c>
    </row>
    <row r="57" spans="1:2" x14ac:dyDescent="0.25">
      <c r="A57" t="s">
        <v>304</v>
      </c>
      <c r="B57">
        <v>8.76</v>
      </c>
    </row>
    <row r="58" spans="1:2" x14ac:dyDescent="0.25">
      <c r="A58" t="s">
        <v>305</v>
      </c>
      <c r="B58">
        <v>9.0399999999999991</v>
      </c>
    </row>
    <row r="59" spans="1:2" x14ac:dyDescent="0.25">
      <c r="A59">
        <v>2026</v>
      </c>
      <c r="B59">
        <v>9.39</v>
      </c>
    </row>
    <row r="60" spans="1:2" x14ac:dyDescent="0.25">
      <c r="A60" t="s">
        <v>306</v>
      </c>
      <c r="B60">
        <v>9.4700000000000006</v>
      </c>
    </row>
    <row r="61" spans="1:2" x14ac:dyDescent="0.25">
      <c r="A61" t="s">
        <v>307</v>
      </c>
      <c r="B61">
        <v>8.2200000000000006</v>
      </c>
    </row>
    <row r="62" spans="1:2" x14ac:dyDescent="0.25">
      <c r="A62">
        <v>2027</v>
      </c>
      <c r="B62">
        <v>8.94</v>
      </c>
    </row>
    <row r="63" spans="1:2" x14ac:dyDescent="0.25">
      <c r="A63" t="s">
        <v>308</v>
      </c>
      <c r="B63">
        <v>8.9499999999999993</v>
      </c>
    </row>
    <row r="64" spans="1:2" x14ac:dyDescent="0.25">
      <c r="A64" t="s">
        <v>309</v>
      </c>
      <c r="B64">
        <v>8.11</v>
      </c>
    </row>
    <row r="65" spans="1:2" x14ac:dyDescent="0.25">
      <c r="A65" t="s">
        <v>310</v>
      </c>
      <c r="B65">
        <v>8.75</v>
      </c>
    </row>
  </sheetData>
  <mergeCells count="1">
    <mergeCell ref="B2:D2"/>
  </mergeCells>
  <pageMargins left="0.7" right="0.7" top="0.75" bottom="0.75" header="0.3" footer="0.3"/>
  <drawing r:id="rId1"/>
</worksheet>
</file>

<file path=xl/worksheets/xl/_rels/comments10.xml.rels><?xml version="1.0" encoding="UTF-8" standalone="yes"?>
<Relationships xmlns="http://schemas.openxmlformats.org/package/2006/relationships"><Relationship Target="commentsmeta5" Type="http://customschemas.google.com/relationships/workbookmetadata" Id="rId1"></Relationship></Relationships>
</file>

<file path=xl/worksheets/xl/_rels/comments11.xml.rels><?xml version="1.0" encoding="UTF-8" standalone="yes"?>
<Relationships xmlns="http://schemas.openxmlformats.org/package/2006/relationships"><Relationship Target="commentsmeta6" Type="http://customschemas.google.com/relationships/workbookmetadata" Id="rId1"></Relationship></Relationships>
</file>

<file path=xl/worksheets/xl/_rels/comments12.xml.rels><?xml version="1.0" encoding="UTF-8" standalone="yes"?>
<Relationships xmlns="http://schemas.openxmlformats.org/package/2006/relationships"><Relationship Target="commentsmeta7" Type="http://customschemas.google.com/relationships/workbookmetadata" Id="rId1"></Relationship></Relationships>
</file>

<file path=xl/worksheets/xl/_rels/comments13.xml.rels><?xml version="1.0" encoding="UTF-8" standalone="yes"?>
<Relationships xmlns="http://schemas.openxmlformats.org/package/2006/relationships"><Relationship Target="commentsmeta8" Type="http://customschemas.google.com/relationships/workbookmetadata" Id="rId1"></Relationship></Relationships>
</file>

<file path=xl/worksheets/xl/_rels/comments14.xml.rels><?xml version="1.0" encoding="UTF-8" standalone="yes"?>
<Relationships xmlns="http://schemas.openxmlformats.org/package/2006/relationships"><Relationship Target="commentsmeta9" Type="http://customschemas.google.com/relationships/workbookmetadata" Id="rId1"></Relationship></Relationships>
</file>

<file path=xl/worksheets/xl/_rels/comments15.xml.rels><?xml version="1.0" encoding="UTF-8" standalone="yes"?>
<Relationships xmlns="http://schemas.openxmlformats.org/package/2006/relationships"><Relationship Target="commentsmeta10" Type="http://customschemas.google.com/relationships/workbookmetadata" Id="rId1"></Relationship></Relationships>
</file>

<file path=xl/worksheets/xl/_rels/comments16.xml.rels><?xml version="1.0" encoding="UTF-8" standalone="yes"?>
<Relationships xmlns="http://schemas.openxmlformats.org/package/2006/relationships"><Relationship Target="commentsmeta11" Type="http://customschemas.google.com/relationships/workbookmetadata" Id="rId1"></Relationship></Relationships>
</file>

<file path=xl/worksheets/xl/_rels/comments17.xml.rels><?xml version="1.0" encoding="UTF-8" standalone="yes"?>
<Relationships xmlns="http://schemas.openxmlformats.org/package/2006/relationships"><Relationship Target="commentsmeta12" Type="http://customschemas.google.com/relationships/workbookmetadata" Id="rId1"></Relationship></Relationships>
</file>

<file path=xl/worksheets/xl/_rels/comments18.xml.rels><?xml version="1.0" encoding="UTF-8" standalone="yes"?>
<Relationships xmlns="http://schemas.openxmlformats.org/package/2006/relationships"><Relationship Target="commentsmeta13" Type="http://customschemas.google.com/relationships/workbookmetadata" Id="rId1"></Relationship></Relationships>
</file>

<file path=xl/worksheets/xl/_rels/comments19.xml.rels><?xml version="1.0" encoding="UTF-8" standalone="yes"?>
<Relationships xmlns="http://schemas.openxmlformats.org/package/2006/relationships"><Relationship Target="commentsmeta14" Type="http://customschemas.google.com/relationships/workbookmetadata" Id="rId1"></Relationship></Relationships>
</file>

<file path=xl/worksheets/xl/_rels/comments20.xml.rels><?xml version="1.0" encoding="UTF-8" standalone="yes"?>
<Relationships xmlns="http://schemas.openxmlformats.org/package/2006/relationships"><Relationship Target="commentsmeta15" Type="http://customschemas.google.com/relationships/workbookmetadata" Id="rId1"></Relationship></Relationships>
</file>

<file path=xl/worksheets/xl/_rels/comments6.xml.rels><?xml version="1.0" encoding="UTF-8" standalone="yes"?>
<Relationships xmlns="http://schemas.openxmlformats.org/package/2006/relationships"><Relationship Target="commentsmeta1" Type="http://customschemas.google.com/relationships/workbookmetadata" Id="rId1"></Relationship></Relationships>
</file>

<file path=xl/worksheets/xl/_rels/comments7.xml.rels><?xml version="1.0" encoding="UTF-8" standalone="yes"?>
<Relationships xmlns="http://schemas.openxmlformats.org/package/2006/relationships"><Relationship Target="commentsmeta2" Type="http://customschemas.google.com/relationships/workbookmetadata" Id="rId1"></Relationship></Relationships>
</file>

<file path=xl/worksheets/xl/_rels/comments8.xml.rels><?xml version="1.0" encoding="UTF-8" standalone="yes"?>
<Relationships xmlns="http://schemas.openxmlformats.org/package/2006/relationships"><Relationship Target="commentsmeta3" Type="http://customschemas.google.com/relationships/workbookmetadata" Id="rId1"></Relationship></Relationships>
</file>

<file path=xl/worksheets/xl/_rels/comments9.xml.rels><?xml version="1.0" encoding="UTF-8" standalone="yes"?>
<Relationships xmlns="http://schemas.openxmlformats.org/package/2006/relationships"><Relationship Target="commentsmeta4" Type="http://customschemas.google.com/relationships/workbookmetadata" Id="rId1"></Relationship></Relationship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4F44EB967EE84CA6CE07D53D62EDE6" ma:contentTypeVersion="4" ma:contentTypeDescription="Create a new document." ma:contentTypeScope="" ma:versionID="940895120e20e5aac03a4ba8ae59f6a0">
  <xsd:schema xmlns:xsd="http://www.w3.org/2001/XMLSchema" xmlns:xs="http://www.w3.org/2001/XMLSchema" xmlns:p="http://schemas.microsoft.com/office/2006/metadata/properties" xmlns:ns3="be896a61-7581-463b-bf61-ce85216c0cd3" targetNamespace="http://schemas.microsoft.com/office/2006/metadata/properties" ma:root="true" ma:fieldsID="4d33c75c14e9ba09fbf106f15252e46c" ns3:_="">
    <xsd:import namespace="be896a61-7581-463b-bf61-ce85216c0cd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896a61-7581-463b-bf61-ce85216c0c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B83799-2F1D-4E80-B9AA-9C11DB2DC295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  <ds:schemaRef ds:uri="be896a61-7581-463b-bf61-ce85216c0cd3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0F5B9F1-1D09-42AF-AB6C-E520639EE9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F24B53-ED9C-4646-BCBA-8F0964C0D2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896a61-7581-463b-bf61-ce85216c0c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Bull</vt:lpstr>
      <vt:lpstr>Base</vt:lpstr>
      <vt:lpstr>Bear</vt:lpstr>
      <vt:lpstr>COMPS</vt:lpstr>
      <vt:lpstr>Football Field</vt:lpstr>
      <vt:lpstr>WACC</vt:lpstr>
      <vt:lpstr>Liquidity Position</vt:lpstr>
      <vt:lpstr>TTF and brentForward Curve</vt:lpstr>
      <vt:lpstr>Balance Sheet</vt:lpstr>
      <vt:lpstr>Income Statment</vt:lpstr>
      <vt:lpstr>Cash Flows</vt:lpstr>
      <vt:lpstr>Shipping Spot</vt:lpstr>
      <vt:lpstr>Natural Gas Prices</vt:lpstr>
      <vt:lpstr>Analyst Ratings</vt:lpstr>
      <vt:lpstr>Supporting figures</vt:lpstr>
      <vt:lpstr>EIA outlook</vt:lpstr>
      <vt:lpstr>Projection</vt:lpstr>
      <vt:lpstr>D&amp;A &amp; CapEx</vt:lpstr>
      <vt:lpstr>DCFs</vt:lpstr>
    </vt:vector>
  </TitlesOfParts>
  <Manager/>
  <Company>Binghamton University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Burke Sansiviero</dc:creator>
  <cp:keywords/>
  <dc:description/>
  <cp:lastModifiedBy>Burke Sansiviero</cp:lastModifiedBy>
  <cp:revision/>
  <dcterms:created xsi:type="dcterms:W3CDTF">2022-03-24T18:13:17Z</dcterms:created>
  <dcterms:modified xsi:type="dcterms:W3CDTF">2022-05-04T03:03:36Z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0x010100B74F44EB967EE84CA6CE07D53D62EDE6</vt:lpwstr>
  </property>
</Properties>
</file>