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binghamton-my.sharepoint.com/personal/sammatu1_binghamton_edu/Documents/"/>
    </mc:Choice>
  </mc:AlternateContent>
  <xr:revisionPtr revIDLastSave="464" documentId="14_{7635156C-9691-4406-90CF-C42FF25E6AB6}" xr6:coauthVersionLast="47" xr6:coauthVersionMax="47" xr10:uidLastSave="{339B429F-7FEB-412A-AAC2-41B8427F5FCF}"/>
  <bookViews>
    <workbookView minimized="1" xWindow="1920" yWindow="1920" windowWidth="11040" windowHeight="8880" activeTab="13" xr2:uid="{1DF037C7-6280-4177-9D6E-85A9F82A08DF}"/>
  </bookViews>
  <sheets>
    <sheet name="Income Statement" sheetId="1" r:id="rId1"/>
    <sheet name="Rev Build" sheetId="9" r:id="rId2"/>
    <sheet name="Balannce Sheet" sheetId="4" r:id="rId3"/>
    <sheet name="NWC" sheetId="12" r:id="rId4"/>
    <sheet name="CF Simpler" sheetId="7" r:id="rId5"/>
    <sheet name="REAL COMPS" sheetId="26" r:id="rId6"/>
    <sheet name="DCF" sheetId="14" r:id="rId7"/>
    <sheet name="NAV" sheetId="19" r:id="rId8"/>
    <sheet name="Football Field" sheetId="27" r:id="rId9"/>
    <sheet name="WACC" sheetId="11" r:id="rId10"/>
    <sheet name="DDM" sheetId="20" r:id="rId11"/>
    <sheet name="BETA" sheetId="8" r:id="rId12"/>
    <sheet name="other" sheetId="16" r:id="rId13"/>
    <sheet name="stock" sheetId="21" r:id="rId14"/>
    <sheet name="Sheet3" sheetId="23" r:id="rId15"/>
    <sheet name="Las Vegas Stats" sheetId="24" r:id="rId16"/>
    <sheet name="Sheet1" sheetId="25" r:id="rId17"/>
    <sheet name="Banks porjections" sheetId="28" r:id="rId18"/>
    <sheet name="graphs" sheetId="29" r:id="rId19"/>
  </sheets>
  <externalReferences>
    <externalReference r:id="rId2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3" i="21" l="1"/>
  <c r="G60" i="1"/>
  <c r="G59" i="1"/>
  <c r="I46" i="1"/>
  <c r="I45" i="1"/>
  <c r="E63" i="1" l="1"/>
  <c r="F63" i="1"/>
  <c r="G63" i="1"/>
  <c r="H63" i="1"/>
  <c r="I63" i="1"/>
  <c r="I64" i="1" s="1"/>
  <c r="E64" i="1"/>
  <c r="F64" i="1"/>
  <c r="G64" i="1"/>
  <c r="H64" i="1"/>
  <c r="C64" i="1"/>
  <c r="D64" i="1"/>
  <c r="C63" i="1"/>
  <c r="D63" i="1"/>
  <c r="B64" i="1"/>
  <c r="B63" i="1"/>
  <c r="K24" i="4"/>
  <c r="L24" i="4"/>
  <c r="M24" i="4"/>
  <c r="N24" i="4"/>
  <c r="H24" i="4"/>
  <c r="I24" i="4"/>
  <c r="J24" i="4"/>
  <c r="G24" i="4"/>
  <c r="C7" i="14"/>
  <c r="W58" i="29"/>
  <c r="C32" i="12"/>
  <c r="C24" i="12"/>
  <c r="H13" i="27"/>
  <c r="G14" i="27"/>
  <c r="C60" i="14"/>
  <c r="F60" i="14"/>
  <c r="F64" i="14" s="1"/>
  <c r="F67" i="14" s="1"/>
  <c r="M12" i="27" s="1"/>
  <c r="I52" i="14"/>
  <c r="F52" i="14"/>
  <c r="K15" i="27"/>
  <c r="L15" i="27" s="1"/>
  <c r="F71" i="14"/>
  <c r="F75" i="14" s="1"/>
  <c r="F78" i="14" s="1"/>
  <c r="M11" i="27" s="1"/>
  <c r="F83" i="14"/>
  <c r="F86" i="14" s="1"/>
  <c r="M14" i="27" s="1"/>
  <c r="L14" i="27" s="1"/>
  <c r="M10" i="27"/>
  <c r="K10" i="27"/>
  <c r="K14" i="27"/>
  <c r="C83" i="14"/>
  <c r="C86" i="14" s="1"/>
  <c r="K11" i="27"/>
  <c r="O20" i="26"/>
  <c r="O21" i="26"/>
  <c r="H11" i="26"/>
  <c r="H45" i="1"/>
  <c r="O25" i="26"/>
  <c r="K9" i="27"/>
  <c r="L9" i="27" s="1"/>
  <c r="O14" i="27"/>
  <c r="P13" i="27"/>
  <c r="N13" i="27"/>
  <c r="P12" i="27"/>
  <c r="N12" i="27"/>
  <c r="P11" i="27"/>
  <c r="N11" i="27"/>
  <c r="P10" i="27"/>
  <c r="N10" i="27"/>
  <c r="C71" i="14"/>
  <c r="C75" i="14" s="1"/>
  <c r="Q20" i="26"/>
  <c r="B18" i="27"/>
  <c r="B19" i="27"/>
  <c r="B20" i="27"/>
  <c r="B17" i="27"/>
  <c r="F12" i="27"/>
  <c r="E12" i="27"/>
  <c r="C12" i="27"/>
  <c r="F11" i="27"/>
  <c r="E11" i="27"/>
  <c r="C11" i="27"/>
  <c r="F10" i="27"/>
  <c r="E10" i="27"/>
  <c r="C10" i="27"/>
  <c r="F9" i="27"/>
  <c r="D10" i="27" l="1"/>
  <c r="O24" i="26"/>
  <c r="O23" i="26"/>
  <c r="O22" i="26"/>
  <c r="L10" i="27"/>
  <c r="P14" i="27"/>
  <c r="I53" i="14"/>
  <c r="I56" i="14" s="1"/>
  <c r="M13" i="27" s="1"/>
  <c r="F53" i="14"/>
  <c r="F56" i="14" s="1"/>
  <c r="K13" i="27" s="1"/>
  <c r="D12" i="27"/>
  <c r="D11" i="27"/>
  <c r="L13" i="27" l="1"/>
  <c r="H36" i="14"/>
  <c r="I36" i="14" s="1"/>
  <c r="J36" i="14" s="1"/>
  <c r="K36" i="14" s="1"/>
  <c r="C51" i="14"/>
  <c r="C53" i="14" s="1"/>
  <c r="T13" i="26"/>
  <c r="R13" i="26"/>
  <c r="C27" i="14"/>
  <c r="O12" i="26"/>
  <c r="U30" i="26"/>
  <c r="S30" i="26"/>
  <c r="R30" i="26"/>
  <c r="Q30" i="26"/>
  <c r="P30" i="26"/>
  <c r="E30" i="26"/>
  <c r="T30" i="26" s="1"/>
  <c r="O17" i="26"/>
  <c r="O16" i="26"/>
  <c r="O15" i="26"/>
  <c r="O14" i="26"/>
  <c r="O13" i="26"/>
  <c r="F38" i="14"/>
  <c r="F39" i="14" s="1"/>
  <c r="F40" i="14" s="1"/>
  <c r="F41" i="14" s="1"/>
  <c r="C36" i="14"/>
  <c r="D21" i="19" s="1"/>
  <c r="C32" i="14"/>
  <c r="C42" i="14" s="1"/>
  <c r="C62" i="14" s="1"/>
  <c r="C31" i="14"/>
  <c r="C41" i="14" s="1"/>
  <c r="C61" i="14" s="1"/>
  <c r="P11" i="26"/>
  <c r="Q11" i="26"/>
  <c r="Q19" i="26" s="1"/>
  <c r="R11" i="26"/>
  <c r="R19" i="26" s="1"/>
  <c r="S11" i="26"/>
  <c r="S19" i="26" s="1"/>
  <c r="T11" i="26"/>
  <c r="T19" i="26" s="1"/>
  <c r="U11" i="26"/>
  <c r="O11" i="26"/>
  <c r="S5" i="26"/>
  <c r="U8" i="26"/>
  <c r="S8" i="26"/>
  <c r="U7" i="26"/>
  <c r="S7" i="26"/>
  <c r="U6" i="26"/>
  <c r="S6" i="26"/>
  <c r="U5" i="26"/>
  <c r="U13" i="26" s="1"/>
  <c r="R8" i="26"/>
  <c r="R17" i="26" s="1"/>
  <c r="R7" i="26"/>
  <c r="R6" i="26"/>
  <c r="R5" i="26"/>
  <c r="R12" i="26" s="1"/>
  <c r="U4" i="26"/>
  <c r="S4" i="26"/>
  <c r="R4" i="26"/>
  <c r="Q8" i="26"/>
  <c r="Q12" i="26" s="1"/>
  <c r="Q7" i="26"/>
  <c r="Q6" i="26"/>
  <c r="Q5" i="26"/>
  <c r="Q4" i="26"/>
  <c r="P8" i="26"/>
  <c r="P7" i="26"/>
  <c r="P6" i="26"/>
  <c r="P5" i="26"/>
  <c r="P15" i="26" s="1"/>
  <c r="P4" i="26"/>
  <c r="E5" i="26"/>
  <c r="T5" i="26" s="1"/>
  <c r="T14" i="26" s="1"/>
  <c r="E6" i="26"/>
  <c r="T6" i="26" s="1"/>
  <c r="T17" i="26" s="1"/>
  <c r="T25" i="26" s="1"/>
  <c r="E7" i="26"/>
  <c r="T7" i="26" s="1"/>
  <c r="E8" i="26"/>
  <c r="T8" i="26" s="1"/>
  <c r="T15" i="26" s="1"/>
  <c r="E4" i="26"/>
  <c r="T4" i="26" s="1"/>
  <c r="C64" i="14" l="1"/>
  <c r="R14" i="26"/>
  <c r="T16" i="26"/>
  <c r="T24" i="26" s="1"/>
  <c r="Q15" i="26"/>
  <c r="Q23" i="26" s="1"/>
  <c r="Q14" i="26"/>
  <c r="R15" i="26"/>
  <c r="R16" i="26"/>
  <c r="S12" i="26"/>
  <c r="S20" i="26" s="1"/>
  <c r="S17" i="26"/>
  <c r="T12" i="26"/>
  <c r="T20" i="26" s="1"/>
  <c r="S13" i="26"/>
  <c r="S21" i="26" s="1"/>
  <c r="C46" i="14"/>
  <c r="C55" i="14" s="1"/>
  <c r="C66" i="14" s="1"/>
  <c r="P16" i="26"/>
  <c r="P12" i="26"/>
  <c r="Q17" i="26"/>
  <c r="U15" i="26"/>
  <c r="S14" i="26"/>
  <c r="S22" i="26" s="1"/>
  <c r="Q13" i="26"/>
  <c r="Q21" i="26" s="1"/>
  <c r="P17" i="26"/>
  <c r="P13" i="26"/>
  <c r="U14" i="26"/>
  <c r="U16" i="26"/>
  <c r="S15" i="26"/>
  <c r="S23" i="26" s="1"/>
  <c r="U12" i="26"/>
  <c r="Q16" i="26"/>
  <c r="R23" i="26"/>
  <c r="P14" i="26"/>
  <c r="U17" i="26"/>
  <c r="S16" i="26"/>
  <c r="R20" i="26"/>
  <c r="T22" i="26"/>
  <c r="T23" i="26"/>
  <c r="T21" i="26"/>
  <c r="R24" i="26"/>
  <c r="S25" i="26"/>
  <c r="Q25" i="26"/>
  <c r="R25" i="26"/>
  <c r="Q22" i="26"/>
  <c r="S24" i="26"/>
  <c r="R22" i="26"/>
  <c r="Q24" i="26"/>
  <c r="R21" i="26"/>
  <c r="S50" i="25"/>
  <c r="S51" i="25"/>
  <c r="S52" i="25"/>
  <c r="S53" i="25"/>
  <c r="S54" i="25"/>
  <c r="S55" i="25"/>
  <c r="S56" i="25"/>
  <c r="S57" i="25"/>
  <c r="S49" i="25"/>
  <c r="S59" i="25" s="1"/>
  <c r="V41" i="25"/>
  <c r="V42" i="25"/>
  <c r="V43" i="25"/>
  <c r="V44" i="25"/>
  <c r="V45" i="25"/>
  <c r="V46" i="25"/>
  <c r="V47" i="25"/>
  <c r="V48" i="25"/>
  <c r="V40" i="25"/>
  <c r="Q12" i="20"/>
  <c r="L13" i="20"/>
  <c r="M13" i="20"/>
  <c r="N13" i="20"/>
  <c r="O13" i="20"/>
  <c r="K13" i="20"/>
  <c r="I4" i="23"/>
  <c r="I5" i="23"/>
  <c r="I6" i="23"/>
  <c r="I7" i="23"/>
  <c r="I8" i="23"/>
  <c r="I9" i="23"/>
  <c r="I10" i="23"/>
  <c r="I11" i="23"/>
  <c r="I12" i="23"/>
  <c r="I13" i="23"/>
  <c r="I14" i="23"/>
  <c r="I15" i="23"/>
  <c r="I16" i="23"/>
  <c r="I17" i="23"/>
  <c r="I18" i="23"/>
  <c r="I19" i="23"/>
  <c r="I20" i="23"/>
  <c r="I21" i="23"/>
  <c r="I22" i="23"/>
  <c r="I23" i="23"/>
  <c r="I24" i="23"/>
  <c r="I25" i="23"/>
  <c r="I26" i="23"/>
  <c r="I3" i="23"/>
  <c r="G3" i="23"/>
  <c r="G4" i="23"/>
  <c r="H4" i="23"/>
  <c r="G5" i="23"/>
  <c r="H5" i="23"/>
  <c r="G6" i="23"/>
  <c r="H6" i="23"/>
  <c r="G7" i="23"/>
  <c r="H7" i="23"/>
  <c r="G8" i="23"/>
  <c r="H8" i="23"/>
  <c r="G9" i="23"/>
  <c r="H9" i="23"/>
  <c r="G10" i="23"/>
  <c r="H10" i="23"/>
  <c r="G11" i="23"/>
  <c r="H11" i="23"/>
  <c r="G12" i="23"/>
  <c r="H12" i="23"/>
  <c r="G13" i="23"/>
  <c r="H13" i="23"/>
  <c r="G14" i="23"/>
  <c r="H14" i="23"/>
  <c r="G15" i="23"/>
  <c r="H15" i="23"/>
  <c r="G16" i="23"/>
  <c r="H16" i="23"/>
  <c r="G17" i="23"/>
  <c r="H17" i="23"/>
  <c r="G18" i="23"/>
  <c r="H18" i="23"/>
  <c r="G19" i="23"/>
  <c r="H19" i="23"/>
  <c r="G20" i="23"/>
  <c r="H20" i="23"/>
  <c r="G21" i="23"/>
  <c r="H21" i="23"/>
  <c r="G22" i="23"/>
  <c r="H22" i="23"/>
  <c r="G23" i="23"/>
  <c r="H23" i="23"/>
  <c r="G24" i="23"/>
  <c r="H24" i="23"/>
  <c r="G25" i="23"/>
  <c r="H25" i="23"/>
  <c r="G26" i="23"/>
  <c r="H26" i="23"/>
  <c r="H3" i="23"/>
  <c r="C77" i="14" l="1"/>
  <c r="C78" i="14" s="1"/>
  <c r="L11" i="27" s="1"/>
  <c r="C67" i="14"/>
  <c r="K12" i="27" s="1"/>
  <c r="L12" i="27" s="1"/>
  <c r="V49" i="25"/>
  <c r="E49" i="7"/>
  <c r="C14" i="14" s="1"/>
  <c r="C19" i="11"/>
  <c r="AP67" i="16" l="1"/>
  <c r="AQ71" i="16" s="1"/>
  <c r="C33" i="20" l="1"/>
  <c r="C34" i="20" s="1"/>
  <c r="C35" i="20" s="1"/>
  <c r="C36" i="20" s="1"/>
  <c r="E31" i="20"/>
  <c r="F31" i="20" s="1"/>
  <c r="G31" i="20" s="1"/>
  <c r="H31" i="20" s="1"/>
  <c r="M11" i="20"/>
  <c r="L14" i="20" s="1"/>
  <c r="N11" i="20"/>
  <c r="M14" i="20" s="1"/>
  <c r="O11" i="20"/>
  <c r="N14" i="20" s="1"/>
  <c r="P11" i="20"/>
  <c r="O14" i="20" s="1"/>
  <c r="L11" i="20"/>
  <c r="D16" i="9"/>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3" i="8"/>
  <c r="G3" i="8"/>
  <c r="O37" i="9"/>
  <c r="P37" i="9"/>
  <c r="Q37" i="9"/>
  <c r="N37" i="9"/>
  <c r="N4" i="9"/>
  <c r="O4" i="9"/>
  <c r="Q4" i="9"/>
  <c r="R4" i="9"/>
  <c r="S4" i="9"/>
  <c r="T4" i="9"/>
  <c r="U4" i="9"/>
  <c r="V4" i="9"/>
  <c r="M4" i="9"/>
  <c r="M3" i="21"/>
  <c r="K3" i="21"/>
  <c r="L3" i="21"/>
  <c r="L5" i="21"/>
  <c r="K5" i="21"/>
  <c r="M5" i="21"/>
  <c r="J3" i="21"/>
  <c r="F47" i="21"/>
  <c r="G47" i="21"/>
  <c r="H47" i="21"/>
  <c r="F4" i="21"/>
  <c r="G4" i="21"/>
  <c r="H4" i="21"/>
  <c r="F5" i="21"/>
  <c r="G5" i="21"/>
  <c r="H5" i="21"/>
  <c r="F6" i="21"/>
  <c r="G6" i="21"/>
  <c r="H6" i="21"/>
  <c r="F7" i="21"/>
  <c r="G7" i="21"/>
  <c r="H7" i="21"/>
  <c r="F8" i="21"/>
  <c r="G8" i="21"/>
  <c r="H8" i="21"/>
  <c r="F9" i="21"/>
  <c r="G9" i="21"/>
  <c r="H9" i="21"/>
  <c r="F10" i="21"/>
  <c r="G10" i="21"/>
  <c r="H10" i="21"/>
  <c r="F11" i="21"/>
  <c r="G11" i="21"/>
  <c r="H11" i="21"/>
  <c r="F12" i="21"/>
  <c r="G12" i="21"/>
  <c r="H12" i="21"/>
  <c r="F13" i="21"/>
  <c r="G13" i="21"/>
  <c r="H13" i="21"/>
  <c r="F14" i="21"/>
  <c r="G14" i="21"/>
  <c r="H14" i="21"/>
  <c r="F15" i="21"/>
  <c r="G15" i="21"/>
  <c r="H15" i="21"/>
  <c r="F16" i="21"/>
  <c r="G16" i="21"/>
  <c r="H16" i="21"/>
  <c r="F17" i="21"/>
  <c r="G17" i="21"/>
  <c r="H17" i="21"/>
  <c r="F18" i="21"/>
  <c r="G18" i="21"/>
  <c r="H18" i="21"/>
  <c r="F19" i="21"/>
  <c r="G19" i="21"/>
  <c r="H19" i="21"/>
  <c r="F20" i="21"/>
  <c r="G20" i="21"/>
  <c r="H20" i="21"/>
  <c r="F21" i="21"/>
  <c r="G21" i="21"/>
  <c r="H21" i="21"/>
  <c r="F22" i="21"/>
  <c r="G22" i="21"/>
  <c r="H22" i="21"/>
  <c r="F23" i="21"/>
  <c r="G23" i="21"/>
  <c r="H23" i="21"/>
  <c r="F24" i="21"/>
  <c r="G24" i="21"/>
  <c r="H24" i="21"/>
  <c r="F25" i="21"/>
  <c r="G25" i="21"/>
  <c r="H25" i="21"/>
  <c r="F26" i="21"/>
  <c r="G26" i="21"/>
  <c r="H26" i="21"/>
  <c r="F27" i="21"/>
  <c r="G27" i="21"/>
  <c r="H27" i="21"/>
  <c r="F28" i="21"/>
  <c r="G28" i="21"/>
  <c r="H28" i="21"/>
  <c r="F29" i="21"/>
  <c r="G29" i="21"/>
  <c r="H29" i="21"/>
  <c r="F30" i="21"/>
  <c r="G30" i="21"/>
  <c r="H30" i="21"/>
  <c r="F31" i="21"/>
  <c r="G31" i="21"/>
  <c r="H31" i="21"/>
  <c r="F32" i="21"/>
  <c r="G32" i="21"/>
  <c r="H32" i="21"/>
  <c r="F33" i="21"/>
  <c r="G33" i="21"/>
  <c r="H33" i="21"/>
  <c r="F34" i="21"/>
  <c r="G34" i="21"/>
  <c r="H34" i="21"/>
  <c r="F35" i="21"/>
  <c r="G35" i="21"/>
  <c r="H35" i="21"/>
  <c r="F36" i="21"/>
  <c r="G36" i="21"/>
  <c r="H36" i="21"/>
  <c r="F37" i="21"/>
  <c r="G37" i="21"/>
  <c r="H37" i="21"/>
  <c r="F38" i="21"/>
  <c r="G38" i="21"/>
  <c r="H38" i="21"/>
  <c r="F39" i="21"/>
  <c r="G39" i="21"/>
  <c r="H39" i="21"/>
  <c r="F40" i="21"/>
  <c r="G40" i="21"/>
  <c r="H40" i="21"/>
  <c r="F41" i="21"/>
  <c r="G41" i="21"/>
  <c r="H41" i="21"/>
  <c r="F42" i="21"/>
  <c r="G42" i="21"/>
  <c r="H42" i="21"/>
  <c r="F43" i="21"/>
  <c r="G43" i="21"/>
  <c r="H43" i="21"/>
  <c r="F44" i="21"/>
  <c r="G44" i="21"/>
  <c r="H44" i="21"/>
  <c r="F45" i="21"/>
  <c r="G45" i="21"/>
  <c r="H45" i="21"/>
  <c r="F46" i="21"/>
  <c r="G46" i="21"/>
  <c r="H46" i="21"/>
  <c r="G3" i="21"/>
  <c r="H3" i="21"/>
  <c r="F3" i="21"/>
  <c r="Q11" i="20" l="1"/>
  <c r="K14" i="20"/>
  <c r="C13" i="20"/>
  <c r="C6" i="20"/>
  <c r="D16" i="20"/>
  <c r="E16" i="20" s="1"/>
  <c r="F16" i="20" s="1"/>
  <c r="G16" i="20" s="1"/>
  <c r="H16" i="20" s="1"/>
  <c r="H27" i="1"/>
  <c r="D18" i="19"/>
  <c r="D17" i="19"/>
  <c r="C17" i="20" l="1"/>
  <c r="D17" i="20" s="1"/>
  <c r="D18" i="20" s="1"/>
  <c r="E17" i="20" l="1"/>
  <c r="E18" i="20" s="1"/>
  <c r="C18" i="20"/>
  <c r="F17" i="20"/>
  <c r="G17" i="20" s="1"/>
  <c r="H17" i="20" s="1"/>
  <c r="F18" i="20" l="1"/>
  <c r="G18" i="20"/>
  <c r="C22" i="20" s="1"/>
  <c r="H18" i="20"/>
  <c r="C21" i="20" l="1"/>
  <c r="H27" i="14"/>
  <c r="I27" i="14" s="1"/>
  <c r="J27" i="14" s="1"/>
  <c r="K27" i="14" s="1"/>
  <c r="F29" i="14"/>
  <c r="F30" i="14" s="1"/>
  <c r="F31" i="14" s="1"/>
  <c r="F32" i="14" s="1"/>
  <c r="C13" i="11" l="1"/>
  <c r="D17" i="14" l="1"/>
  <c r="E17" i="14" s="1"/>
  <c r="F17" i="14" s="1"/>
  <c r="G17" i="14" s="1"/>
  <c r="H17" i="14" s="1"/>
  <c r="D25" i="1"/>
  <c r="C10" i="7" l="1"/>
  <c r="D10" i="7"/>
  <c r="B10" i="7"/>
  <c r="D32" i="12"/>
  <c r="C34" i="12"/>
  <c r="B32" i="12"/>
  <c r="D29" i="12"/>
  <c r="E29" i="12"/>
  <c r="C29" i="12"/>
  <c r="D27" i="12"/>
  <c r="E27" i="12"/>
  <c r="C27" i="12"/>
  <c r="D24" i="12"/>
  <c r="E24" i="12"/>
  <c r="D6" i="19" s="1"/>
  <c r="B24" i="12"/>
  <c r="E18" i="12"/>
  <c r="E17" i="12"/>
  <c r="E32" i="12" s="1"/>
  <c r="E34" i="12" s="1"/>
  <c r="E40" i="4"/>
  <c r="E30" i="4"/>
  <c r="C12" i="4"/>
  <c r="B12" i="4"/>
  <c r="B24" i="4" s="1"/>
  <c r="E12" i="4"/>
  <c r="E24" i="4" s="1"/>
  <c r="F25" i="1"/>
  <c r="E10" i="1"/>
  <c r="C40" i="4"/>
  <c r="D40" i="4"/>
  <c r="B40" i="4"/>
  <c r="C31" i="12" l="1"/>
  <c r="C36" i="12" s="1"/>
  <c r="E31" i="12"/>
  <c r="E36" i="12" s="1"/>
  <c r="D31" i="12"/>
  <c r="D34" i="12"/>
  <c r="E41" i="4"/>
  <c r="D36" i="12" l="1"/>
  <c r="D37" i="12" s="1"/>
  <c r="C30" i="4"/>
  <c r="C41" i="4" s="1"/>
  <c r="D30" i="4"/>
  <c r="D41" i="4" s="1"/>
  <c r="B30" i="4"/>
  <c r="B41" i="4" s="1"/>
  <c r="C24" i="4"/>
  <c r="D24" i="4"/>
  <c r="C20" i="11"/>
  <c r="C15" i="11"/>
  <c r="C8" i="11"/>
  <c r="E37" i="12" l="1"/>
  <c r="C13" i="14" s="1"/>
  <c r="C21" i="11"/>
  <c r="C22" i="11" l="1"/>
  <c r="C25" i="1" l="1"/>
  <c r="E25" i="1"/>
  <c r="G25" i="1"/>
  <c r="B25" i="1"/>
  <c r="K5" i="1"/>
  <c r="L5" i="1"/>
  <c r="M5" i="1"/>
  <c r="N5" i="1"/>
  <c r="K6" i="1"/>
  <c r="L6" i="1"/>
  <c r="M6" i="1"/>
  <c r="N6" i="1"/>
  <c r="J6" i="1"/>
  <c r="J5" i="1"/>
  <c r="S106" i="8"/>
  <c r="R106" i="8"/>
  <c r="S105" i="8"/>
  <c r="R105" i="8"/>
  <c r="S104" i="8"/>
  <c r="R104" i="8"/>
  <c r="S103" i="8"/>
  <c r="R103" i="8"/>
  <c r="S102" i="8"/>
  <c r="R102" i="8"/>
  <c r="S101" i="8"/>
  <c r="R101" i="8"/>
  <c r="S100" i="8"/>
  <c r="R100" i="8"/>
  <c r="S99" i="8"/>
  <c r="R99" i="8"/>
  <c r="S98" i="8"/>
  <c r="R98" i="8"/>
  <c r="S97" i="8"/>
  <c r="R97" i="8"/>
  <c r="S96" i="8"/>
  <c r="R96" i="8"/>
  <c r="S95" i="8"/>
  <c r="R95" i="8"/>
  <c r="S94" i="8"/>
  <c r="R94" i="8"/>
  <c r="S93" i="8"/>
  <c r="R93" i="8"/>
  <c r="S92" i="8"/>
  <c r="R92" i="8"/>
  <c r="S91" i="8"/>
  <c r="R91" i="8"/>
  <c r="S90" i="8"/>
  <c r="R90" i="8"/>
  <c r="S89" i="8"/>
  <c r="R89" i="8"/>
  <c r="S88" i="8"/>
  <c r="R88" i="8"/>
  <c r="S87" i="8"/>
  <c r="R87" i="8"/>
  <c r="S86" i="8"/>
  <c r="R86" i="8"/>
  <c r="S85" i="8"/>
  <c r="R85" i="8"/>
  <c r="S84" i="8"/>
  <c r="R84" i="8"/>
  <c r="S83" i="8"/>
  <c r="R83" i="8"/>
  <c r="S82" i="8"/>
  <c r="R82" i="8"/>
  <c r="S81" i="8"/>
  <c r="R81" i="8"/>
  <c r="S80" i="8"/>
  <c r="R80" i="8"/>
  <c r="S79" i="8"/>
  <c r="R79" i="8"/>
  <c r="S78" i="8"/>
  <c r="R78" i="8"/>
  <c r="S77" i="8"/>
  <c r="R77" i="8"/>
  <c r="S76" i="8"/>
  <c r="R76" i="8"/>
  <c r="S75" i="8"/>
  <c r="R75" i="8"/>
  <c r="S74" i="8"/>
  <c r="R74" i="8"/>
  <c r="S73" i="8"/>
  <c r="R73" i="8"/>
  <c r="S72" i="8"/>
  <c r="R72" i="8"/>
  <c r="S71" i="8"/>
  <c r="R71" i="8"/>
  <c r="S70" i="8"/>
  <c r="R70" i="8"/>
  <c r="S69" i="8"/>
  <c r="R69" i="8"/>
  <c r="S68" i="8"/>
  <c r="R68" i="8"/>
  <c r="S67" i="8"/>
  <c r="R67" i="8"/>
  <c r="S66" i="8"/>
  <c r="R66" i="8"/>
  <c r="S65" i="8"/>
  <c r="R65" i="8"/>
  <c r="S64" i="8"/>
  <c r="R64" i="8"/>
  <c r="S63" i="8"/>
  <c r="R63" i="8"/>
  <c r="S62" i="8"/>
  <c r="R62" i="8"/>
  <c r="S61" i="8"/>
  <c r="R61" i="8"/>
  <c r="S60" i="8"/>
  <c r="R60" i="8"/>
  <c r="S59" i="8"/>
  <c r="R59" i="8"/>
  <c r="S58" i="8"/>
  <c r="R58" i="8"/>
  <c r="S57" i="8"/>
  <c r="R57" i="8"/>
  <c r="S56" i="8"/>
  <c r="R56" i="8"/>
  <c r="S55" i="8"/>
  <c r="R55" i="8"/>
  <c r="S54" i="8"/>
  <c r="R54" i="8"/>
  <c r="S53" i="8"/>
  <c r="R53" i="8"/>
  <c r="S52" i="8"/>
  <c r="R52" i="8"/>
  <c r="S51" i="8"/>
  <c r="R51" i="8"/>
  <c r="S50" i="8"/>
  <c r="R50" i="8"/>
  <c r="S49" i="8"/>
  <c r="R49" i="8"/>
  <c r="S48" i="8"/>
  <c r="R48" i="8"/>
  <c r="S47" i="8"/>
  <c r="R47" i="8"/>
  <c r="S46" i="8"/>
  <c r="R46" i="8"/>
  <c r="S45" i="8"/>
  <c r="R45" i="8"/>
  <c r="S44" i="8"/>
  <c r="R44" i="8"/>
  <c r="S43" i="8"/>
  <c r="R43" i="8"/>
  <c r="S42" i="8"/>
  <c r="R42" i="8"/>
  <c r="S41" i="8"/>
  <c r="R41" i="8"/>
  <c r="S40" i="8"/>
  <c r="R40" i="8"/>
  <c r="S39" i="8"/>
  <c r="R39" i="8"/>
  <c r="S38" i="8"/>
  <c r="R38" i="8"/>
  <c r="S37" i="8"/>
  <c r="R37" i="8"/>
  <c r="S36" i="8"/>
  <c r="R36" i="8"/>
  <c r="S35" i="8"/>
  <c r="R35" i="8"/>
  <c r="S34" i="8"/>
  <c r="R34" i="8"/>
  <c r="S33" i="8"/>
  <c r="R33" i="8"/>
  <c r="S32" i="8"/>
  <c r="R32" i="8"/>
  <c r="S31" i="8"/>
  <c r="R31" i="8"/>
  <c r="S30" i="8"/>
  <c r="R30" i="8"/>
  <c r="S29" i="8"/>
  <c r="R29" i="8"/>
  <c r="S28" i="8"/>
  <c r="R28" i="8"/>
  <c r="S27" i="8"/>
  <c r="R27" i="8"/>
  <c r="S26" i="8"/>
  <c r="R26" i="8"/>
  <c r="S25" i="8"/>
  <c r="R25" i="8"/>
  <c r="S24" i="8"/>
  <c r="R24" i="8"/>
  <c r="S23" i="8"/>
  <c r="R23" i="8"/>
  <c r="S22" i="8"/>
  <c r="R22" i="8"/>
  <c r="S21" i="8"/>
  <c r="R21" i="8"/>
  <c r="S20" i="8"/>
  <c r="R20" i="8"/>
  <c r="S19" i="8"/>
  <c r="R19" i="8"/>
  <c r="S18" i="8"/>
  <c r="R18" i="8"/>
  <c r="S17" i="8"/>
  <c r="R17" i="8"/>
  <c r="S16" i="8"/>
  <c r="R16" i="8"/>
  <c r="S15" i="8"/>
  <c r="R15" i="8"/>
  <c r="S14" i="8"/>
  <c r="R14" i="8"/>
  <c r="S13" i="8"/>
  <c r="R13" i="8"/>
  <c r="S12" i="8"/>
  <c r="R12" i="8"/>
  <c r="S11" i="8"/>
  <c r="R11" i="8"/>
  <c r="S10" i="8"/>
  <c r="R10" i="8"/>
  <c r="S9" i="8"/>
  <c r="R9" i="8"/>
  <c r="S8" i="8"/>
  <c r="R8" i="8"/>
  <c r="S7" i="8"/>
  <c r="R7" i="8"/>
  <c r="S6" i="8"/>
  <c r="R6" i="8"/>
  <c r="S5" i="8"/>
  <c r="R5" i="8"/>
  <c r="S4" i="8"/>
  <c r="R4" i="8"/>
  <c r="S3" i="8"/>
  <c r="R3" i="8"/>
  <c r="G501" i="8"/>
  <c r="F501" i="8"/>
  <c r="G500" i="8"/>
  <c r="F500" i="8"/>
  <c r="G499" i="8"/>
  <c r="F499" i="8"/>
  <c r="G498" i="8"/>
  <c r="F498" i="8"/>
  <c r="G497" i="8"/>
  <c r="F497" i="8"/>
  <c r="G496" i="8"/>
  <c r="F496" i="8"/>
  <c r="G495" i="8"/>
  <c r="F495" i="8"/>
  <c r="G494" i="8"/>
  <c r="F494" i="8"/>
  <c r="G493" i="8"/>
  <c r="F493" i="8"/>
  <c r="G492" i="8"/>
  <c r="F492" i="8"/>
  <c r="G491" i="8"/>
  <c r="F491" i="8"/>
  <c r="G490" i="8"/>
  <c r="F490" i="8"/>
  <c r="G489" i="8"/>
  <c r="F489" i="8"/>
  <c r="G488" i="8"/>
  <c r="F488" i="8"/>
  <c r="G487" i="8"/>
  <c r="F487" i="8"/>
  <c r="G486" i="8"/>
  <c r="F486" i="8"/>
  <c r="G485" i="8"/>
  <c r="F485" i="8"/>
  <c r="G484" i="8"/>
  <c r="F484" i="8"/>
  <c r="G483" i="8"/>
  <c r="F483" i="8"/>
  <c r="G482" i="8"/>
  <c r="F482" i="8"/>
  <c r="G481" i="8"/>
  <c r="F481" i="8"/>
  <c r="G480" i="8"/>
  <c r="F480" i="8"/>
  <c r="G479" i="8"/>
  <c r="F479" i="8"/>
  <c r="G478" i="8"/>
  <c r="F478" i="8"/>
  <c r="G477" i="8"/>
  <c r="F477" i="8"/>
  <c r="G476" i="8"/>
  <c r="F476" i="8"/>
  <c r="G475" i="8"/>
  <c r="F475" i="8"/>
  <c r="G474" i="8"/>
  <c r="F474" i="8"/>
  <c r="G473" i="8"/>
  <c r="F473" i="8"/>
  <c r="G472" i="8"/>
  <c r="F472" i="8"/>
  <c r="G471" i="8"/>
  <c r="F471" i="8"/>
  <c r="G470" i="8"/>
  <c r="F470" i="8"/>
  <c r="G469" i="8"/>
  <c r="F469" i="8"/>
  <c r="G468" i="8"/>
  <c r="F468" i="8"/>
  <c r="G467" i="8"/>
  <c r="F467" i="8"/>
  <c r="G466" i="8"/>
  <c r="F466" i="8"/>
  <c r="G465" i="8"/>
  <c r="F465" i="8"/>
  <c r="G464" i="8"/>
  <c r="F464" i="8"/>
  <c r="G463" i="8"/>
  <c r="F463" i="8"/>
  <c r="G462" i="8"/>
  <c r="F462" i="8"/>
  <c r="G461" i="8"/>
  <c r="F461" i="8"/>
  <c r="G460" i="8"/>
  <c r="F460" i="8"/>
  <c r="G459" i="8"/>
  <c r="F459" i="8"/>
  <c r="G458" i="8"/>
  <c r="F458" i="8"/>
  <c r="G457" i="8"/>
  <c r="F457" i="8"/>
  <c r="G456" i="8"/>
  <c r="F456" i="8"/>
  <c r="G455" i="8"/>
  <c r="F455" i="8"/>
  <c r="G454" i="8"/>
  <c r="F454" i="8"/>
  <c r="G453" i="8"/>
  <c r="F453" i="8"/>
  <c r="G452" i="8"/>
  <c r="F452" i="8"/>
  <c r="G451" i="8"/>
  <c r="F451" i="8"/>
  <c r="G450" i="8"/>
  <c r="F450" i="8"/>
  <c r="G449" i="8"/>
  <c r="F449" i="8"/>
  <c r="G448" i="8"/>
  <c r="F448" i="8"/>
  <c r="G447" i="8"/>
  <c r="F447" i="8"/>
  <c r="G446" i="8"/>
  <c r="F446" i="8"/>
  <c r="G445" i="8"/>
  <c r="F445" i="8"/>
  <c r="G444" i="8"/>
  <c r="F444" i="8"/>
  <c r="G443" i="8"/>
  <c r="F443" i="8"/>
  <c r="G442" i="8"/>
  <c r="F442" i="8"/>
  <c r="G441" i="8"/>
  <c r="F441" i="8"/>
  <c r="G440" i="8"/>
  <c r="F440" i="8"/>
  <c r="G439" i="8"/>
  <c r="F439" i="8"/>
  <c r="G438" i="8"/>
  <c r="F438" i="8"/>
  <c r="G437" i="8"/>
  <c r="F437" i="8"/>
  <c r="G436" i="8"/>
  <c r="F436" i="8"/>
  <c r="G435" i="8"/>
  <c r="F435" i="8"/>
  <c r="G434" i="8"/>
  <c r="F434" i="8"/>
  <c r="G433" i="8"/>
  <c r="F433" i="8"/>
  <c r="G432" i="8"/>
  <c r="F432" i="8"/>
  <c r="G431" i="8"/>
  <c r="F431" i="8"/>
  <c r="G430" i="8"/>
  <c r="F430" i="8"/>
  <c r="G429" i="8"/>
  <c r="F429" i="8"/>
  <c r="G428" i="8"/>
  <c r="F428" i="8"/>
  <c r="G427" i="8"/>
  <c r="F427" i="8"/>
  <c r="G426" i="8"/>
  <c r="F426" i="8"/>
  <c r="G425" i="8"/>
  <c r="F425" i="8"/>
  <c r="G424" i="8"/>
  <c r="F424" i="8"/>
  <c r="G423" i="8"/>
  <c r="F423" i="8"/>
  <c r="G422" i="8"/>
  <c r="F422" i="8"/>
  <c r="G421" i="8"/>
  <c r="F421" i="8"/>
  <c r="G420" i="8"/>
  <c r="F420" i="8"/>
  <c r="G419" i="8"/>
  <c r="F419" i="8"/>
  <c r="G418" i="8"/>
  <c r="F418" i="8"/>
  <c r="G417" i="8"/>
  <c r="F417" i="8"/>
  <c r="G416" i="8"/>
  <c r="F416" i="8"/>
  <c r="G415" i="8"/>
  <c r="F415" i="8"/>
  <c r="G414" i="8"/>
  <c r="F414" i="8"/>
  <c r="G413" i="8"/>
  <c r="F413" i="8"/>
  <c r="G412" i="8"/>
  <c r="F412" i="8"/>
  <c r="G411" i="8"/>
  <c r="F411" i="8"/>
  <c r="G410" i="8"/>
  <c r="F410" i="8"/>
  <c r="G409" i="8"/>
  <c r="F409" i="8"/>
  <c r="G408" i="8"/>
  <c r="F408" i="8"/>
  <c r="G407" i="8"/>
  <c r="F407" i="8"/>
  <c r="G406" i="8"/>
  <c r="F406" i="8"/>
  <c r="G405" i="8"/>
  <c r="F405" i="8"/>
  <c r="G404" i="8"/>
  <c r="F404" i="8"/>
  <c r="G403" i="8"/>
  <c r="F403" i="8"/>
  <c r="G402" i="8"/>
  <c r="F402" i="8"/>
  <c r="G401" i="8"/>
  <c r="F401" i="8"/>
  <c r="G400" i="8"/>
  <c r="F400" i="8"/>
  <c r="G399" i="8"/>
  <c r="F399" i="8"/>
  <c r="G398" i="8"/>
  <c r="F398" i="8"/>
  <c r="G397" i="8"/>
  <c r="F397" i="8"/>
  <c r="G396" i="8"/>
  <c r="F396" i="8"/>
  <c r="G395" i="8"/>
  <c r="F395" i="8"/>
  <c r="G394" i="8"/>
  <c r="F394" i="8"/>
  <c r="G393" i="8"/>
  <c r="F393" i="8"/>
  <c r="G392" i="8"/>
  <c r="F392" i="8"/>
  <c r="G391" i="8"/>
  <c r="F391" i="8"/>
  <c r="G390" i="8"/>
  <c r="F390" i="8"/>
  <c r="G389" i="8"/>
  <c r="F389" i="8"/>
  <c r="G388" i="8"/>
  <c r="F388" i="8"/>
  <c r="G387" i="8"/>
  <c r="F387" i="8"/>
  <c r="G386" i="8"/>
  <c r="F386" i="8"/>
  <c r="G385" i="8"/>
  <c r="F385" i="8"/>
  <c r="G384" i="8"/>
  <c r="F384" i="8"/>
  <c r="G383" i="8"/>
  <c r="F383" i="8"/>
  <c r="G382" i="8"/>
  <c r="F382" i="8"/>
  <c r="G381" i="8"/>
  <c r="F381" i="8"/>
  <c r="G380" i="8"/>
  <c r="F380" i="8"/>
  <c r="G379" i="8"/>
  <c r="F379" i="8"/>
  <c r="G378" i="8"/>
  <c r="F378" i="8"/>
  <c r="G377" i="8"/>
  <c r="F377" i="8"/>
  <c r="G376" i="8"/>
  <c r="F376" i="8"/>
  <c r="G375" i="8"/>
  <c r="F375" i="8"/>
  <c r="G374" i="8"/>
  <c r="F374" i="8"/>
  <c r="G373" i="8"/>
  <c r="F373" i="8"/>
  <c r="G372" i="8"/>
  <c r="F372" i="8"/>
  <c r="G371" i="8"/>
  <c r="F371" i="8"/>
  <c r="G370" i="8"/>
  <c r="F370" i="8"/>
  <c r="G369" i="8"/>
  <c r="F369" i="8"/>
  <c r="G368" i="8"/>
  <c r="F368" i="8"/>
  <c r="G367" i="8"/>
  <c r="F367" i="8"/>
  <c r="G366" i="8"/>
  <c r="F366" i="8"/>
  <c r="G365" i="8"/>
  <c r="F365" i="8"/>
  <c r="G364" i="8"/>
  <c r="F364" i="8"/>
  <c r="G363" i="8"/>
  <c r="F363" i="8"/>
  <c r="G362" i="8"/>
  <c r="F362" i="8"/>
  <c r="G361" i="8"/>
  <c r="F361" i="8"/>
  <c r="G360" i="8"/>
  <c r="F360" i="8"/>
  <c r="G359" i="8"/>
  <c r="F359" i="8"/>
  <c r="G358" i="8"/>
  <c r="F358" i="8"/>
  <c r="G357" i="8"/>
  <c r="F357" i="8"/>
  <c r="G356" i="8"/>
  <c r="F356" i="8"/>
  <c r="G355" i="8"/>
  <c r="F355" i="8"/>
  <c r="G354" i="8"/>
  <c r="F354" i="8"/>
  <c r="G353" i="8"/>
  <c r="F353" i="8"/>
  <c r="G352" i="8"/>
  <c r="F352" i="8"/>
  <c r="G351" i="8"/>
  <c r="F351" i="8"/>
  <c r="G350" i="8"/>
  <c r="F350" i="8"/>
  <c r="G349" i="8"/>
  <c r="F349" i="8"/>
  <c r="G348" i="8"/>
  <c r="F348" i="8"/>
  <c r="G347" i="8"/>
  <c r="F347" i="8"/>
  <c r="G346" i="8"/>
  <c r="F346" i="8"/>
  <c r="G345" i="8"/>
  <c r="F345" i="8"/>
  <c r="G344" i="8"/>
  <c r="F344" i="8"/>
  <c r="G343" i="8"/>
  <c r="F343" i="8"/>
  <c r="G342" i="8"/>
  <c r="F342" i="8"/>
  <c r="G341" i="8"/>
  <c r="F341" i="8"/>
  <c r="G340" i="8"/>
  <c r="F340" i="8"/>
  <c r="G339" i="8"/>
  <c r="F339" i="8"/>
  <c r="G338" i="8"/>
  <c r="F338" i="8"/>
  <c r="G337" i="8"/>
  <c r="F337" i="8"/>
  <c r="G336" i="8"/>
  <c r="F336" i="8"/>
  <c r="G335" i="8"/>
  <c r="F335" i="8"/>
  <c r="G334" i="8"/>
  <c r="F334" i="8"/>
  <c r="G333" i="8"/>
  <c r="F333" i="8"/>
  <c r="G332" i="8"/>
  <c r="F332" i="8"/>
  <c r="G331" i="8"/>
  <c r="F331" i="8"/>
  <c r="G330" i="8"/>
  <c r="F330" i="8"/>
  <c r="G329" i="8"/>
  <c r="F329" i="8"/>
  <c r="G328" i="8"/>
  <c r="F328" i="8"/>
  <c r="G327" i="8"/>
  <c r="F327" i="8"/>
  <c r="G326" i="8"/>
  <c r="F326" i="8"/>
  <c r="G325" i="8"/>
  <c r="F325" i="8"/>
  <c r="G324" i="8"/>
  <c r="F324" i="8"/>
  <c r="G323" i="8"/>
  <c r="F323" i="8"/>
  <c r="G322" i="8"/>
  <c r="F322" i="8"/>
  <c r="G321" i="8"/>
  <c r="F321" i="8"/>
  <c r="G320" i="8"/>
  <c r="F320" i="8"/>
  <c r="G319" i="8"/>
  <c r="F319" i="8"/>
  <c r="G318" i="8"/>
  <c r="F318" i="8"/>
  <c r="G317" i="8"/>
  <c r="F317" i="8"/>
  <c r="G316" i="8"/>
  <c r="F316" i="8"/>
  <c r="G315" i="8"/>
  <c r="F315" i="8"/>
  <c r="G314" i="8"/>
  <c r="F314" i="8"/>
  <c r="G313" i="8"/>
  <c r="F313" i="8"/>
  <c r="G312" i="8"/>
  <c r="F312" i="8"/>
  <c r="G311" i="8"/>
  <c r="F311" i="8"/>
  <c r="G310" i="8"/>
  <c r="F310" i="8"/>
  <c r="G309" i="8"/>
  <c r="F309" i="8"/>
  <c r="G308" i="8"/>
  <c r="F308" i="8"/>
  <c r="G307" i="8"/>
  <c r="F307" i="8"/>
  <c r="G306" i="8"/>
  <c r="F306" i="8"/>
  <c r="G305" i="8"/>
  <c r="F305" i="8"/>
  <c r="G304" i="8"/>
  <c r="F304" i="8"/>
  <c r="G303" i="8"/>
  <c r="F303" i="8"/>
  <c r="G302" i="8"/>
  <c r="F302" i="8"/>
  <c r="G301" i="8"/>
  <c r="F301" i="8"/>
  <c r="G300" i="8"/>
  <c r="F300" i="8"/>
  <c r="G299" i="8"/>
  <c r="F299" i="8"/>
  <c r="G298" i="8"/>
  <c r="F298" i="8"/>
  <c r="G297" i="8"/>
  <c r="F297" i="8"/>
  <c r="G296" i="8"/>
  <c r="F296" i="8"/>
  <c r="G295" i="8"/>
  <c r="F295" i="8"/>
  <c r="G294" i="8"/>
  <c r="F294" i="8"/>
  <c r="G293" i="8"/>
  <c r="F293" i="8"/>
  <c r="G292" i="8"/>
  <c r="F292" i="8"/>
  <c r="G291" i="8"/>
  <c r="F291" i="8"/>
  <c r="G290" i="8"/>
  <c r="F290" i="8"/>
  <c r="G289" i="8"/>
  <c r="F289" i="8"/>
  <c r="G288" i="8"/>
  <c r="F288" i="8"/>
  <c r="G287" i="8"/>
  <c r="F287" i="8"/>
  <c r="G286" i="8"/>
  <c r="F286" i="8"/>
  <c r="G285" i="8"/>
  <c r="F285" i="8"/>
  <c r="G284" i="8"/>
  <c r="F284" i="8"/>
  <c r="G283" i="8"/>
  <c r="F283" i="8"/>
  <c r="G282" i="8"/>
  <c r="F282" i="8"/>
  <c r="G281" i="8"/>
  <c r="F281" i="8"/>
  <c r="G280" i="8"/>
  <c r="F280" i="8"/>
  <c r="G279" i="8"/>
  <c r="F279" i="8"/>
  <c r="G278" i="8"/>
  <c r="F278" i="8"/>
  <c r="G277" i="8"/>
  <c r="F277" i="8"/>
  <c r="G276" i="8"/>
  <c r="F276" i="8"/>
  <c r="G275" i="8"/>
  <c r="F275" i="8"/>
  <c r="G274" i="8"/>
  <c r="F274" i="8"/>
  <c r="G273" i="8"/>
  <c r="F273" i="8"/>
  <c r="G272" i="8"/>
  <c r="F272" i="8"/>
  <c r="G271" i="8"/>
  <c r="F271" i="8"/>
  <c r="G270" i="8"/>
  <c r="F270" i="8"/>
  <c r="G269" i="8"/>
  <c r="F269" i="8"/>
  <c r="G268" i="8"/>
  <c r="F268" i="8"/>
  <c r="G267" i="8"/>
  <c r="F267" i="8"/>
  <c r="G266" i="8"/>
  <c r="F266" i="8"/>
  <c r="G265" i="8"/>
  <c r="F265" i="8"/>
  <c r="G264" i="8"/>
  <c r="F264" i="8"/>
  <c r="G263" i="8"/>
  <c r="F263" i="8"/>
  <c r="G262" i="8"/>
  <c r="F262" i="8"/>
  <c r="G261" i="8"/>
  <c r="F261" i="8"/>
  <c r="G260" i="8"/>
  <c r="F260" i="8"/>
  <c r="G259" i="8"/>
  <c r="F259" i="8"/>
  <c r="G258" i="8"/>
  <c r="F258" i="8"/>
  <c r="G257" i="8"/>
  <c r="F257" i="8"/>
  <c r="G256" i="8"/>
  <c r="F256" i="8"/>
  <c r="G255" i="8"/>
  <c r="F255" i="8"/>
  <c r="G254" i="8"/>
  <c r="F254" i="8"/>
  <c r="G253" i="8"/>
  <c r="F253" i="8"/>
  <c r="G252" i="8"/>
  <c r="F252" i="8"/>
  <c r="G251" i="8"/>
  <c r="F251" i="8"/>
  <c r="G250" i="8"/>
  <c r="F250" i="8"/>
  <c r="G249" i="8"/>
  <c r="F249" i="8"/>
  <c r="G248" i="8"/>
  <c r="F248" i="8"/>
  <c r="G247" i="8"/>
  <c r="F247" i="8"/>
  <c r="G246" i="8"/>
  <c r="F246" i="8"/>
  <c r="G245" i="8"/>
  <c r="F245" i="8"/>
  <c r="G244" i="8"/>
  <c r="F244" i="8"/>
  <c r="G243" i="8"/>
  <c r="F243" i="8"/>
  <c r="G242" i="8"/>
  <c r="F242" i="8"/>
  <c r="G241" i="8"/>
  <c r="F241" i="8"/>
  <c r="G240" i="8"/>
  <c r="F240" i="8"/>
  <c r="G239" i="8"/>
  <c r="F239" i="8"/>
  <c r="G238" i="8"/>
  <c r="F238" i="8"/>
  <c r="G237" i="8"/>
  <c r="F237" i="8"/>
  <c r="G236" i="8"/>
  <c r="F236" i="8"/>
  <c r="G235" i="8"/>
  <c r="F235" i="8"/>
  <c r="G234" i="8"/>
  <c r="F234" i="8"/>
  <c r="G233" i="8"/>
  <c r="F233" i="8"/>
  <c r="G232" i="8"/>
  <c r="F232" i="8"/>
  <c r="G231" i="8"/>
  <c r="F231" i="8"/>
  <c r="G230" i="8"/>
  <c r="F230" i="8"/>
  <c r="G229" i="8"/>
  <c r="F229" i="8"/>
  <c r="G228" i="8"/>
  <c r="F228" i="8"/>
  <c r="G227" i="8"/>
  <c r="F227" i="8"/>
  <c r="G226" i="8"/>
  <c r="F226" i="8"/>
  <c r="G225" i="8"/>
  <c r="F225" i="8"/>
  <c r="G224" i="8"/>
  <c r="F224" i="8"/>
  <c r="G223" i="8"/>
  <c r="F223" i="8"/>
  <c r="G222" i="8"/>
  <c r="F222" i="8"/>
  <c r="G221" i="8"/>
  <c r="F221" i="8"/>
  <c r="G220" i="8"/>
  <c r="F220" i="8"/>
  <c r="G219" i="8"/>
  <c r="F219" i="8"/>
  <c r="G218" i="8"/>
  <c r="F218" i="8"/>
  <c r="G217" i="8"/>
  <c r="F217" i="8"/>
  <c r="G216" i="8"/>
  <c r="F216" i="8"/>
  <c r="G215" i="8"/>
  <c r="F215" i="8"/>
  <c r="G214" i="8"/>
  <c r="F214" i="8"/>
  <c r="G213" i="8"/>
  <c r="F213" i="8"/>
  <c r="G212" i="8"/>
  <c r="F212" i="8"/>
  <c r="G211" i="8"/>
  <c r="F211" i="8"/>
  <c r="G210" i="8"/>
  <c r="F210" i="8"/>
  <c r="G209" i="8"/>
  <c r="F209" i="8"/>
  <c r="G208" i="8"/>
  <c r="F208" i="8"/>
  <c r="G207" i="8"/>
  <c r="F207" i="8"/>
  <c r="G206" i="8"/>
  <c r="F206" i="8"/>
  <c r="G205" i="8"/>
  <c r="F205" i="8"/>
  <c r="G204" i="8"/>
  <c r="F204" i="8"/>
  <c r="G203" i="8"/>
  <c r="F203" i="8"/>
  <c r="G202" i="8"/>
  <c r="F202" i="8"/>
  <c r="G201" i="8"/>
  <c r="F201" i="8"/>
  <c r="G200" i="8"/>
  <c r="F200" i="8"/>
  <c r="G199" i="8"/>
  <c r="F199" i="8"/>
  <c r="G198" i="8"/>
  <c r="F198" i="8"/>
  <c r="G197" i="8"/>
  <c r="F197" i="8"/>
  <c r="G196" i="8"/>
  <c r="F196" i="8"/>
  <c r="G195" i="8"/>
  <c r="F195" i="8"/>
  <c r="G194" i="8"/>
  <c r="F194" i="8"/>
  <c r="G193" i="8"/>
  <c r="F193" i="8"/>
  <c r="G192" i="8"/>
  <c r="F192" i="8"/>
  <c r="G191" i="8"/>
  <c r="F191" i="8"/>
  <c r="G190" i="8"/>
  <c r="F190" i="8"/>
  <c r="G189" i="8"/>
  <c r="F189" i="8"/>
  <c r="G188" i="8"/>
  <c r="F188" i="8"/>
  <c r="G187" i="8"/>
  <c r="F187" i="8"/>
  <c r="G186" i="8"/>
  <c r="F186" i="8"/>
  <c r="G185" i="8"/>
  <c r="F185" i="8"/>
  <c r="G184" i="8"/>
  <c r="F184" i="8"/>
  <c r="G183" i="8"/>
  <c r="F183" i="8"/>
  <c r="G182" i="8"/>
  <c r="F182" i="8"/>
  <c r="G181" i="8"/>
  <c r="F181" i="8"/>
  <c r="G180" i="8"/>
  <c r="F180" i="8"/>
  <c r="G179" i="8"/>
  <c r="F179" i="8"/>
  <c r="G178" i="8"/>
  <c r="F178" i="8"/>
  <c r="G177" i="8"/>
  <c r="F177" i="8"/>
  <c r="G176" i="8"/>
  <c r="F176" i="8"/>
  <c r="G175" i="8"/>
  <c r="F175" i="8"/>
  <c r="G174" i="8"/>
  <c r="F174" i="8"/>
  <c r="G173" i="8"/>
  <c r="F173" i="8"/>
  <c r="G172" i="8"/>
  <c r="F172" i="8"/>
  <c r="G171" i="8"/>
  <c r="F171" i="8"/>
  <c r="G170" i="8"/>
  <c r="F170" i="8"/>
  <c r="G169" i="8"/>
  <c r="F169" i="8"/>
  <c r="G168" i="8"/>
  <c r="F168" i="8"/>
  <c r="G167" i="8"/>
  <c r="F167" i="8"/>
  <c r="G166" i="8"/>
  <c r="F166" i="8"/>
  <c r="G165" i="8"/>
  <c r="F165" i="8"/>
  <c r="G164" i="8"/>
  <c r="F164" i="8"/>
  <c r="G163" i="8"/>
  <c r="F163" i="8"/>
  <c r="G162" i="8"/>
  <c r="F162" i="8"/>
  <c r="G161" i="8"/>
  <c r="F161" i="8"/>
  <c r="G160" i="8"/>
  <c r="F160" i="8"/>
  <c r="G159" i="8"/>
  <c r="F159" i="8"/>
  <c r="G158" i="8"/>
  <c r="F158" i="8"/>
  <c r="G157" i="8"/>
  <c r="F157" i="8"/>
  <c r="G156" i="8"/>
  <c r="F156" i="8"/>
  <c r="G155" i="8"/>
  <c r="F155" i="8"/>
  <c r="G154" i="8"/>
  <c r="F154" i="8"/>
  <c r="G153" i="8"/>
  <c r="F153" i="8"/>
  <c r="G152" i="8"/>
  <c r="F152" i="8"/>
  <c r="G151" i="8"/>
  <c r="F151" i="8"/>
  <c r="G150" i="8"/>
  <c r="F150" i="8"/>
  <c r="G149" i="8"/>
  <c r="F149" i="8"/>
  <c r="G148" i="8"/>
  <c r="F148" i="8"/>
  <c r="G147" i="8"/>
  <c r="F147" i="8"/>
  <c r="G146" i="8"/>
  <c r="F146" i="8"/>
  <c r="G145" i="8"/>
  <c r="F145" i="8"/>
  <c r="G144" i="8"/>
  <c r="F144" i="8"/>
  <c r="G143" i="8"/>
  <c r="F143" i="8"/>
  <c r="G142" i="8"/>
  <c r="F142" i="8"/>
  <c r="G141" i="8"/>
  <c r="F141" i="8"/>
  <c r="G140" i="8"/>
  <c r="F140" i="8"/>
  <c r="G139" i="8"/>
  <c r="F139" i="8"/>
  <c r="G138" i="8"/>
  <c r="F138" i="8"/>
  <c r="G137" i="8"/>
  <c r="F137" i="8"/>
  <c r="G136" i="8"/>
  <c r="F136" i="8"/>
  <c r="G135" i="8"/>
  <c r="F135" i="8"/>
  <c r="G134" i="8"/>
  <c r="F134" i="8"/>
  <c r="G133" i="8"/>
  <c r="F133" i="8"/>
  <c r="G132" i="8"/>
  <c r="F132" i="8"/>
  <c r="G131" i="8"/>
  <c r="F131" i="8"/>
  <c r="G130" i="8"/>
  <c r="F130" i="8"/>
  <c r="G129" i="8"/>
  <c r="F129" i="8"/>
  <c r="G128" i="8"/>
  <c r="F128" i="8"/>
  <c r="G127" i="8"/>
  <c r="F127" i="8"/>
  <c r="G126" i="8"/>
  <c r="F126" i="8"/>
  <c r="G125" i="8"/>
  <c r="F125" i="8"/>
  <c r="G124" i="8"/>
  <c r="F124" i="8"/>
  <c r="G123" i="8"/>
  <c r="F123" i="8"/>
  <c r="G122" i="8"/>
  <c r="F122" i="8"/>
  <c r="G121" i="8"/>
  <c r="F121" i="8"/>
  <c r="G120" i="8"/>
  <c r="F120" i="8"/>
  <c r="G119" i="8"/>
  <c r="F119" i="8"/>
  <c r="G118" i="8"/>
  <c r="F118" i="8"/>
  <c r="G117" i="8"/>
  <c r="F117" i="8"/>
  <c r="G116" i="8"/>
  <c r="F116" i="8"/>
  <c r="G115" i="8"/>
  <c r="F115" i="8"/>
  <c r="G114" i="8"/>
  <c r="F114" i="8"/>
  <c r="G113" i="8"/>
  <c r="F113" i="8"/>
  <c r="G112" i="8"/>
  <c r="F112" i="8"/>
  <c r="G111" i="8"/>
  <c r="F111" i="8"/>
  <c r="G110" i="8"/>
  <c r="F110" i="8"/>
  <c r="G109" i="8"/>
  <c r="F109" i="8"/>
  <c r="G108" i="8"/>
  <c r="F108" i="8"/>
  <c r="G107" i="8"/>
  <c r="F107" i="8"/>
  <c r="G106" i="8"/>
  <c r="F106" i="8"/>
  <c r="G105" i="8"/>
  <c r="F105" i="8"/>
  <c r="G104" i="8"/>
  <c r="F104" i="8"/>
  <c r="G103" i="8"/>
  <c r="F103" i="8"/>
  <c r="G102" i="8"/>
  <c r="F102" i="8"/>
  <c r="G101" i="8"/>
  <c r="F101" i="8"/>
  <c r="G100" i="8"/>
  <c r="F100" i="8"/>
  <c r="G99" i="8"/>
  <c r="F99" i="8"/>
  <c r="G98" i="8"/>
  <c r="F98" i="8"/>
  <c r="G97" i="8"/>
  <c r="F97" i="8"/>
  <c r="G96" i="8"/>
  <c r="F96" i="8"/>
  <c r="G95" i="8"/>
  <c r="F95" i="8"/>
  <c r="G94" i="8"/>
  <c r="F94" i="8"/>
  <c r="G93" i="8"/>
  <c r="F93" i="8"/>
  <c r="G92" i="8"/>
  <c r="F92" i="8"/>
  <c r="G91" i="8"/>
  <c r="F91" i="8"/>
  <c r="G90" i="8"/>
  <c r="F90" i="8"/>
  <c r="G89" i="8"/>
  <c r="F89" i="8"/>
  <c r="G88" i="8"/>
  <c r="F88" i="8"/>
  <c r="G87" i="8"/>
  <c r="F87" i="8"/>
  <c r="G86" i="8"/>
  <c r="F86" i="8"/>
  <c r="G85" i="8"/>
  <c r="F85" i="8"/>
  <c r="G84" i="8"/>
  <c r="F84" i="8"/>
  <c r="G83" i="8"/>
  <c r="F83" i="8"/>
  <c r="G82" i="8"/>
  <c r="F82" i="8"/>
  <c r="G81" i="8"/>
  <c r="F81" i="8"/>
  <c r="G80" i="8"/>
  <c r="F80" i="8"/>
  <c r="G79" i="8"/>
  <c r="F79" i="8"/>
  <c r="G78" i="8"/>
  <c r="F78" i="8"/>
  <c r="G77" i="8"/>
  <c r="F77" i="8"/>
  <c r="G76" i="8"/>
  <c r="F76" i="8"/>
  <c r="G75" i="8"/>
  <c r="F75" i="8"/>
  <c r="G74" i="8"/>
  <c r="F74" i="8"/>
  <c r="G73" i="8"/>
  <c r="F73" i="8"/>
  <c r="G72" i="8"/>
  <c r="F72" i="8"/>
  <c r="G71" i="8"/>
  <c r="F71" i="8"/>
  <c r="G70" i="8"/>
  <c r="F70" i="8"/>
  <c r="G69" i="8"/>
  <c r="F69" i="8"/>
  <c r="G68" i="8"/>
  <c r="F68" i="8"/>
  <c r="G67" i="8"/>
  <c r="F67" i="8"/>
  <c r="G66" i="8"/>
  <c r="F66" i="8"/>
  <c r="G65" i="8"/>
  <c r="F65" i="8"/>
  <c r="G64" i="8"/>
  <c r="F64" i="8"/>
  <c r="G63" i="8"/>
  <c r="F63" i="8"/>
  <c r="G62" i="8"/>
  <c r="F62" i="8"/>
  <c r="G61" i="8"/>
  <c r="F61" i="8"/>
  <c r="G60" i="8"/>
  <c r="F60" i="8"/>
  <c r="G59" i="8"/>
  <c r="F59" i="8"/>
  <c r="G58" i="8"/>
  <c r="F58" i="8"/>
  <c r="G57" i="8"/>
  <c r="F57" i="8"/>
  <c r="G56" i="8"/>
  <c r="F56" i="8"/>
  <c r="G55" i="8"/>
  <c r="F55" i="8"/>
  <c r="G54" i="8"/>
  <c r="F54" i="8"/>
  <c r="G53" i="8"/>
  <c r="F53" i="8"/>
  <c r="G52" i="8"/>
  <c r="F52" i="8"/>
  <c r="G51" i="8"/>
  <c r="F51" i="8"/>
  <c r="G50" i="8"/>
  <c r="F50" i="8"/>
  <c r="G49" i="8"/>
  <c r="F49" i="8"/>
  <c r="G48" i="8"/>
  <c r="F48" i="8"/>
  <c r="G47" i="8"/>
  <c r="F47" i="8"/>
  <c r="G46" i="8"/>
  <c r="F46" i="8"/>
  <c r="G45" i="8"/>
  <c r="F45" i="8"/>
  <c r="G44" i="8"/>
  <c r="F44" i="8"/>
  <c r="G43" i="8"/>
  <c r="F43" i="8"/>
  <c r="G42" i="8"/>
  <c r="F42" i="8"/>
  <c r="G41" i="8"/>
  <c r="F41" i="8"/>
  <c r="G40" i="8"/>
  <c r="F40" i="8"/>
  <c r="G39" i="8"/>
  <c r="F39" i="8"/>
  <c r="G38" i="8"/>
  <c r="F38" i="8"/>
  <c r="G37" i="8"/>
  <c r="F37" i="8"/>
  <c r="G36" i="8"/>
  <c r="F36" i="8"/>
  <c r="G35" i="8"/>
  <c r="F35" i="8"/>
  <c r="G34" i="8"/>
  <c r="F34" i="8"/>
  <c r="G33" i="8"/>
  <c r="F33" i="8"/>
  <c r="G32" i="8"/>
  <c r="F32" i="8"/>
  <c r="G31" i="8"/>
  <c r="F31" i="8"/>
  <c r="G30" i="8"/>
  <c r="F30" i="8"/>
  <c r="G29" i="8"/>
  <c r="F29" i="8"/>
  <c r="G28" i="8"/>
  <c r="F28" i="8"/>
  <c r="G27" i="8"/>
  <c r="F27" i="8"/>
  <c r="G26" i="8"/>
  <c r="F26" i="8"/>
  <c r="G25" i="8"/>
  <c r="F25" i="8"/>
  <c r="G24" i="8"/>
  <c r="F24" i="8"/>
  <c r="G23" i="8"/>
  <c r="F23" i="8"/>
  <c r="G22" i="8"/>
  <c r="F22" i="8"/>
  <c r="G21" i="8"/>
  <c r="F21" i="8"/>
  <c r="G20" i="8"/>
  <c r="F20" i="8"/>
  <c r="G19" i="8"/>
  <c r="F19" i="8"/>
  <c r="G18" i="8"/>
  <c r="F18" i="8"/>
  <c r="G17" i="8"/>
  <c r="F17" i="8"/>
  <c r="G16" i="8"/>
  <c r="F16" i="8"/>
  <c r="G15" i="8"/>
  <c r="F15" i="8"/>
  <c r="G14" i="8"/>
  <c r="F14" i="8"/>
  <c r="G13" i="8"/>
  <c r="F13" i="8"/>
  <c r="G12" i="8"/>
  <c r="F12" i="8"/>
  <c r="G11" i="8"/>
  <c r="F11" i="8"/>
  <c r="G10" i="8"/>
  <c r="F10" i="8"/>
  <c r="G9" i="8"/>
  <c r="F9" i="8"/>
  <c r="G8" i="8"/>
  <c r="F8" i="8"/>
  <c r="G7" i="8"/>
  <c r="F7" i="8"/>
  <c r="G6" i="8"/>
  <c r="F6" i="8"/>
  <c r="G5" i="8"/>
  <c r="F5" i="8"/>
  <c r="G4" i="8"/>
  <c r="K5" i="8" s="1"/>
  <c r="J9" i="8" s="1"/>
  <c r="F4" i="8"/>
  <c r="F3" i="8"/>
  <c r="W3" i="8" l="1"/>
  <c r="W7" i="8" s="1"/>
  <c r="K3" i="8"/>
  <c r="J8" i="8" s="1"/>
  <c r="W5" i="8"/>
  <c r="W8" i="8" s="1"/>
  <c r="G8" i="9"/>
  <c r="G9" i="9"/>
  <c r="G6" i="9"/>
  <c r="F14" i="9"/>
  <c r="D17" i="9"/>
  <c r="F17" i="9"/>
  <c r="F16" i="9"/>
  <c r="F15" i="9"/>
  <c r="D15" i="9"/>
  <c r="E14" i="9"/>
  <c r="D14" i="9"/>
  <c r="F11" i="9"/>
  <c r="C11" i="9"/>
  <c r="B50" i="7" s="1"/>
  <c r="E11" i="9"/>
  <c r="D11" i="9"/>
  <c r="C50" i="7" s="1"/>
  <c r="E17" i="9"/>
  <c r="G17" i="9" s="1"/>
  <c r="G10" i="9" s="1"/>
  <c r="E16" i="9"/>
  <c r="E15" i="9"/>
  <c r="O5" i="9" l="1"/>
  <c r="D50" i="7"/>
  <c r="P5" i="9"/>
  <c r="E50" i="7"/>
  <c r="F50" i="7" s="1"/>
  <c r="G50" i="7" s="1"/>
  <c r="H50" i="7" s="1"/>
  <c r="I50" i="7" s="1"/>
  <c r="J50" i="7" s="1"/>
  <c r="C25" i="12"/>
  <c r="C30" i="12" s="1"/>
  <c r="N5" i="9"/>
  <c r="C21" i="9"/>
  <c r="M5" i="9"/>
  <c r="C9" i="11"/>
  <c r="H17" i="9"/>
  <c r="I17" i="9" s="1"/>
  <c r="J17" i="9" s="1"/>
  <c r="F20" i="9"/>
  <c r="E25" i="12"/>
  <c r="E20" i="9"/>
  <c r="D25" i="12"/>
  <c r="H9" i="9"/>
  <c r="J8" i="1"/>
  <c r="J4" i="1"/>
  <c r="H6" i="9"/>
  <c r="J7" i="1"/>
  <c r="H8" i="9"/>
  <c r="J9" i="1"/>
  <c r="F23" i="9"/>
  <c r="D12" i="9"/>
  <c r="G11" i="9"/>
  <c r="D22" i="9"/>
  <c r="F21" i="9"/>
  <c r="D20" i="9"/>
  <c r="C22" i="9"/>
  <c r="C20" i="9"/>
  <c r="F19" i="9"/>
  <c r="C19" i="9"/>
  <c r="E23" i="9"/>
  <c r="E21" i="9"/>
  <c r="D23" i="9"/>
  <c r="D21" i="9"/>
  <c r="C23" i="9"/>
  <c r="D19" i="9"/>
  <c r="F22" i="9"/>
  <c r="E19" i="9"/>
  <c r="E22" i="9"/>
  <c r="E12" i="9"/>
  <c r="F12" i="9"/>
  <c r="F49" i="7" l="1"/>
  <c r="D14" i="14" s="1"/>
  <c r="C33" i="12"/>
  <c r="C26" i="12"/>
  <c r="C28" i="12"/>
  <c r="C10" i="11"/>
  <c r="C9" i="20"/>
  <c r="H10" i="9"/>
  <c r="H11" i="9" s="1"/>
  <c r="F25" i="12"/>
  <c r="Q5" i="9"/>
  <c r="K17" i="9"/>
  <c r="I10" i="9"/>
  <c r="L9" i="1" s="1"/>
  <c r="E33" i="12"/>
  <c r="E26" i="12"/>
  <c r="E30" i="12"/>
  <c r="E28" i="12"/>
  <c r="D26" i="12"/>
  <c r="D33" i="12"/>
  <c r="D28" i="12"/>
  <c r="D30" i="12"/>
  <c r="I9" i="9"/>
  <c r="K8" i="1"/>
  <c r="K4" i="1"/>
  <c r="I6" i="9"/>
  <c r="K7" i="1"/>
  <c r="I8" i="9"/>
  <c r="J10" i="1"/>
  <c r="K9" i="1"/>
  <c r="G12" i="9"/>
  <c r="I26" i="1"/>
  <c r="H39" i="1"/>
  <c r="I39" i="1" s="1"/>
  <c r="H29" i="1"/>
  <c r="H31" i="1"/>
  <c r="H15" i="1"/>
  <c r="H17" i="1"/>
  <c r="H19" i="1"/>
  <c r="H21" i="1"/>
  <c r="H23" i="1"/>
  <c r="H13" i="1"/>
  <c r="I6" i="1"/>
  <c r="G10" i="1"/>
  <c r="F10" i="1"/>
  <c r="C10" i="1"/>
  <c r="D10" i="1"/>
  <c r="B10" i="1"/>
  <c r="H9" i="1"/>
  <c r="I9" i="1" s="1"/>
  <c r="G5" i="1"/>
  <c r="F5" i="1"/>
  <c r="H7" i="1"/>
  <c r="I7" i="1" s="1"/>
  <c r="H8" i="1"/>
  <c r="I8" i="1" s="1"/>
  <c r="R5" i="9" l="1"/>
  <c r="G49" i="7"/>
  <c r="E14" i="14" s="1"/>
  <c r="J10" i="9"/>
  <c r="K10" i="9" s="1"/>
  <c r="C10" i="20"/>
  <c r="C23" i="20" s="1"/>
  <c r="C24" i="20" s="1"/>
  <c r="C23" i="11"/>
  <c r="L9" i="14" s="1"/>
  <c r="F30" i="12"/>
  <c r="G30" i="12" s="1"/>
  <c r="H30" i="12" s="1"/>
  <c r="F35" i="7"/>
  <c r="F26" i="12"/>
  <c r="F24" i="12" s="1"/>
  <c r="D36" i="7"/>
  <c r="D33" i="1"/>
  <c r="D34" i="1" s="1"/>
  <c r="C37" i="1"/>
  <c r="C36" i="7"/>
  <c r="B36" i="7"/>
  <c r="B16" i="1"/>
  <c r="G11" i="1"/>
  <c r="H12" i="9"/>
  <c r="G25" i="12"/>
  <c r="F28" i="12"/>
  <c r="F33" i="12"/>
  <c r="G33" i="12" s="1"/>
  <c r="I11" i="9"/>
  <c r="H49" i="7" s="1"/>
  <c r="F14" i="14" s="1"/>
  <c r="L4" i="1"/>
  <c r="J6" i="9"/>
  <c r="M9" i="1"/>
  <c r="J8" i="9"/>
  <c r="L7" i="1"/>
  <c r="J9" i="9"/>
  <c r="L8" i="1"/>
  <c r="K10" i="1"/>
  <c r="F32" i="1"/>
  <c r="F37" i="1"/>
  <c r="J31" i="1"/>
  <c r="B33" i="1"/>
  <c r="B34" i="1" s="1"/>
  <c r="B37" i="1"/>
  <c r="G32" i="1"/>
  <c r="G37" i="1"/>
  <c r="B32" i="1"/>
  <c r="D32" i="1"/>
  <c r="D37" i="1"/>
  <c r="E32" i="1"/>
  <c r="E37" i="1"/>
  <c r="I31" i="1"/>
  <c r="C30" i="1"/>
  <c r="C32" i="1"/>
  <c r="F28" i="1"/>
  <c r="F30" i="1"/>
  <c r="I29" i="1"/>
  <c r="E28" i="1"/>
  <c r="E30" i="1"/>
  <c r="G28" i="1"/>
  <c r="G30" i="1"/>
  <c r="B28" i="1"/>
  <c r="B30" i="1"/>
  <c r="D28" i="1"/>
  <c r="D30" i="1"/>
  <c r="C33" i="1"/>
  <c r="C34" i="1" s="1"/>
  <c r="C28" i="1"/>
  <c r="I27" i="1"/>
  <c r="B18" i="1"/>
  <c r="B14" i="1"/>
  <c r="B20" i="1"/>
  <c r="B24" i="1"/>
  <c r="B22" i="1"/>
  <c r="G33" i="1"/>
  <c r="G18" i="1"/>
  <c r="G14" i="1"/>
  <c r="G24" i="1"/>
  <c r="G22" i="1"/>
  <c r="G20" i="1"/>
  <c r="G16" i="1"/>
  <c r="I13" i="1"/>
  <c r="D5" i="19" s="1"/>
  <c r="H25" i="1"/>
  <c r="F24" i="1"/>
  <c r="F22" i="1"/>
  <c r="F20" i="1"/>
  <c r="F16" i="1"/>
  <c r="F18" i="1"/>
  <c r="F14" i="1"/>
  <c r="I15" i="1"/>
  <c r="I23" i="1"/>
  <c r="E24" i="1"/>
  <c r="E22" i="1"/>
  <c r="E20" i="1"/>
  <c r="E16" i="1"/>
  <c r="E14" i="1"/>
  <c r="E18" i="1"/>
  <c r="I21" i="1"/>
  <c r="D16" i="1"/>
  <c r="D24" i="1"/>
  <c r="D20" i="1"/>
  <c r="D18" i="1"/>
  <c r="D14" i="1"/>
  <c r="D22" i="1"/>
  <c r="I19" i="1"/>
  <c r="C18" i="1"/>
  <c r="C14" i="1"/>
  <c r="C24" i="1"/>
  <c r="C22" i="1"/>
  <c r="C20" i="1"/>
  <c r="C16" i="1"/>
  <c r="I17" i="1"/>
  <c r="H5" i="1"/>
  <c r="F11" i="1"/>
  <c r="F33" i="1"/>
  <c r="F34" i="1" s="1"/>
  <c r="C11" i="1"/>
  <c r="D11" i="1"/>
  <c r="E33" i="1"/>
  <c r="E34" i="1" s="1"/>
  <c r="F29" i="12" l="1"/>
  <c r="G38" i="1"/>
  <c r="G34" i="1"/>
  <c r="D36" i="1"/>
  <c r="N34" i="9"/>
  <c r="N38" i="9" s="1"/>
  <c r="B36" i="1"/>
  <c r="C25" i="20"/>
  <c r="C36" i="1"/>
  <c r="O34" i="9"/>
  <c r="O38" i="9" s="1"/>
  <c r="P34" i="9"/>
  <c r="P38" i="9" s="1"/>
  <c r="D12" i="14"/>
  <c r="F9" i="7"/>
  <c r="H25" i="12"/>
  <c r="H29" i="12" s="1"/>
  <c r="S5" i="9"/>
  <c r="G26" i="12"/>
  <c r="G24" i="12" s="1"/>
  <c r="G35" i="7"/>
  <c r="F32" i="12"/>
  <c r="F34" i="12" s="1"/>
  <c r="H33" i="12"/>
  <c r="F27" i="12"/>
  <c r="G29" i="12"/>
  <c r="I30" i="12"/>
  <c r="J30" i="12" s="1"/>
  <c r="G32" i="12"/>
  <c r="G34" i="12" s="1"/>
  <c r="C11" i="14"/>
  <c r="E9" i="7"/>
  <c r="G28" i="12"/>
  <c r="G27" i="12" s="1"/>
  <c r="M7" i="1"/>
  <c r="K8" i="9"/>
  <c r="K6" i="9"/>
  <c r="M4" i="1"/>
  <c r="J11" i="9"/>
  <c r="I49" i="7" s="1"/>
  <c r="G14" i="14" s="1"/>
  <c r="N9" i="1"/>
  <c r="K9" i="9"/>
  <c r="M8" i="1"/>
  <c r="L10" i="1"/>
  <c r="I12" i="9"/>
  <c r="K17" i="1"/>
  <c r="K13" i="1"/>
  <c r="K31" i="1"/>
  <c r="K11" i="1"/>
  <c r="K29" i="1"/>
  <c r="H4" i="1"/>
  <c r="H10" i="1" s="1"/>
  <c r="H11" i="1" s="1"/>
  <c r="G36" i="1"/>
  <c r="I25" i="1"/>
  <c r="F38" i="1"/>
  <c r="F41" i="1" s="1"/>
  <c r="F42" i="1" s="1"/>
  <c r="D38" i="1"/>
  <c r="D40" i="1" s="1"/>
  <c r="C38" i="1"/>
  <c r="C41" i="1" s="1"/>
  <c r="C42" i="1" s="1"/>
  <c r="F36" i="1"/>
  <c r="G40" i="1"/>
  <c r="G41" i="1"/>
  <c r="G42" i="1" s="1"/>
  <c r="B38" i="1"/>
  <c r="B41" i="1" s="1"/>
  <c r="B42" i="1" s="1"/>
  <c r="E36" i="1"/>
  <c r="E38" i="1"/>
  <c r="F31" i="12" l="1"/>
  <c r="C31" i="20"/>
  <c r="H11" i="27"/>
  <c r="H26" i="12"/>
  <c r="H24" i="12" s="1"/>
  <c r="J15" i="1"/>
  <c r="E12" i="14"/>
  <c r="I25" i="12"/>
  <c r="I29" i="12" s="1"/>
  <c r="T5" i="9"/>
  <c r="G9" i="7"/>
  <c r="K15" i="1" s="1"/>
  <c r="H32" i="12"/>
  <c r="H34" i="12" s="1"/>
  <c r="I33" i="12"/>
  <c r="J33" i="12" s="1"/>
  <c r="F36" i="12"/>
  <c r="F37" i="12" s="1"/>
  <c r="H35" i="7"/>
  <c r="H28" i="12"/>
  <c r="G31" i="12"/>
  <c r="G36" i="12" s="1"/>
  <c r="L13" i="1"/>
  <c r="L29" i="1"/>
  <c r="L11" i="1"/>
  <c r="L31" i="1"/>
  <c r="J12" i="9"/>
  <c r="M10" i="1"/>
  <c r="N4" i="1"/>
  <c r="N8" i="1"/>
  <c r="K11" i="9"/>
  <c r="J49" i="7" s="1"/>
  <c r="H14" i="14" s="1"/>
  <c r="N7" i="1"/>
  <c r="I4" i="1"/>
  <c r="I10" i="1"/>
  <c r="H18" i="1"/>
  <c r="H32" i="1"/>
  <c r="H33" i="1"/>
  <c r="H14" i="1"/>
  <c r="H20" i="1"/>
  <c r="H28" i="1"/>
  <c r="H30" i="1"/>
  <c r="H24" i="1"/>
  <c r="H16" i="1"/>
  <c r="H22" i="1"/>
  <c r="F40" i="1"/>
  <c r="D41" i="1"/>
  <c r="D42" i="1" s="1"/>
  <c r="C40" i="1"/>
  <c r="E41" i="1"/>
  <c r="E42" i="1" s="1"/>
  <c r="E40" i="1"/>
  <c r="H36" i="1"/>
  <c r="B40" i="1"/>
  <c r="I33" i="1" l="1"/>
  <c r="H34" i="1"/>
  <c r="I26" i="12"/>
  <c r="J26" i="12" s="1"/>
  <c r="F12" i="14"/>
  <c r="I32" i="12"/>
  <c r="I34" i="12" s="1"/>
  <c r="D4" i="19"/>
  <c r="D7" i="19" s="1"/>
  <c r="D11" i="19" s="1"/>
  <c r="E11" i="14"/>
  <c r="D11" i="14"/>
  <c r="G37" i="12"/>
  <c r="E13" i="14" s="1"/>
  <c r="J25" i="12"/>
  <c r="J29" i="12" s="1"/>
  <c r="U5" i="9"/>
  <c r="D13" i="14"/>
  <c r="I35" i="7"/>
  <c r="H9" i="7"/>
  <c r="L15" i="1" s="1"/>
  <c r="E35" i="7"/>
  <c r="I28" i="12"/>
  <c r="I27" i="12" s="1"/>
  <c r="H27" i="12"/>
  <c r="H31" i="12" s="1"/>
  <c r="H36" i="12" s="1"/>
  <c r="H37" i="12" s="1"/>
  <c r="N10" i="1"/>
  <c r="K12" i="9"/>
  <c r="M31" i="1"/>
  <c r="M13" i="1"/>
  <c r="M11" i="1"/>
  <c r="M29" i="1"/>
  <c r="H35" i="1"/>
  <c r="H37" i="1" s="1"/>
  <c r="I24" i="1"/>
  <c r="J24" i="1" s="1"/>
  <c r="I11" i="1"/>
  <c r="I14" i="1"/>
  <c r="J14" i="1" s="1"/>
  <c r="J13" i="1" s="1"/>
  <c r="J11" i="1"/>
  <c r="I18" i="1"/>
  <c r="J18" i="1" s="1"/>
  <c r="I28" i="1"/>
  <c r="J28" i="1" s="1"/>
  <c r="I20" i="1"/>
  <c r="J20" i="1" s="1"/>
  <c r="I32" i="1"/>
  <c r="I16" i="1"/>
  <c r="K16" i="1" s="1"/>
  <c r="L16" i="1" s="1"/>
  <c r="I22" i="1"/>
  <c r="I30" i="1"/>
  <c r="J30" i="1" s="1"/>
  <c r="J29" i="1" s="1"/>
  <c r="I36" i="1"/>
  <c r="J24" i="12" l="1"/>
  <c r="Q34" i="9"/>
  <c r="Q38" i="9" s="1"/>
  <c r="I34" i="1"/>
  <c r="I24" i="12"/>
  <c r="I31" i="12"/>
  <c r="I36" i="12" s="1"/>
  <c r="J32" i="12"/>
  <c r="J34" i="12" s="1"/>
  <c r="D14" i="19"/>
  <c r="D19" i="19" s="1"/>
  <c r="D22" i="19" s="1"/>
  <c r="H10" i="27" s="1"/>
  <c r="I37" i="12"/>
  <c r="I9" i="7"/>
  <c r="M15" i="1" s="1"/>
  <c r="G12" i="14"/>
  <c r="J35" i="7"/>
  <c r="F13" i="14"/>
  <c r="F11" i="14"/>
  <c r="C9" i="14"/>
  <c r="C12" i="14"/>
  <c r="E10" i="7"/>
  <c r="H38" i="1"/>
  <c r="I38" i="1" s="1"/>
  <c r="J28" i="12"/>
  <c r="J27" i="12" s="1"/>
  <c r="J31" i="12" s="1"/>
  <c r="N29" i="1"/>
  <c r="N31" i="1"/>
  <c r="N13" i="1"/>
  <c r="N11" i="1"/>
  <c r="I35" i="1"/>
  <c r="I37" i="1" s="1"/>
  <c r="J37" i="1" s="1"/>
  <c r="K24" i="1"/>
  <c r="L24" i="1" s="1"/>
  <c r="L23" i="1" s="1"/>
  <c r="J23" i="1"/>
  <c r="L18" i="1"/>
  <c r="L17" i="1" s="1"/>
  <c r="J17" i="1"/>
  <c r="K20" i="1"/>
  <c r="K19" i="1" s="1"/>
  <c r="J19" i="1"/>
  <c r="M16" i="1"/>
  <c r="J27" i="1"/>
  <c r="K28" i="1"/>
  <c r="J36" i="12" l="1"/>
  <c r="J37" i="12" s="1"/>
  <c r="C16" i="14"/>
  <c r="C18" i="14" s="1"/>
  <c r="G13" i="14"/>
  <c r="J9" i="7"/>
  <c r="N15" i="1" s="1"/>
  <c r="H11" i="14" s="1"/>
  <c r="H12" i="14"/>
  <c r="H13" i="14"/>
  <c r="G11" i="14"/>
  <c r="H40" i="1"/>
  <c r="J40" i="1" s="1"/>
  <c r="H41" i="1"/>
  <c r="H42" i="1" s="1"/>
  <c r="K23" i="1"/>
  <c r="K25" i="1" s="1"/>
  <c r="J25" i="1"/>
  <c r="N16" i="1"/>
  <c r="L20" i="1"/>
  <c r="L19" i="1" s="1"/>
  <c r="L25" i="1" s="1"/>
  <c r="K27" i="1"/>
  <c r="L28" i="1"/>
  <c r="M18" i="1"/>
  <c r="N18" i="1" s="1"/>
  <c r="N17" i="1" s="1"/>
  <c r="M24" i="1"/>
  <c r="M23" i="1" s="1"/>
  <c r="K33" i="1" l="1"/>
  <c r="K34" i="1" s="1"/>
  <c r="F7" i="14"/>
  <c r="I41" i="1"/>
  <c r="I42" i="1" s="1"/>
  <c r="E7" i="14"/>
  <c r="I40" i="1"/>
  <c r="L40" i="1" s="1"/>
  <c r="M20" i="1"/>
  <c r="M19" i="1" s="1"/>
  <c r="J33" i="1"/>
  <c r="D7" i="14"/>
  <c r="N24" i="1"/>
  <c r="N23" i="1" s="1"/>
  <c r="M17" i="1"/>
  <c r="M28" i="1"/>
  <c r="L27" i="1"/>
  <c r="L33" i="1" s="1"/>
  <c r="L34" i="1" s="1"/>
  <c r="J35" i="1" l="1"/>
  <c r="J38" i="1" s="1"/>
  <c r="J39" i="1" s="1"/>
  <c r="J41" i="1" s="1"/>
  <c r="J42" i="1" s="1"/>
  <c r="J34" i="1"/>
  <c r="K35" i="1"/>
  <c r="K38" i="1" s="1"/>
  <c r="F9" i="14"/>
  <c r="F16" i="14" s="1"/>
  <c r="E9" i="14"/>
  <c r="E16" i="14" s="1"/>
  <c r="N20" i="1"/>
  <c r="N19" i="1" s="1"/>
  <c r="N25" i="1" s="1"/>
  <c r="K40" i="1"/>
  <c r="M25" i="1"/>
  <c r="D9" i="14"/>
  <c r="D16" i="14" s="1"/>
  <c r="N28" i="1"/>
  <c r="N27" i="1" s="1"/>
  <c r="M27" i="1"/>
  <c r="L35" i="1"/>
  <c r="L38" i="1" s="1"/>
  <c r="K39" i="1" l="1"/>
  <c r="K41" i="1" s="1"/>
  <c r="K42" i="1" s="1"/>
  <c r="E18" i="14"/>
  <c r="M40" i="1"/>
  <c r="D18" i="14"/>
  <c r="F18" i="14"/>
  <c r="M33" i="1"/>
  <c r="M34" i="1" s="1"/>
  <c r="N40" i="1"/>
  <c r="N33" i="1"/>
  <c r="H7" i="14"/>
  <c r="G7" i="14"/>
  <c r="L39" i="1"/>
  <c r="L41" i="1" s="1"/>
  <c r="L42" i="1" s="1"/>
  <c r="M35" i="1" l="1"/>
  <c r="M38" i="1" s="1"/>
  <c r="N35" i="1"/>
  <c r="N38" i="1" s="1"/>
  <c r="N39" i="1" s="1"/>
  <c r="N41" i="1" s="1"/>
  <c r="N42" i="1" s="1"/>
  <c r="N34" i="1"/>
  <c r="N8" i="14"/>
  <c r="N11" i="14" s="1"/>
  <c r="G9" i="14"/>
  <c r="G16" i="14" s="1"/>
  <c r="H9" i="14"/>
  <c r="M39" i="1"/>
  <c r="M41" i="1" s="1"/>
  <c r="M42" i="1" s="1"/>
  <c r="N12" i="14" l="1"/>
  <c r="H16" i="14"/>
  <c r="L8" i="14" s="1"/>
  <c r="L11" i="14" s="1"/>
  <c r="L12" i="14" s="1"/>
  <c r="G18" i="14"/>
  <c r="H18" i="14" l="1"/>
  <c r="N13" i="14" s="1"/>
  <c r="C40" i="14" s="1"/>
  <c r="L13" i="14" l="1"/>
  <c r="C30" i="14" s="1"/>
  <c r="C34" i="14" s="1"/>
  <c r="C37" i="14" s="1"/>
  <c r="F27" i="14" s="1"/>
  <c r="C44" i="14"/>
  <c r="C47" i="14" s="1"/>
  <c r="F36" i="14" l="1"/>
  <c r="H9" i="27"/>
  <c r="H14" i="27" s="1"/>
  <c r="C56" i="14"/>
  <c r="H12" i="27" s="1"/>
</calcChain>
</file>

<file path=xl/sharedStrings.xml><?xml version="1.0" encoding="utf-8"?>
<sst xmlns="http://schemas.openxmlformats.org/spreadsheetml/2006/main" count="1194" uniqueCount="752">
  <si>
    <t>Comprehensive income attributable to common stockholders</t>
  </si>
  <si>
    <t>Reclassification of derivative (gain) loss to Interest expense</t>
  </si>
  <si>
    <t>Unrealized gain (loss) on cash flow hedges</t>
  </si>
  <si>
    <t>Net income attributable to common stockholders</t>
  </si>
  <si>
    <t> </t>
  </si>
  <si>
    <t>Other comprehensive income</t>
  </si>
  <si>
    <t>Diluted (in shares)</t>
  </si>
  <si>
    <t>Basic (in shares)</t>
  </si>
  <si>
    <t>Weighted average number of shares of common stock outstanding</t>
  </si>
  <si>
    <t>Diluted (in dollars per share)</t>
  </si>
  <si>
    <t>Basic (in dollars per share)</t>
  </si>
  <si>
    <t>Net income per common share</t>
  </si>
  <si>
    <t>Less: Net income attributable to non-controlling interests</t>
  </si>
  <si>
    <t>Net income</t>
  </si>
  <si>
    <t>Income tax expense</t>
  </si>
  <si>
    <t>Income before income taxes</t>
  </si>
  <si>
    <t>Gain upon lease modification</t>
  </si>
  <si>
    <t>Interest income</t>
  </si>
  <si>
    <t>Interest expense</t>
  </si>
  <si>
    <t>Income from unconsolidated affiliate</t>
  </si>
  <si>
    <t>Total operating expenses</t>
  </si>
  <si>
    <t>Transaction and acquisition expenses</t>
  </si>
  <si>
    <t>Change in allowance for credit losses</t>
  </si>
  <si>
    <t>Other expenses</t>
  </si>
  <si>
    <t>Depreciation</t>
  </si>
  <si>
    <t>General and administrative</t>
  </si>
  <si>
    <t>Total revenues</t>
  </si>
  <si>
    <t>Other income</t>
  </si>
  <si>
    <t>Income from lease financing receivables and loans</t>
  </si>
  <si>
    <t>Income from operating leases</t>
  </si>
  <si>
    <t>Income from sales-type leases</t>
  </si>
  <si>
    <t>Revenues</t>
  </si>
  <si>
    <t>Dec. 31, 2020</t>
  </si>
  <si>
    <t>Dec. 31, 2021</t>
  </si>
  <si>
    <t>Dec. 31, 2022</t>
  </si>
  <si>
    <t>12 Months Ended</t>
  </si>
  <si>
    <t>Investments in loans, net</t>
  </si>
  <si>
    <t>Investments in leases - financing receivables, net</t>
  </si>
  <si>
    <t>[1]As of December 31, 2022 and December 31, 2021, our Investments in leases - sales-type, Investments in leases - financing receivables, Investments in loans and Other assets (sales-type sub-leases) are net of $570.4 million, $726.7 million, $6.9 million and $19.8 million, respectively, and $434.9 million, $91.1 million, $0.8 million, and $6.5 million, respectively, of Allowance for credit losses. Refer to Note 5 - Allowance for Credit Losses for further details.</t>
  </si>
  <si>
    <t>Notes receivable</t>
  </si>
  <si>
    <t>Real estate portfolio:</t>
  </si>
  <si>
    <t>Total liabilities and stockholders’ equity</t>
  </si>
  <si>
    <t>Accumulated other comprehensive income</t>
  </si>
  <si>
    <t xml:space="preserve"> </t>
  </si>
  <si>
    <t>Commitments and Contingencies (Note 10)</t>
  </si>
  <si>
    <t>Total liabilities</t>
  </si>
  <si>
    <t>Other liabilities</t>
  </si>
  <si>
    <t>Accrued expenses and deferred revenue</t>
  </si>
  <si>
    <t>Debt, net</t>
  </si>
  <si>
    <t>Liabilities</t>
  </si>
  <si>
    <t>Total assets</t>
  </si>
  <si>
    <t>Other assets</t>
  </si>
  <si>
    <t>Short-term investments</t>
  </si>
  <si>
    <t>Cash and cash equivalents</t>
  </si>
  <si>
    <t>Land</t>
  </si>
  <si>
    <t>Investment in unconsolidated affiliate</t>
  </si>
  <si>
    <t>Investments in leases - sales-type, net</t>
  </si>
  <si>
    <t>Transfer of Investments in leases - operating to Land due to modification of the Caesars Lease Agreements in connection with the Caesars Transaction</t>
  </si>
  <si>
    <t>Transfer of Investments in leases - operating to Investments in leases - sales-type and direct financing due to modification of the Caesars Lease Agreements in connection with the Caesars Transaction</t>
  </si>
  <si>
    <t>Obtaining right-of-use assets in exchange for lease liabilities</t>
  </si>
  <si>
    <t>Non-cash change in Investments in leases - financing receivables</t>
  </si>
  <si>
    <t>Deferred transaction costs payable</t>
  </si>
  <si>
    <t>Debt issuance costs payable</t>
  </si>
  <si>
    <t>Supplemental non-cash investing and financing activity:</t>
  </si>
  <si>
    <t>Cash paid for income taxes</t>
  </si>
  <si>
    <t>Cash paid for interest</t>
  </si>
  <si>
    <t>Supplemental cash flow information:</t>
  </si>
  <si>
    <t>Cash, cash equivalents and restricted cash, end of period</t>
  </si>
  <si>
    <t>Cash, cash equivalents and restricted cash, beginning of period</t>
  </si>
  <si>
    <t>Net (decrease) increase in cash, cash equivalents and restricted cash</t>
  </si>
  <si>
    <t>Net cash provided by (used in) financing activities</t>
  </si>
  <si>
    <t>Distributions to non-controlling interests</t>
  </si>
  <si>
    <t>Debt issuance costs</t>
  </si>
  <si>
    <t>Repurchase of stock for tax withholding</t>
  </si>
  <si>
    <t>CPLV CMBS Debt prepayment penalty reimbursement </t>
  </si>
  <si>
    <t>Redemption of Second Lien Notes</t>
  </si>
  <si>
    <t>Repayment of Term Loan B Facility</t>
  </si>
  <si>
    <t>Repayment of Revolving Credit Facility</t>
  </si>
  <si>
    <t>Proceeds from Revolving Credit Facility</t>
  </si>
  <si>
    <t>Proceeds from senior unsecured notes</t>
  </si>
  <si>
    <t>Cash flows from financing activities</t>
  </si>
  <si>
    <t>Net cash (used in) provided by investing activities</t>
  </si>
  <si>
    <t>Acquisition of property and equipment</t>
  </si>
  <si>
    <t>Proceeds from sale of real estate</t>
  </si>
  <si>
    <t>Maturities of short-term investments</t>
  </si>
  <si>
    <t>Investments in short-term investments</t>
  </si>
  <si>
    <t>Capitalized transaction costs</t>
  </si>
  <si>
    <t>Principal repayments of loan and receipts of deferred fees</t>
  </si>
  <si>
    <t>Principal repayments of lease financing receivables</t>
  </si>
  <si>
    <t>Investments in loans</t>
  </si>
  <si>
    <t>Investments in leases - financing receivables</t>
  </si>
  <si>
    <t>Investments in leases - sales-type</t>
  </si>
  <si>
    <t>Net cash paid in connection with MGP Transactions</t>
  </si>
  <si>
    <t>Cash flows from investing activities</t>
  </si>
  <si>
    <t>Net cash provided by operating activities</t>
  </si>
  <si>
    <t>Change in operating assets and liabilities:</t>
  </si>
  <si>
    <t>Loss on extinguishment of debt</t>
  </si>
  <si>
    <t>Net proceeds from settlement of derivatives</t>
  </si>
  <si>
    <t>Distributions from unconsolidated affiliate</t>
  </si>
  <si>
    <t>Amortization of debt issuance costs and original issue discount</t>
  </si>
  <si>
    <t>Stock-based compensation</t>
  </si>
  <si>
    <t>Non-cash leasing and financing adjustments</t>
  </si>
  <si>
    <t>Adjustments to reconcile net income to cash flows provided by operating activities:</t>
  </si>
  <si>
    <t>Cash flows from operating activities</t>
  </si>
  <si>
    <t>Golf revenues</t>
  </si>
  <si>
    <t>Golf expenses</t>
  </si>
  <si>
    <t>Comprehensive income</t>
  </si>
  <si>
    <t>Comprehensive income attributable to non-controlling interests</t>
  </si>
  <si>
    <t>Foreign currency translation adjustments</t>
  </si>
  <si>
    <t>VICI PROPERTIES INC. CONSOLIDATED BALANCE SHEETS - USD ($)</t>
  </si>
  <si>
    <t>Dividends and distributions payable</t>
  </si>
  <si>
    <t>Stockholders’ equity</t>
  </si>
  <si>
    <t>Common stock, $0.01 par value, 1,350,000,000 shares authorized and 963,096,563 and 628,942,092 shares issued and outstanding at December 31, 2022 and December 31, 2021, respectively</t>
  </si>
  <si>
    <t>Preferred stock, $0.01 par value, 50,000,000 shares authorized and no shares outstanding at December 31, 2022 and 2021</t>
  </si>
  <si>
    <t>Additional paid-in capital</t>
  </si>
  <si>
    <t>Retained earnings</t>
  </si>
  <si>
    <t>Total VICI stockholders’ equity</t>
  </si>
  <si>
    <t>Non-controlling interests</t>
  </si>
  <si>
    <t>Total stockholders’ equity</t>
  </si>
  <si>
    <t>Non-cash transaction costs</t>
  </si>
  <si>
    <t>Proceeds from offering of common stock, net</t>
  </si>
  <si>
    <t>Dividends paid</t>
  </si>
  <si>
    <t>Dividends and distributions declared, not paid</t>
  </si>
  <si>
    <t>Effect of exchange rate changes on cash, cash equivalents and restricted cash</t>
  </si>
  <si>
    <t>Q1 2023</t>
  </si>
  <si>
    <t>Other (Gains) losses</t>
  </si>
  <si>
    <t>i</t>
  </si>
  <si>
    <t>Sep. 30, 2023</t>
  </si>
  <si>
    <t>Other (gains) losses</t>
  </si>
  <si>
    <t>Net cash paid to acquire businesses</t>
  </si>
  <si>
    <t>MGM Grand Mandalay Bay JV</t>
  </si>
  <si>
    <t>% Growth</t>
  </si>
  <si>
    <t>VICI PROPERTIES INC. Income Statement USD ($) $ in Thousands</t>
  </si>
  <si>
    <t>FY 2020</t>
  </si>
  <si>
    <t>FY 2021</t>
  </si>
  <si>
    <t>FY 2022</t>
  </si>
  <si>
    <t>Q2 2023</t>
  </si>
  <si>
    <t>Q3 2023</t>
  </si>
  <si>
    <t>Q4 2023</t>
  </si>
  <si>
    <t>% of Rev</t>
  </si>
  <si>
    <t>% of Income Kept</t>
  </si>
  <si>
    <t>% of Rev Given to Shareholder</t>
  </si>
  <si>
    <t>Operating Expenses</t>
  </si>
  <si>
    <t>Historical Data</t>
  </si>
  <si>
    <t>Forecast Period</t>
  </si>
  <si>
    <t>NASDAQ:ATVI</t>
  </si>
  <si>
    <t>2024E</t>
  </si>
  <si>
    <t>2025E</t>
  </si>
  <si>
    <t>2026E</t>
  </si>
  <si>
    <t>2027E</t>
  </si>
  <si>
    <t>-</t>
  </si>
  <si>
    <t>Growth by Segment:</t>
  </si>
  <si>
    <t>FY 2023</t>
  </si>
  <si>
    <t>Sales-Type</t>
  </si>
  <si>
    <t>Golf Growth</t>
  </si>
  <si>
    <t>Other Income</t>
  </si>
  <si>
    <t>% of Total Rev By Segment</t>
  </si>
  <si>
    <t>Income from lease financing Recievables</t>
  </si>
  <si>
    <t>Lease Financing Recievables</t>
  </si>
  <si>
    <t>Date</t>
  </si>
  <si>
    <t>Adj Close</t>
  </si>
  <si>
    <t>ROC VICI</t>
  </si>
  <si>
    <t>ROC SPY</t>
  </si>
  <si>
    <t>VICI BETA</t>
  </si>
  <si>
    <t>VICI Adj Close</t>
  </si>
  <si>
    <t>SPY Adj Close</t>
  </si>
  <si>
    <t>BETA</t>
  </si>
  <si>
    <t>DAILY</t>
  </si>
  <si>
    <t>WEEKLY</t>
  </si>
  <si>
    <t>Revenue Build VICI Properties</t>
  </si>
  <si>
    <t>FY 2024</t>
  </si>
  <si>
    <t>FY 2025</t>
  </si>
  <si>
    <t>FY 2026</t>
  </si>
  <si>
    <t>FY 2027</t>
  </si>
  <si>
    <t>FY 2028</t>
  </si>
  <si>
    <t>% of Sales</t>
  </si>
  <si>
    <t>% of Capex (CHANGE)</t>
  </si>
  <si>
    <t>WACC Calculation</t>
  </si>
  <si>
    <t>(in thousands, except per share data)</t>
  </si>
  <si>
    <t>Risk free rate</t>
  </si>
  <si>
    <t>Equity Risk Premium</t>
  </si>
  <si>
    <t>Beta</t>
  </si>
  <si>
    <t>Cost of Equity</t>
  </si>
  <si>
    <t>Credit Spread</t>
  </si>
  <si>
    <t>Cost of Debt</t>
  </si>
  <si>
    <t>Tax Rate</t>
  </si>
  <si>
    <t>After Tax Cost of Debt</t>
  </si>
  <si>
    <t>Stock Price</t>
  </si>
  <si>
    <t>Shares Outstanding</t>
  </si>
  <si>
    <t>MV of Equity</t>
  </si>
  <si>
    <t>MV of Debt</t>
  </si>
  <si>
    <t>Weight of Equity</t>
  </si>
  <si>
    <t>Weight of Debt</t>
  </si>
  <si>
    <t>WACC</t>
  </si>
  <si>
    <t>VICI Properties</t>
  </si>
  <si>
    <t xml:space="preserve">VICI PROPERTIES INC. Balance Sheet </t>
  </si>
  <si>
    <t>Discounted Cash Flow Analysis</t>
  </si>
  <si>
    <t>2023E</t>
  </si>
  <si>
    <t>Valuations</t>
  </si>
  <si>
    <t>EBIT</t>
  </si>
  <si>
    <t>Gordon Growth Rate</t>
  </si>
  <si>
    <t>Multiples Method</t>
  </si>
  <si>
    <t>Terminal Cash Flow</t>
  </si>
  <si>
    <t>Terminal EBIT</t>
  </si>
  <si>
    <t>Less: Tax</t>
  </si>
  <si>
    <t>Terminal Growth Rate</t>
  </si>
  <si>
    <t>EV/EBIT</t>
  </si>
  <si>
    <t>Add: D&amp;A</t>
  </si>
  <si>
    <t>Terminal Value</t>
  </si>
  <si>
    <t>Less: CapEX</t>
  </si>
  <si>
    <t>PV of Terminal Value</t>
  </si>
  <si>
    <t>Less: Change in NWC</t>
  </si>
  <si>
    <t>Enterprise Value</t>
  </si>
  <si>
    <t>FCFF</t>
  </si>
  <si>
    <t>Period</t>
  </si>
  <si>
    <t>NPV FCFF</t>
  </si>
  <si>
    <t xml:space="preserve">VICI Properties </t>
  </si>
  <si>
    <t>Figures in Thousands</t>
  </si>
  <si>
    <t>2028E</t>
  </si>
  <si>
    <t>Income Taxes - Schedule of Effective Rate Reconciliation (Details) - USD ($) $ in Thousands</t>
  </si>
  <si>
    <t>Income Tax Disclosure [Abstract]</t>
  </si>
  <si>
    <t>Federal income tax expense at statutory rate</t>
  </si>
  <si>
    <t>Federal income tax expense at statutory rate, percent</t>
  </si>
  <si>
    <t>REIT income not subject to federal income tax</t>
  </si>
  <si>
    <t>REIT income not subject to federal income tax, percent</t>
  </si>
  <si>
    <t>(20.80%)</t>
  </si>
  <si>
    <t>(20.90%)</t>
  </si>
  <si>
    <t>Pre-tax gain attributable to taxable subsidiaries</t>
  </si>
  <si>
    <t>Pre-tax gain attributable to taxable subsidiaries, percent</t>
  </si>
  <si>
    <t>State income taxes, net of federal benefits</t>
  </si>
  <si>
    <t>State income taxes, net of federal benefits, percent</t>
  </si>
  <si>
    <t>Non-deductible expenses and other</t>
  </si>
  <si>
    <t>Non-deductible expenses and other, percent</t>
  </si>
  <si>
    <t>Income tax expense (benefit), percent</t>
  </si>
  <si>
    <t>Debt - Schedule of Future Minimum Repayment (Details) $ in Thousands</t>
  </si>
  <si>
    <t>Dec. 31, 2022 USD ($)</t>
  </si>
  <si>
    <t>Long-term Debt, Fiscal Year Maturity</t>
  </si>
  <si>
    <t>2023</t>
  </si>
  <si>
    <t>2024</t>
  </si>
  <si>
    <t>2025</t>
  </si>
  <si>
    <t>2026</t>
  </si>
  <si>
    <t>2027</t>
  </si>
  <si>
    <t>Thereafter</t>
  </si>
  <si>
    <t>Total minimum repayments</t>
  </si>
  <si>
    <t>Allowance for Credit Losses - Financing Receivable Credit Quality (Details) - USD ($) $ in Thousands</t>
  </si>
  <si>
    <t>Financing Receivable, Credit Quality Indicator</t>
  </si>
  <si>
    <t>Investments in leases - sales-type and financing receivable, Investments in loans and Other assets (1)</t>
  </si>
  <si>
    <t>Ba2</t>
  </si>
  <si>
    <t>Ba3</t>
  </si>
  <si>
    <t>B1</t>
  </si>
  <si>
    <t>B2</t>
  </si>
  <si>
    <t>B3</t>
  </si>
  <si>
    <t>N/A</t>
  </si>
  <si>
    <t>Real Estate Portfolio - Schedule Of Future Minimum Lease Payments (Details) $ in Thousands</t>
  </si>
  <si>
    <t>Total</t>
  </si>
  <si>
    <t>Financing Receivables</t>
  </si>
  <si>
    <t>Sales-type lease, weighted average lease term</t>
  </si>
  <si>
    <t>36 years 3 months 18 days</t>
  </si>
  <si>
    <t>Financing receivable, weighted average remaining lease term</t>
  </si>
  <si>
    <t>50 years 7 months 6 days</t>
  </si>
  <si>
    <t>Sales-type lease and financing receivables, weighted average lease term</t>
  </si>
  <si>
    <t>43 years 4 months 24 days</t>
  </si>
  <si>
    <t>Other Liabilities [Abstract]</t>
  </si>
  <si>
    <t>Other assets (sales-type sub-leases, net)</t>
  </si>
  <si>
    <t>Property and equipment used in operations, net</t>
  </si>
  <si>
    <t>Right of use assets and sub-lease right of use assets</t>
  </si>
  <si>
    <t>Forward-starting interest rate swaps</t>
  </si>
  <si>
    <t>Debt financing costs</t>
  </si>
  <si>
    <t>Deferred acquisition costs</t>
  </si>
  <si>
    <t>Tenant receivables</t>
  </si>
  <si>
    <t>Interest receivable</t>
  </si>
  <si>
    <t>Other receivables</t>
  </si>
  <si>
    <t>Prepaid expenses</t>
  </si>
  <si>
    <t>Other</t>
  </si>
  <si>
    <t>Other Assets and Other Liabilities - Schedule of Other Liabilities (Details) - USD ($) $ in Thousands</t>
  </si>
  <si>
    <t>Finance sub-lease liabilities</t>
  </si>
  <si>
    <t>Deferred financing liabilities</t>
  </si>
  <si>
    <t>Lease liabilities and sub-lease liabilities</t>
  </si>
  <si>
    <t>CECL allowance for unfunded commitments</t>
  </si>
  <si>
    <t>Deferred income taxes</t>
  </si>
  <si>
    <t>Total other liabilities</t>
  </si>
  <si>
    <t>NWC Projections</t>
  </si>
  <si>
    <t>NWC (in thousands)</t>
  </si>
  <si>
    <t>FY 2024E</t>
  </si>
  <si>
    <t>FY 2025E</t>
  </si>
  <si>
    <t>FY 2026E</t>
  </si>
  <si>
    <t>FY  2027E</t>
  </si>
  <si>
    <t>Revenue</t>
  </si>
  <si>
    <t>DSO</t>
  </si>
  <si>
    <t>Total Current Assets</t>
  </si>
  <si>
    <t>As % of Revenue</t>
  </si>
  <si>
    <t>Total Current Liabilities</t>
  </si>
  <si>
    <t>NWC</t>
  </si>
  <si>
    <t>Change in NWC</t>
  </si>
  <si>
    <t>FY2023</t>
  </si>
  <si>
    <t>Prepaid Expenses</t>
  </si>
  <si>
    <t>Interest and other recievables</t>
  </si>
  <si>
    <t>In Thousands</t>
  </si>
  <si>
    <t>VICI PROPERTIES CASH FLOWS $ in Thousands</t>
  </si>
  <si>
    <t>% of Capex</t>
  </si>
  <si>
    <t>gordon growth</t>
  </si>
  <si>
    <t>perpetuity growth</t>
  </si>
  <si>
    <t>Terminal Multiple (EV/EBIT)</t>
  </si>
  <si>
    <t>Gordon Growth</t>
  </si>
  <si>
    <t>Less: Debt</t>
  </si>
  <si>
    <t>Plus: Cash</t>
  </si>
  <si>
    <t>Equity Value</t>
  </si>
  <si>
    <t>Diluted Shares Outstanding</t>
  </si>
  <si>
    <t>Price Per Share</t>
  </si>
  <si>
    <t>Terminal Multiple</t>
  </si>
  <si>
    <t>Comparable Companies Analysis</t>
  </si>
  <si>
    <t>Ticker</t>
  </si>
  <si>
    <t>EV</t>
  </si>
  <si>
    <t>NAV</t>
  </si>
  <si>
    <t>EV/EBITDA</t>
  </si>
  <si>
    <t>Min</t>
  </si>
  <si>
    <t>1Q</t>
  </si>
  <si>
    <t>Median</t>
  </si>
  <si>
    <t>3Q</t>
  </si>
  <si>
    <t>Max</t>
  </si>
  <si>
    <t>Mean</t>
  </si>
  <si>
    <t>P/E</t>
  </si>
  <si>
    <t>VICI Property</t>
  </si>
  <si>
    <t>VICI</t>
  </si>
  <si>
    <t>GLPI</t>
  </si>
  <si>
    <t>P/FFO</t>
  </si>
  <si>
    <r>
      <t xml:space="preserve">Net Asset Valuation </t>
    </r>
    <r>
      <rPr>
        <b/>
        <i/>
        <sz val="12"/>
        <color theme="1"/>
        <rFont val="Garamond"/>
        <family val="1"/>
      </rPr>
      <t>($ in Thousands</t>
    </r>
    <r>
      <rPr>
        <b/>
        <sz val="12"/>
        <color theme="1"/>
        <rFont val="Garamond"/>
        <family val="1"/>
      </rPr>
      <t>)</t>
    </r>
  </si>
  <si>
    <t xml:space="preserve">Rental Income </t>
  </si>
  <si>
    <t>General and Administrative expenses</t>
  </si>
  <si>
    <t xml:space="preserve">Straight line rent </t>
  </si>
  <si>
    <t>Cash NOI</t>
  </si>
  <si>
    <t>Adjust noi for acquisitions, contruction, or purchases:</t>
  </si>
  <si>
    <t>Construction</t>
  </si>
  <si>
    <t xml:space="preserve">Cap rate </t>
  </si>
  <si>
    <t>Fair Market Value</t>
  </si>
  <si>
    <t>Adjust for other investments and financing:</t>
  </si>
  <si>
    <t>Cash</t>
  </si>
  <si>
    <t>Debt</t>
  </si>
  <si>
    <t xml:space="preserve">NAV </t>
  </si>
  <si>
    <t>Shares outstanding</t>
  </si>
  <si>
    <t>NAV per share</t>
  </si>
  <si>
    <t>VICI Properties 2023</t>
  </si>
  <si>
    <r>
      <t xml:space="preserve">Discounted Dividend Model </t>
    </r>
    <r>
      <rPr>
        <b/>
        <i/>
        <sz val="12"/>
        <color theme="1"/>
        <rFont val="Garamond"/>
        <family val="1"/>
      </rPr>
      <t>($ in Thousands</t>
    </r>
    <r>
      <rPr>
        <b/>
        <sz val="12"/>
        <color theme="1"/>
        <rFont val="Garamond"/>
        <family val="1"/>
      </rPr>
      <t>)</t>
    </r>
  </si>
  <si>
    <t xml:space="preserve">DPS </t>
  </si>
  <si>
    <t>Expected Market Return</t>
  </si>
  <si>
    <t>Risk-Free Rate</t>
  </si>
  <si>
    <t xml:space="preserve">Beta </t>
  </si>
  <si>
    <t>Growth Rate</t>
  </si>
  <si>
    <t xml:space="preserve">Length of Period </t>
  </si>
  <si>
    <t>Forever</t>
  </si>
  <si>
    <t>Year</t>
  </si>
  <si>
    <t>DPS</t>
  </si>
  <si>
    <t>PV</t>
  </si>
  <si>
    <t>Sum of PV of stage 1</t>
  </si>
  <si>
    <t xml:space="preserve">Final Year Dividend x 1+ stage 2 rate </t>
  </si>
  <si>
    <t xml:space="preserve">PV of terminal Value </t>
  </si>
  <si>
    <t>Sum of Present Values</t>
  </si>
  <si>
    <t>Perpetuity Dividend Growth Rate</t>
  </si>
  <si>
    <t>CZR Adj Close</t>
  </si>
  <si>
    <t>MGM Adj Close</t>
  </si>
  <si>
    <t>% of change</t>
  </si>
  <si>
    <t>MGM</t>
  </si>
  <si>
    <t>CZR</t>
  </si>
  <si>
    <t>Adj Close glpi</t>
  </si>
  <si>
    <t>roc glpi</t>
  </si>
  <si>
    <t>GLPI BETA</t>
  </si>
  <si>
    <t>VICI Properties (NYSE:VICI)</t>
  </si>
  <si>
    <t xml:space="preserve">Caesars </t>
  </si>
  <si>
    <t>Venetian</t>
  </si>
  <si>
    <t>Seminole Tribe</t>
  </si>
  <si>
    <t>PENN</t>
  </si>
  <si>
    <t>Century Casinos</t>
  </si>
  <si>
    <t>Rock Companies</t>
  </si>
  <si>
    <t>Bowlero</t>
  </si>
  <si>
    <t>Cherokee Nation</t>
  </si>
  <si>
    <t xml:space="preserve">Eastern Band </t>
  </si>
  <si>
    <t>Foundation Gaming</t>
  </si>
  <si>
    <t>PURE Canadian Gaming</t>
  </si>
  <si>
    <t>Sales By Region</t>
  </si>
  <si>
    <t>Las Vegas</t>
  </si>
  <si>
    <t>Rest of USA</t>
  </si>
  <si>
    <t>2023 Q1</t>
  </si>
  <si>
    <t>2023 Q3</t>
  </si>
  <si>
    <t xml:space="preserve">GLPI  </t>
  </si>
  <si>
    <t>Less: Dividends Paid</t>
  </si>
  <si>
    <t xml:space="preserve">5 Years </t>
  </si>
  <si>
    <t>AFFO</t>
  </si>
  <si>
    <t>Name</t>
  </si>
  <si>
    <t>Price</t>
  </si>
  <si>
    <t>Average</t>
  </si>
  <si>
    <t>Valuation</t>
  </si>
  <si>
    <t>XLRE</t>
  </si>
  <si>
    <t>CPI</t>
  </si>
  <si>
    <t>Dividend</t>
  </si>
  <si>
    <t xml:space="preserve">LVCVA Summary of Monthly Tourism Indicators for Las Vegas, NV </t>
  </si>
  <si>
    <t>For Calendar Year 2023</t>
  </si>
  <si>
    <t>As of January 31, 2024</t>
  </si>
  <si>
    <t>Compiled by the LVCVA Research Center</t>
  </si>
  <si>
    <t>Tourism Indicators</t>
  </si>
  <si>
    <t>Visitor Volume</t>
  </si>
  <si>
    <t>Convention Attendance</t>
  </si>
  <si>
    <t>Available Room Inventory</t>
  </si>
  <si>
    <t>Total Occupancy</t>
  </si>
  <si>
    <t xml:space="preserve">    Weekend Occupancy</t>
  </si>
  <si>
    <t xml:space="preserve">    Midweek Occupancy</t>
  </si>
  <si>
    <t xml:space="preserve">    Strip Occupancy</t>
  </si>
  <si>
    <t xml:space="preserve">    Downtown Occupancy</t>
  </si>
  <si>
    <t>Average Daily Room Rate (ADR)</t>
  </si>
  <si>
    <t xml:space="preserve">    Strip ADR</t>
  </si>
  <si>
    <t xml:space="preserve">    Downtown ADR</t>
  </si>
  <si>
    <t>Revenue Per Available Room (RevPAR)</t>
  </si>
  <si>
    <t xml:space="preserve">    Strip RevPAR</t>
  </si>
  <si>
    <t xml:space="preserve">    Downtown RevPAR</t>
  </si>
  <si>
    <t>Total Room Nights Occupied</t>
  </si>
  <si>
    <t>Total En/Deplaned Passengers</t>
  </si>
  <si>
    <t>Avg. Daily Auto Traffic: All Major Highways*</t>
  </si>
  <si>
    <t xml:space="preserve">    Avg. Daily Auto Traffic: I-15 at NV/CA Border</t>
  </si>
  <si>
    <t>Gaming Revenue : Clark County</t>
  </si>
  <si>
    <t xml:space="preserve">    Gaming Revenue: Las Vegas Strip</t>
  </si>
  <si>
    <t xml:space="preserve">    Gaming Revenue: Downtown</t>
  </si>
  <si>
    <t xml:space="preserve">    Gaming Revenue: Boulder Strip</t>
  </si>
  <si>
    <r>
      <t>Room Tax / LVCVA's Portion</t>
    </r>
    <r>
      <rPr>
        <b/>
        <vertAlign val="superscript"/>
        <sz val="11"/>
        <color theme="1"/>
        <rFont val="Aptos Narrow"/>
        <family val="2"/>
        <scheme val="minor"/>
      </rPr>
      <t>1</t>
    </r>
  </si>
  <si>
    <t>Change from Previous Year</t>
  </si>
  <si>
    <t>Sources: Las Vegas Convention and Visitors Authority; Harry Reid International Airport; Nevada Department of Transportation (NDOT); NV Gaming Control Board</t>
  </si>
  <si>
    <t xml:space="preserve">Notes: </t>
  </si>
  <si>
    <t xml:space="preserve">Occupancy, ADR and RevPAR data are derived from a survey sample representing more than 75% of the Las Vegas hotel inventory. </t>
  </si>
  <si>
    <t>Inherent variability in survey sampling and occasional variations in survey participants can affect monthly and year-over-year comparisons.</t>
  </si>
  <si>
    <t xml:space="preserve">Air passengers and auto traffic counts are a blend of commercial, pass-thru and resident traffic in addition to visitors. </t>
  </si>
  <si>
    <r>
      <t>1</t>
    </r>
    <r>
      <rPr>
        <b/>
        <sz val="11"/>
        <color rgb="FF002060"/>
        <rFont val="Aptos Narrow"/>
        <family val="2"/>
        <scheme val="minor"/>
      </rPr>
      <t xml:space="preserve"> </t>
    </r>
    <r>
      <rPr>
        <sz val="11"/>
        <color rgb="FF002060"/>
        <rFont val="Aptos Narrow"/>
        <family val="2"/>
        <scheme val="minor"/>
      </rPr>
      <t>– Room Tax amounts exclude portions dedicated to Las Vegas Convention Center expansion funding from SB-1 legislation.</t>
    </r>
  </si>
  <si>
    <t>For more information, visit www.lvcva.com/stats-and-facts/</t>
  </si>
  <si>
    <r>
      <rPr>
        <b/>
        <sz val="11"/>
        <color theme="1"/>
        <rFont val="Aptos Narrow"/>
        <family val="2"/>
        <scheme val="minor"/>
      </rPr>
      <t>*</t>
    </r>
    <r>
      <rPr>
        <sz val="11"/>
        <color theme="1"/>
        <rFont val="Aptos Narrow"/>
        <family val="2"/>
        <scheme val="minor"/>
      </rPr>
      <t xml:space="preserve"> Auto Traffic counts will be added when monthly data is made available</t>
    </r>
  </si>
  <si>
    <t>May not foot due to rounding</t>
  </si>
  <si>
    <t>LAS VEGAS CONVENTION AND VISITORS AUTHORITY (LVCVA)</t>
  </si>
  <si>
    <t>2023 YTD</t>
  </si>
  <si>
    <t>e - estimate; r - revised</t>
  </si>
  <si>
    <t>5Y AVG</t>
  </si>
  <si>
    <t>2032E</t>
  </si>
  <si>
    <t>2033E</t>
  </si>
  <si>
    <t>2035E</t>
  </si>
  <si>
    <t>Tenant</t>
  </si>
  <si>
    <t>Caesars</t>
  </si>
  <si>
    <t>Hard Rock Seminole</t>
  </si>
  <si>
    <t>Jack Entertainment</t>
  </si>
  <si>
    <t>Centurary Casinos</t>
  </si>
  <si>
    <t>EBCI</t>
  </si>
  <si>
    <t>Years</t>
  </si>
  <si>
    <t>2023 Q2</t>
  </si>
  <si>
    <t>Tot Debt LF</t>
  </si>
  <si>
    <t>Tot Assets LF</t>
  </si>
  <si>
    <t>Total Liab LF</t>
  </si>
  <si>
    <t>EBIT T12M</t>
  </si>
  <si>
    <t>EBITDA T12M</t>
  </si>
  <si>
    <t>Net Sales T12M</t>
  </si>
  <si>
    <t>FFO T12M</t>
  </si>
  <si>
    <t>VICI PROPERTIES INC</t>
  </si>
  <si>
    <t>REALTY INCOME CORP</t>
  </si>
  <si>
    <t>NNN REIT INC</t>
  </si>
  <si>
    <t>ESSENTIAL PROPERTIES REALTY</t>
  </si>
  <si>
    <t>WP CAREY INC</t>
  </si>
  <si>
    <t>VICI US</t>
  </si>
  <si>
    <t>#N/A N/A</t>
  </si>
  <si>
    <t>GLPI US</t>
  </si>
  <si>
    <t>O US</t>
  </si>
  <si>
    <t>NNN US</t>
  </si>
  <si>
    <t>EPRT US</t>
  </si>
  <si>
    <t>WPC US</t>
  </si>
  <si>
    <t xml:space="preserve">Price </t>
  </si>
  <si>
    <t>Market Cap</t>
  </si>
  <si>
    <t>GAMING AND LEISURE PROPERTIES</t>
  </si>
  <si>
    <t>Shares</t>
  </si>
  <si>
    <t>EV/Rev</t>
  </si>
  <si>
    <t>Debt/EBITDA</t>
  </si>
  <si>
    <t>FFO</t>
  </si>
  <si>
    <t>Multiple</t>
  </si>
  <si>
    <t>Football Field Analysis</t>
  </si>
  <si>
    <t>Spread</t>
  </si>
  <si>
    <t>Val</t>
  </si>
  <si>
    <t>DDM</t>
  </si>
  <si>
    <t>Q1 EV/Rev</t>
  </si>
  <si>
    <t>Q3 EV/Rev</t>
  </si>
  <si>
    <t>Min EV/EBITDA</t>
  </si>
  <si>
    <t>Q3 P/FFO</t>
  </si>
  <si>
    <t>52 Week Range</t>
  </si>
  <si>
    <t>VICI EPS 2023Q3</t>
  </si>
  <si>
    <t>MIN P/E</t>
  </si>
  <si>
    <t>Q1  P/E</t>
  </si>
  <si>
    <t>Q1  EV/EBITDA</t>
  </si>
  <si>
    <t>MIN P/FFO</t>
  </si>
  <si>
    <t>Evercore ISI</t>
  </si>
  <si>
    <t>Truist</t>
  </si>
  <si>
    <t>Jefferies</t>
  </si>
  <si>
    <t>Raymond James</t>
  </si>
  <si>
    <t>Firm</t>
  </si>
  <si>
    <t>Price Target</t>
  </si>
  <si>
    <t>told to keep as constant by associate at BofA</t>
  </si>
  <si>
    <t>Q1 of comps</t>
  </si>
  <si>
    <t>MonthAll itemsFoodFood at homeFood away from homeEnergyGasoline (all types)ElectricityNatural gas (piped)All items less food and energyCommodities less food and energy commoditiesApparelNew vehiclesMedical care commoditiesServices less energy servicesShelterMedical care servicesEducation and communication</t>
  </si>
  <si>
    <t>1.9%3.6%4.5%2.3%6.9%6.8%2.6%17.4%1.1%-2.5%-2.1%-1.8%2.1%2.6%2.2%4.2%1.6%</t>
  </si>
  <si>
    <t>1.9%3.5%4.1%2.8%7.8%8.3%3.1%17.0%1.1%-2.3%-1.9%-1.2%2.0%2.5%2.0%4.3%1.3%</t>
  </si>
  <si>
    <t>1.7%3.3%3.6%2.7%3.8%2.0%3.2%13.1%1.2%-2.0%-1.7%-0.6%2.4%2.5%2.1%4.7%1.4%</t>
  </si>
  <si>
    <t>1.7%3.2%3.7%2.7%0.4%1.6%1.6%-3.2%1.6%-1.6%-0.1%-1.0%2.3%2.9%2.7%5.2%1.6%</t>
  </si>
  <si>
    <t>2.3%3.4%3.8%2.8%5.6%11.0%0.9%0.7%1.8%-1.4%0.3%-0.8%2.6%3.1%3.0%5.3%1.7%</t>
  </si>
  <si>
    <t>3.1%4.1%4.9%2.9%15.0%30.0%0.6%3.9%1.7%-1.1%0.7%-0.5%2.8%2.9%2.8%5.1%1.8%</t>
  </si>
  <si>
    <t>3.3%3.7%4.4%2.8%17.0%33.4%1.9%5.5%1.9%-1.0%0.5%-0.1%2.9%3.0%2.9%5.2%2.1%</t>
  </si>
  <si>
    <t>3.0%4.0%4.6%3.0%14.3%26.5%2.0%7.1%1.8%-1.2%-0.3%-0.6%2.4%3.0%2.9%5.2%1.8%</t>
  </si>
  <si>
    <t>2.7%3.5%3.9%3.2%10.5%16.5%2.2%9.4%1.7%-1.1%-0.6%-1.4%2.2%2.9%2.8%5.2%1.5%</t>
  </si>
  <si>
    <t>2.5%3.3%3.3%3.3%6.7%9.6%1.6%6.2%2.0%-0.6%-0.7%-1.1%2.3%3.0%3.0%5.0%1.8%</t>
  </si>
  <si>
    <t>3.2%3.4%3.5%3.3%15.2%26.6%0.9%8.0%2.0%0.1%-0.6%-0.4%2.6%2.8%2.7%5.1%1.4%</t>
  </si>
  <si>
    <t>3.5%3.2%3.1%3.2%19.2%30.9%2.3%17.1%2.2%0.5%-0.1%0.3%2.7%2.8%2.7%5.0%1.7%</t>
  </si>
  <si>
    <t>3.3%2.7%2.4%3.0%16.6%26.1%2.1%16.4%2.2%0.6%-0.2%0.6%2.2%2.8%2.7%4.9%1.5%</t>
  </si>
  <si>
    <t>3.0%2.9%2.7%3.2%10.6%14.3%3.5%11.2%2.3%0.9%0.3%1.3%2.3%2.8%2.7%5.0%1.4%</t>
  </si>
  <si>
    <t>3.0%2.6%2.2%3.2%10.4%14.7%3.2%9.0%2.4%0.7%0.1%1.2%2.3%3.0%3.0%5.0%1.4%</t>
  </si>
  <si>
    <t>3.1%2.5%2.1%3.2%12.4%16.8%4.3%10.9%2.3%0.6%0.0%0.9%2.2%3.0%3.0%5.0%1.4%</t>
  </si>
  <si>
    <t>3.5%3.1%3.1%3.2%17.1%24.2%4.1%16.4%2.2%0.5%-0.5%0.9%1.9%2.9%2.7%5.0%1.8%</t>
  </si>
  <si>
    <t>2.8%2.4%2.0%3.2%9.9%10.3%5.0%14.7%2.2%0.6%-0.8%0.9%2.0%2.7%2.4%5.0%1.9%</t>
  </si>
  <si>
    <t>2.5%2.2%1.4%3.3%7.3%6.9%5.6%7.7%2.0%0.4%-1.5%0.7%2.2%2.7%2.4%4.8%1.8%</t>
  </si>
  <si>
    <t>3.2%2.1%1.4%3.1%14.2%19.5%5.5%10.6%2.1%0.5%-1.8%0.3%2.4%2.8%2.5%4.8%1.8%</t>
  </si>
  <si>
    <t>3.6%2.2%1.5%3.1%20.2%31.3%5.7%11.9%2.1%0.7%-0.6%0.1%2.5%2.7%2.4%4.4%1.8%</t>
  </si>
  <si>
    <t>4.7%2.5%2.1%3.0%34.8%54.8%6.4%28.1%2.0%0.6%-0.6%0.7%2.5%2.5%1.9%4.4%2.1%</t>
  </si>
  <si>
    <t>4.3%2.2%1.5%3.1%29.5%37.0%8.4%45.3%2.1%0.4%-1.1%0.9%2.6%2.7%2.3%4.6%2.3%</t>
  </si>
  <si>
    <t>3.5%2.2%1.5%3.2%18.3%16.1%11.4%36.1%2.1%0.1%-1.2%0.1%3.4%2.9%2.5%4.8%2.3%</t>
  </si>
  <si>
    <t>3.4%2.3%1.7%3.2%17.1%16.1%10.7%30.2%2.2%0.2%-1.1%-0.4%3.7%2.9%2.6%4.5%2.4%</t>
  </si>
  <si>
    <t>4.0%2.6%2.4%3.0%24.8%27.4%15.0%34.5%2.1%0.1%-1.0%-0.4%3.8%2.9%2.6%4.1%2.7%</t>
  </si>
  <si>
    <t>3.6%2.8%2.4%3.0%20.1%20.6%15.4%26.7%2.1%0.0%-1.8%-0.4%3.8%2.9%2.6%4.1%2.6%</t>
  </si>
  <si>
    <t>3.4%2.6%2.2%3.1%17.3%17.0%14.9%21.9%2.1%0.3%-1.2%-0.2%4.1%2.8%2.5%4.1%2.6%</t>
  </si>
  <si>
    <t>3.5%1.8%0.9%3.1%17.8%21.5%14.8%11.0%2.3%0.4%-0.2%-0.3%4.3%3.1%2.8%4.1%2.6%</t>
  </si>
  <si>
    <t>4.2%1.9%0.8%3.2%23.6%33.4%13.0%10.0%2.4%0.3%0.0%-0.7%4.3%3.3%3.2%4.1%2.7%</t>
  </si>
  <si>
    <t>4.3%2.2%1.5%3.1%23.3%34.0%12.8%7.6%2.6%0.5%0.5%-0.7%3.9%3.5%3.4%4.2%2.7%</t>
  </si>
  <si>
    <t>4.1%2.2%1.5%3.2%20.5%29.6%12.7%4.0%2.7%0.5%0.0%0.4%3.9%3.5%3.5%4.0%3.0%</t>
  </si>
  <si>
    <t>3.8%2.4%1.9%3.1%15.1%19.6%12.0%2.8%2.8%0.6%0.3%1.0%3.9%3.7%3.8%4.4%3.3%</t>
  </si>
  <si>
    <t>2.1%2.5%2.2%3.0%-4.3%-11.9%11.8%-6.1%2.9%0.5%1.0%0.4%3.7%3.9%4.2%4.4%2.7%</t>
  </si>
  <si>
    <t>1.3%2.6%2.3%3.0%-11.3%-18.3%10.4%-24.0%2.7%0.1%0.5%-0.2%3.3%3.8%4.0%4.2%3.0%</t>
  </si>
  <si>
    <t>2.0%2.3%1.7%3.1%-3.8%-4.2%6.5%-19.8%2.6%-0.1%0.2%-0.9%2.2%3.7%4.2%4.1%2.4%</t>
  </si>
  <si>
    <t>2.5%2.1%1.4%3.2%2.9%6.4%7.5%-14.2%2.6%-0.1%0.9%-0.9%1.8%3.7%4.2%4.1%2.3%</t>
  </si>
  <si>
    <t>2.1%2.4%1.7%3.3%-3.1%-2.7%4.1%-17.7%2.7%-0.2%0.9%-1.2%2.2%3.8%4.3%4.9%1.8%</t>
  </si>
  <si>
    <t>2.4%3.1%2.9%3.4%-1.0%-1.4%3.7%-9.7%2.7%0.0%2.1%-1.4%1.6%3.8%4.2%5.1%2.0%</t>
  </si>
  <si>
    <t>2.8%3.3%3.4%3.3%4.4%7.2%3.8%-3.2%2.5%-0.3%0.5%-1.1%0.9%3.6%3.9%4.9%2.3%</t>
  </si>
  <si>
    <t>2.6%3.7%3.9%3.4%2.9%3.2%3.7%0.2%2.3%-0.5%-0.4%-1.0%1.1%3.5%3.9%5.0%2.2%</t>
  </si>
  <si>
    <t>2.7%3.9%4.4%3.3%4.7%6.0%4.1%1.7%2.2%-0.7%-0.8%-1.0%0.8%3.4%3.8%5.0%2.7%</t>
  </si>
  <si>
    <t>2.7%4.1%4.6%3.4%4.6%5.0%3.4%7.2%2.2%-0.8%-1.4%-1.0%0.8%3.4%3.8%5.0%2.4%</t>
  </si>
  <si>
    <t>2.4%4.2%4.6%3.6%1.0%-1.1%3.1%5.2%2.2%-0.6%-0.3%-1.1%1.1%3.3%3.6%5.4%2.3%</t>
  </si>
  <si>
    <t>2.0%4.3%4.7%3.8%-2.5%-6.4%3.0%0.5%2.1%-0.7%-1.4%-0.9%1.2%3.2%3.4%5.5%2.4%</t>
  </si>
  <si>
    <t>2.8%4.5%4.7%4.1%5.3%8.7%3.1%-2.6%2.1%-0.8%-1.8%-1.0%1.1%3.3%3.5%5.6%2.4%</t>
  </si>
  <si>
    <t>3.5%4.4%4.7%4.1%14.5%23.4%4.7%5.9%2.2%-0.5%-1.2%-1.1%1.4%3.2%3.2%5.9%2.6%</t>
  </si>
  <si>
    <t>4.3%4.8%5.4%4.1%21.4%37.1%5.5%1.9%2.3%0.0%-0.4%-0.4%2.3%3.3%3.1%5.8%2.8%</t>
  </si>
  <si>
    <t>4.1%4.9%5.6%4.0%17.4%29.6%5.2%-0.4%2.4%0.1%-0.3%-0.3%2.7%3.3%3.1%5.9%3.0%</t>
  </si>
  <si>
    <t>4.3%4.9%5.8%3.9%19.6%34.5%3.7%1.2%2.5%0.2%-0.2%-0.6%2.5%3.4%3.1%5.7%3.4%</t>
  </si>
  <si>
    <t>4.0%4.6%5.1%3.9%18.9%32.7%3.4%3.5%2.3%0.0%-1.0%-0.8%2.9%3.2%2.9%5.0%3.2%</t>
  </si>
  <si>
    <t>4.0%4.5%4.7%4.1%17.0%26.0%3.7%5.3%2.4%0.0%-1.4%-1.1%3.6%3.3%2.9%4.8%3.0%</t>
  </si>
  <si>
    <t>3.9%5.1%5.9%4.1%15.9%20.7%5.0%10.9%2.3%0.1%-0.7%-1.3%3.0%3.1%2.6%4.7%3.2%</t>
  </si>
  <si>
    <t>4.2%5.1%5.8%4.3%17.4%20.8%5.8%16.5%2.3%0.1%-0.6%-1.2%2.2%3.2%2.6%4.7%3.0%</t>
  </si>
  <si>
    <t>5.0%5.3%6.1%4.4%24.7%32.8%5.6%21.5%2.4%0.2%-0.2%-1.0%2.3%3.3%2.5%4.6%3.4%</t>
  </si>
  <si>
    <t>5.6%6.0%7.1%4.6%29.3%37.9%7.9%32.7%2.5%0.6%0.8%-0.8%1.6%3.3%2.5%4.1%3.7%</t>
  </si>
  <si>
    <t>5.4%6.1%7.5%4.5%27.2%35.6%9.1%29.3%2.5%0.6%1.7%-1.3%1.3%3.3%2.4%3.9%3.6%</t>
  </si>
  <si>
    <t>4.9%6.2%7.6%4.5%23.1%31.7%7.7%19.0%2.5%0.5%1.4%-1.9%1.4%3.2%2.4%3.8%3.5%</t>
  </si>
  <si>
    <t>3.7%6.3%7.5%4.8%11.5%12.0%8.1%13.9%2.2%0.1%0.3%-2.3%1.2%3.0%2.2%3.4%3.4%</t>
  </si>
  <si>
    <t>1.1%6.0%7.0%4.9%-13.3%-29.4%8.1%7.5%2.0%-0.2%0.0%-2.9%1.4%2.9%2.2%3.1%3.6%</t>
  </si>
  <si>
    <t>0.1%5.9%6.6%5.0%-21.3%-43.1%8.6%5.5%1.8%-0.6%-1.0%-3.2%1.6%2.7%1.9%3.0%3.6%</t>
  </si>
  <si>
    <t>0.0%5.3%5.7%4.9%-20.4%-40.4%8.7%3.2%1.7%-0.5%-0.9%-2.6%1.6%2.5%1.8%3.0%3.6%</t>
  </si>
  <si>
    <t>0.2%4.8%4.8%4.8%-18.5%-35.6%9.2%-3.3%1.8%0.0%0.8%-1.5%2.0%2.5%1.7%3.1%3.6%</t>
  </si>
  <si>
    <t>-0.4%4.4%4.3%4.6%-23.0%-39.3%8.2%-11.4%1.8%0.4%1.4%-0.8%1.9%2.3%1.5%3.1%3.6%</t>
  </si>
  <si>
    <t>-0.7%3.3%2.3%4.6%-25.2%-39.5%6.3%-21.0%1.9%0.9%0.9%-0.2%2.4%2.3%1.6%3.3%3.4%</t>
  </si>
  <si>
    <t>-1.3%2.7%1.5%4.2%-27.3%-39.4%4.8%-29.4%1.8%1.2%0.8%0.4%3.3%2.1%1.5%3.2%3.4%</t>
  </si>
  <si>
    <t>-1.4%2.1%0.8%3.8%-25.5%-34.6%2.8%-32.2%1.7%1.5%1.5%0.9%3.2%1.8%1.3%3.1%3.0%</t>
  </si>
  <si>
    <t>-2.1%0.9%-0.9%3.2%-28.1%-37.3%0.1%-36.2%1.5%1.4%1.1%1.2%3.2%1.6%0.9%3.2%2.8%</t>
  </si>
  <si>
    <t>-1.5%0.4%-1.6%3.0%-23.0%-30.0%-1.2%-32.7%1.4%1.1%0.6%0.5%3.7%1.6%0.9%3.2%2.8%</t>
  </si>
  <si>
    <t>-1.3%-0.2%-2.5%2.6%-21.6%-29.7%-0.1%-28.0%1.5%1.6%1.1%1.6%4.1%1.5%0.7%3.3%2.8%</t>
  </si>
  <si>
    <t>-0.2%-0.6%-2.8%2.2%-14.0%-17.9%-0.6%-24.0%1.7%2.3%1.4%3.8%4.3%1.5%0.7%3.2%2.7%</t>
  </si>
  <si>
    <t>1.8%-0.7%-2.9%2.1%7.4%23.6%0.1%-18.6%1.7%2.6%1.0%4.9%3.8%1.4%0.3%3.5%2.5%</t>
  </si>
  <si>
    <t>2.7%-0.5%-2.4%1.9%18.2%53.5%-0.5%-18.1%1.8%3.0%1.9%4.9%3.3%1.4%0.3%3.4%2.4%</t>
  </si>
  <si>
    <t>2.6%-0.4%-2.0%1.6%19.1%51.3%-1.9%-12.2%1.6%2.9%1.7%4.1%3.5%1.0%-0.1%3.5%2.3%</t>
  </si>
  <si>
    <t>2.1%-0.2%-1.5%1.4%14.4%36.8%-2.7%-8.4%1.3%2.5%0.0%3.5%3.5%0.9%-0.4%3.7%2.3%</t>
  </si>
  <si>
    <t>2.3%0.2%-0.7%1.2%18.3%41.4%-0.5%-5.5%1.1%1.9%-0.4%3.0%3.7%0.8%-0.6%3.8%2.4%</t>
  </si>
  <si>
    <t>2.2%0.5%0.0%1.1%18.5%38.3%0.6%-2.9%0.9%1.2%-0.9%2.5%3.5%0.8%-0.7%3.7%2.4%</t>
  </si>
  <si>
    <t>2.0%0.7%0.3%1.1%14.7%27.0%0.7%2.3%0.9%1.1%-0.6%1.9%3.4%0.9%-0.7%3.4%2.2%</t>
  </si>
  <si>
    <t>1.1%0.7%0.2%1.2%3.0%3.9%0.4%1.9%0.9%1.0%-0.4%1.3%3.3%0.9%-0.7%3.5%2.2%</t>
  </si>
  <si>
    <t>1.2%0.9%0.7%1.1%5.2%7.4%1.3%3.1%0.9%1.0%-0.3%0.9%3.2%0.8%-0.7%3.2%2.1%</t>
  </si>
  <si>
    <t>1.1%1.0%0.8%1.2%3.8%4.4%1.6%3.8%0.9%1.3%-0.4%2.3%3.0%0.7%-0.7%3.2%1.9%</t>
  </si>
  <si>
    <t>1.1%1.4%1.4%1.4%3.8%5.1%1.1%3.0%0.8%0.8%-1.2%2.1%2.6%0.8%-0.4%3.7%1.6%</t>
  </si>
  <si>
    <t>1.2%1.4%1.4%1.4%5.9%9.5%0.6%1.9%0.6%0.1%-1.2%0.4%2.5%0.8%-0.3%3.6%1.4%</t>
  </si>
  <si>
    <t>1.1%1.5%1.7%1.3%3.9%7.3%0.3%-4.8%0.8%-0.2%-0.8%-0.4%2.7%1.1%0.2%3.4%1.6%</t>
  </si>
  <si>
    <t>1.5%1.5%1.7%1.3%7.7%13.8%0.7%-2.8%0.8%-0.4%-1.1%-0.2%2.9%1.3%0.4%3.4%1.3%</t>
  </si>
  <si>
    <t>1.6%1.8%2.1%1.5%7.3%13.4%1.2%-6.4%1.0%-0.2%0.0%0.1%2.7%1.4%0.6%3.0%1.2%</t>
  </si>
  <si>
    <t>2.1%2.3%2.8%1.6%11.0%19.2%2.2%-5.9%1.1%0.0%-0.4%0.9%2.7%1.5%0.8%3.0%1.2%</t>
  </si>
  <si>
    <t>2.7%2.9%3.6%1.9%15.5%27.5%1.0%-5.5%1.2%0.2%-0.6%1.6%2.8%1.6%0.9%2.7%1.1%</t>
  </si>
  <si>
    <t>3.2%3.2%3.9%2.1%19.0%33.1%0.6%-1.5%1.3%0.7%0.1%2.4%3.1%1.6%1.0%2.8%1.0%</t>
  </si>
  <si>
    <t>3.6%3.5%4.4%2.2%21.5%36.9%1.8%-1.2%1.5%1.2%1.0%3.4%3.0%1.6%1.1%3.0%1.0%</t>
  </si>
  <si>
    <t>3.6%3.7%4.7%2.3%20.1%35.6%1.5%-0.8%1.6%1.6%1.9%4.0%2.9%1.6%1.2%2.9%1.0%</t>
  </si>
  <si>
    <t>3.6%4.2%5.4%2.6%19.0%33.6%2.0%-2.8%1.8%1.8%3.1%4.0%3.2%1.7%1.4%3.2%1.0%</t>
  </si>
  <si>
    <t>3.8%4.6%6.0%2.7%18.4%32.4%1.9%-2.0%2.0%2.1%4.2%3.8%3.0%1.9%1.6%3.3%1.1%</t>
  </si>
  <si>
    <t>3.9%4.7%6.3%2.6%19.3%33.3%2.7%0.2%2.0%2.0%3.5%3.6%3.0%2.0%1.7%2.8%1.1%</t>
  </si>
  <si>
    <t>3.5%4.7%6.2%2.7%14.2%23.5%2.9%-2.2%2.1%2.1%4.2%3.4%3.1%2.1%1.8%3.1%1.4%</t>
  </si>
  <si>
    <t>3.4%4.6%5.9%2.9%12.4%19.7%2.7%-1.3%2.2%2.2%4.8%3.3%3.1%2.1%1.8%3.5%1.4%</t>
  </si>
  <si>
    <t>3.0%4.7%6.0%2.9%6.6%9.9%2.2%-3.7%2.2%2.2%4.6%3.2%3.2%2.3%1.9%3.6%1.7%</t>
  </si>
  <si>
    <t>2.9%4.4%5.3%3.1%6.1%9.7%2.4%-5.5%2.3%2.2%4.7%3.2%3.2%2.3%2.0%3.7%1.8%</t>
  </si>
  <si>
    <t>2.9%3.9%4.5%3.1%7.0%12.6%1.9%-9.8%2.2%2.0%4.2%3.0%3.3%2.2%2.0%3.4%1.9%</t>
  </si>
  <si>
    <t>2.7%3.3%3.6%3.0%4.6%9.0%0.6%-9.1%2.3%2.1%4.9%2.5%3.3%2.3%2.1%3.5%2.0%</t>
  </si>
  <si>
    <t>2.3%3.1%3.3%2.9%0.9%3.2%0.6%-11.6%2.3%2.0%5.1%2.2%2.7%2.4%2.2%3.7%2.0%</t>
  </si>
  <si>
    <t>1.7%2.8%2.7%2.9%-3.9%-4.0%0.2%-14.9%2.3%1.6%4.4%1.3%2.7%2.5%2.3%3.9%2.2%</t>
  </si>
  <si>
    <t>1.7%2.7%2.6%2.9%-3.9%-4.3%0.5%-13.6%2.2%1.4%3.9%0.9%2.9%2.5%2.2%4.3%2.2%</t>
  </si>
  <si>
    <t>1.4%2.3%1.9%2.9%-5.0%-5.5%-1.3%-12.7%2.1%1.1%3.0%0.8%3.4%2.5%2.1%4.4%2.1%</t>
  </si>
  <si>
    <t>1.7%2.0%1.5%2.8%-0.6%1.8%-1.2%-11.2%1.9%0.7%1.7%1.0%3.6%2.4%2.1%4.2%1.5%</t>
  </si>
  <si>
    <t>2.0%1.6%0.8%2.8%2.3%6.8%-1.5%-10.7%2.0%0.7%2.7%1.0%3.3%2.5%2.2%4.4%1.5%</t>
  </si>
  <si>
    <t>2.2%1.7%1.0%2.7%4.0%9.1%-1.2%-8.4%2.0%0.7%3.0%1.0%3.0%2.5%2.3%3.9%1.5%</t>
  </si>
  <si>
    <t>1.8%1.8%1.3%2.6%0.3%1.9%-0.7%-4.7%1.9%0.5%1.8%1.4%2.3%2.5%2.2%3.7%1.5%</t>
  </si>
  <si>
    <t>1.7%1.8%1.3%2.5%0.5%1.7%-0.5%-2.9%1.9%0.3%1.8%1.6%1.7%2.5%2.2%3.7%1.5%</t>
  </si>
  <si>
    <t>1.6%1.6%1.1%2.3%-1.0%-1.5%0.5%-2.5%1.9%0.4%2.1%1.7%1.5%2.5%2.2%3.6%1.6%</t>
  </si>
  <si>
    <t>2.0%1.6%1.2%2.3%2.3%3.3%0.8%1.3%2.0%0.3%2.4%1.1%0.8%2.6%2.3%3.9%1.7%</t>
  </si>
  <si>
    <t>1.5%1.5%1.0%2.3%-1.6%-3.1%0.9%1.8%1.9%0.0%0.8%1.1%0.6%2.5%2.2%3.9%1.8%</t>
  </si>
  <si>
    <t>1.1%1.5%1.0%2.3%-4.3%-8.3%1.1%7.6%1.7%-0.1%0.3%1.2%0.7%2.3%2.2%3.4%1.5%</t>
  </si>
  <si>
    <t>1.4%1.4%0.8%2.3%-1.0%-4.1%1.7%14.2%1.7%-0.2%0.2%1.1%0.0%2.3%2.3%2.9%1.3%</t>
  </si>
  <si>
    <t>1.8%1.4%0.9%2.2%3.2%2.8%1.9%11.7%1.6%-0.2%0.8%1.2%0.1%2.3%2.3%2.8%1.2%</t>
  </si>
  <si>
    <t>2.0%1.4%1.0%2.1%4.7%5.2%3.1%8.8%1.7%-0.2%1.6%1.2%-0.1%2.4%2.3%2.6%1.3%</t>
  </si>
  <si>
    <t>1.5%1.4%1.0%2.0%-0.1%-2.4%2.8%4.8%1.8%0.0%1.8%1.1%0.0%2.4%2.4%3.1%1.6%</t>
  </si>
  <si>
    <t>1.2%1.4%1.0%1.9%-3.1%-7.5%3.2%5.3%1.7%-0.1%0.8%1.2%0.2%2.4%2.4%3.1%1.5%</t>
  </si>
  <si>
    <t>1.0%1.3%0.8%1.9%-4.8%-10.1%3.0%4.4%1.7%-0.1%-0.2%1.0%0.5%2.3%2.3%2.9%1.6%</t>
  </si>
  <si>
    <t>1.2%1.2%0.6%2.1%-2.4%-5.8%2.9%1.0%1.7%-0.2%-0.1%0.6%0.8%2.4%2.4%2.6%1.6%</t>
  </si>
  <si>
    <t>1.5%1.1%0.4%2.1%0.5%-1.0%3.2%-0.1%1.7%-0.1%0.6%0.4%0.3%2.3%2.5%2.5%1.6%</t>
  </si>
  <si>
    <t>1.6%1.1%0.5%2.0%2.1%0.1%4.4%4.9%1.6%-0.3%-0.3%0.0%0.8%2.3%2.6%2.5%1.3%</t>
  </si>
  <si>
    <t>1.1%1.4%0.9%2.2%-2.5%-8.1%3.8%8.3%1.6%-0.4%-0.6%0.3%1.7%2.2%2.6%2.4%1.1%</t>
  </si>
  <si>
    <t>1.5%1.7%1.4%2.3%0.4%-4.7%5.3%16.4%1.7%-0.3%0.5%0.2%1.3%2.3%2.7%2.4%1.1%</t>
  </si>
  <si>
    <t>2.0%1.9%1.7%2.2%3.3%2.4%2.1%11.8%1.8%-0.3%0.6%0.4%1.6%2.6%2.8%2.7%1.5%</t>
  </si>
  <si>
    <t>2.1%2.5%2.7%2.2%3.3%2.3%3.6%7.3%2.0%-0.2%0.8%0.5%2.5%2.7%2.9%3.0%1.5%</t>
  </si>
  <si>
    <t>2.1%2.3%2.4%2.2%3.2%2.0%4.2%5.1%1.9%-0.2%0.9%0.0%2.8%2.7%2.8%2.6%1.6%</t>
  </si>
  <si>
    <t>2.0%2.5%2.7%2.4%2.6%0.8%4.0%6.9%1.9%-0.3%0.3%0.2%3.0%2.6%2.9%2.5%1.6%</t>
  </si>
  <si>
    <t>1.7%2.7%2.9%2.5%0.4%-2.8%4.1%5.8%1.7%-0.4%0.0%0.4%2.6%2.5%2.9%1.9%1.5%</t>
  </si>
  <si>
    <t>1.7%3.0%3.2%2.7%-0.6%-3.6%2.8%5.8%1.7%-0.3%0.5%0.3%2.9%2.4%3.0%1.7%1.3%</t>
  </si>
  <si>
    <t>1.7%3.1%3.3%2.8%-1.6%-5.0%3.1%3.4%1.8%-0.2%0.7%0.6%2.6%2.5%3.0%1.9%0.8%</t>
  </si>
  <si>
    <t>1.3%3.2%3.4%2.9%-4.8%-10.5%2.8%3.2%1.7%-0.5%-0.3%0.6%3.1%2.5%3.0%2.3%0.6%</t>
  </si>
  <si>
    <t>0.8%3.4%3.7%3.0%-10.6%-21.0%3.1%5.8%1.6%-0.8%-2.0%0.5%4.8%2.4%2.9%2.4%0.4%</t>
  </si>
  <si>
    <t>-0.1%3.2%3.3%3.1%-19.6%-35.4%2.5%-0.4%1.6%-0.8%-1.4%0.5%3.9%2.5%2.9%2.3%0.4%</t>
  </si>
  <si>
    <t>0.0%3.0%2.9%3.1%-18.8%-32.8%3.2%-6.5%1.7%-0.5%-0.8%0.6%3.9%2.5%3.0%1.8%0.4%</t>
  </si>
  <si>
    <t>-0.1%2.3%1.9%2.9%-18.3%-29.2%0.9%-14.4%1.8%-0.2%-0.5%0.8%4.2%2.4%3.0%1.9%0.3%</t>
  </si>
  <si>
    <t>-0.2%2.0%1.3%2.9%-19.4%-31.7%3.8%-16.3%1.8%-0.2%-0.8%0.8%4.1%2.5%3.0%2.6%0.3%</t>
  </si>
  <si>
    <t>0.0%1.6%0.6%3.0%-16.3%-25.0%0.5%-15.4%1.7%-0.3%-1.5%0.8%3.9%2.4%2.9%2.5%0.1%</t>
  </si>
  <si>
    <t>0.1%1.8%1.0%3.0%-15.0%-23.3%0.0%-13.0%1.8%-0.4%-1.8%1.2%3.3%2.5%3.0%2.3%0.1%</t>
  </si>
  <si>
    <t>0.2%1.6%0.9%2.7%-14.8%-22.3%-0.7%-14.2%1.8%-0.5%-1.6%0.7%3.1%2.6%3.1%2.3%0.1%</t>
  </si>
  <si>
    <t>0.2%1.6%0.8%2.7%-15.0%-23.3%-0.6%-11.5%1.8%-0.5%-0.9%0.6%3.4%2.6%3.1%2.2%0.1%</t>
  </si>
  <si>
    <t>0.0%1.6%0.8%2.9%-18.4%-29.6%-0.4%-12.1%1.9%-0.5%-1.4%0.5%2.7%2.7%3.2%2.4%0.4%</t>
  </si>
  <si>
    <t>0.2%1.6%0.7%2.9%-17.1%-27.8%-0.5%-11.0%1.9%-0.7%-1.9%0.1%2.8%2.8%3.2%3.0%1.0%</t>
  </si>
  <si>
    <t>0.5%1.3%0.3%2.7%-14.7%-24.1%-0.2%-11.7%2.0%-0.6%-1.5%0.2%2.5%2.9%3.2%3.1%1.3%</t>
  </si>
  <si>
    <t>0.7%0.8%-0.4%2.6%-12.6%-19.7%-1.2%-14.9%2.1%-0.4%-0.9%0.2%1.5%2.9%3.2%2.9%1.4%</t>
  </si>
  <si>
    <t>1.4%0.8%-0.5%2.7%-6.5%-7.3%-2.4%-12.7%2.2%-0.1%-0.5%0.6%2.1%3.0%3.2%3.3%1.4%</t>
  </si>
  <si>
    <t>1.0%0.9%-0.3%2.6%-12.5%-20.7%-3.0%-10.3%2.3%0.1%0.9%0.6%2.2%3.1%3.3%3.9%1.2%</t>
  </si>
  <si>
    <t>0.9%0.8%-0.5%2.7%-12.6%-20.9%-1.7%-9.2%2.2%-0.4%-0.6%0.4%2.4%3.0%3.2%3.6%1.2%</t>
  </si>
  <si>
    <t>1.1%0.9%-0.3%2.7%-8.9%-13.8%-2.1%-6.5%2.1%-0.5%-0.6%0.0%2.7%3.0%3.2%3.1%1.2%</t>
  </si>
  <si>
    <t>1.0%0.7%-0.7%2.6%-10.1%-16.9%-1.3%-4.7%2.2%-0.5%0.5%-0.2%2.0%3.2%3.4%3.5%1.1%</t>
  </si>
  <si>
    <t>1.0%0.3%-1.3%2.6%-9.4%-15.4%-1.8%-5.0%2.2%-0.6%0.4%-0.4%2.8%3.2%3.5%3.8%1.1%</t>
  </si>
  <si>
    <t>0.8%0.2%-1.6%2.8%-10.9%-19.9%-1.0%-0.4%2.2%-0.6%0.3%0.0%3.3%3.1%3.3%4.1%0.9%</t>
  </si>
  <si>
    <t>1.1%0.0%-1.9%2.8%-9.2%-17.8%-0.7%1.1%2.3%-0.5%0.3%0.0%4.4%3.2%3.4%5.1%0.7%</t>
  </si>
  <si>
    <t>1.5%-0.3%-2.2%2.4%-2.9%-6.5%0.1%2.9%2.2%-0.6%-0.1%0.0%5.2%3.2%3.4%4.8%0.1%</t>
  </si>
  <si>
    <t>1.6%-0.4%-2.3%2.4%0.1%-0.9%0.4%4.8%2.1%-0.5%0.7%0.3%5.0%3.0%3.5%4.1%-0.3%</t>
  </si>
  <si>
    <t>1.7%-0.4%-2.2%2.3%1.1%1.0%0.2%6.2%2.1%-0.7%0.3%0.2%4.3%3.0%3.6%3.9%-0.3%</t>
  </si>
  <si>
    <t>2.1%-0.2%-2.0%2.3%5.4%9.1%0.7%7.8%2.2%-0.6%-0.1%0.3%4.7%3.1%3.6%3.9%-0.2%</t>
  </si>
  <si>
    <t>2.5%-0.2%-1.9%2.4%10.8%20.3%1.0%10.1%2.3%-0.2%1.0%0.9%4.7%3.1%3.5%3.6%-0.3%</t>
  </si>
  <si>
    <t>2.7%0.0%-1.7%2.4%15.2%30.7%1.9%10.9%2.2%-0.5%0.4%0.5%4.1%3.1%3.5%3.4%-0.3%</t>
  </si>
  <si>
    <t>2.4%0.5%-0.9%2.4%10.9%19.9%1.6%10.3%2.0%-0.6%0.6%0.2%3.9%2.9%3.5%3.4%-2.2%</t>
  </si>
  <si>
    <t>2.2%0.5%-0.8%2.3%9.3%14.3%2.4%12.0%1.9%-0.6%0.5%0.4%2.6%2.7%3.5%3.1%-2.5%</t>
  </si>
  <si>
    <t>1.9%0.9%-0.2%2.3%5.4%5.8%2.7%12.8%1.7%-0.8%-0.9%0.3%3.3%2.6%3.3%2.5%-2.5%</t>
  </si>
  <si>
    <t>1.6%0.9%-0.1%2.2%2.3%-0.4%2.5%12.8%1.7%-0.6%-0.7%0.0%3.2%2.5%3.3%2.5%-2.4%</t>
  </si>
  <si>
    <t>1.7%1.1%0.3%2.1%3.4%3.0%2.6%7.5%1.7%-0.6%-0.4%-0.6%3.7%2.4%3.2%2.3%-2.5%</t>
  </si>
  <si>
    <t>1.9%1.1%0.3%2.2%6.4%10.4%2.3%5.4%1.7%-0.9%-0.6%-0.7%2.4%2.5%3.3%1.6%-2.6%</t>
  </si>
  <si>
    <t>2.2%1.2%0.4%2.4%10.1%19.3%1.7%3.8%1.7%-1.0%-0.2%-1.0%1.0%2.6%3.2%1.7%-2.1%</t>
  </si>
  <si>
    <t>2.0%1.3%0.6%2.3%6.4%10.8%2.0%3.2%1.8%-1.0%-0.6%-1.4%0.9%2.7%3.2%1.9%-1.8%</t>
  </si>
  <si>
    <t>2.2%1.4%0.6%2.4%9.4%16.5%2.5%3.6%1.7%-0.9%-1.6%-1.1%1.8%2.5%3.2%1.6%-1.7%</t>
  </si>
  <si>
    <t>2.1%1.6%0.9%2.5%6.9%10.7%2.6%4.7%1.8%-0.7%-1.6%-0.5%2.3%2.6%3.2%1.6%-1.7%</t>
  </si>
  <si>
    <t>2.1%1.7%1.0%2.5%5.5%8.5%2.4%0.2%1.8%-0.7%-0.7%-1.2%1.8%2.6%3.2%2.0%-1.7%</t>
  </si>
  <si>
    <t>2.2%1.4%0.5%2.6%7.7%12.6%2.2%3.8%1.8%-0.5%0.4%-1.5%1.6%2.6%3.1%1.8%-1.8%</t>
  </si>
  <si>
    <t>2.4%1.3%0.4%2.5%7.0%11.1%2.2%3.4%2.1%-0.3%0.3%-1.2%1.4%2.9%3.3%2.1%-0.2%</t>
  </si>
  <si>
    <t>2.5%1.4%0.5%2.5%7.9%13.4%1.2%1.0%2.1%-0.4%0.8%-1.6%1.9%2.9%3.4%2.2%0.1%</t>
  </si>
  <si>
    <t>2.8%1.2%0.1%2.7%11.7%21.8%1.0%-0.8%2.2%-0.3%1.4%-1.1%2.7%3.0%3.5%2.3%0.5%</t>
  </si>
  <si>
    <t>2.9%1.4%0.4%2.8%12.0%24.3%-0.1%-2.1%2.3%-0.2%0.6%-0.5%2.4%3.1%3.4%2.5%0.8%</t>
  </si>
  <si>
    <t>2.9%1.4%0.4%2.8%12.1%25.4%-0.8%-1.3%2.4%0.0%0.3%0.2%0.4%3.1%3.5%2.3%1.0%</t>
  </si>
  <si>
    <t>2.7%1.4%0.5%2.6%10.2%20.3%-0.5%0.1%2.2%-0.2%-1.4%0.3%0.3%3.0%3.4%1.9%1.2%</t>
  </si>
  <si>
    <t>2.3%1.4%0.4%2.6%4.8%9.1%-1.2%-1.2%2.2%-0.3%-0.6%0.5%0.7%3.0%3.3%2.0%1.2%</t>
  </si>
  <si>
    <t>2.5%1.2%0.1%2.5%8.9%16.1%0.7%-2.1%2.1%-0.1%-0.4%0.5%0.7%2.9%3.2%1.9%0.9%</t>
  </si>
  <si>
    <t>2.2%1.4%0.4%2.6%3.1%5.0%0.6%-2.1%2.2%0.2%-0.4%0.3%0.6%2.9%3.2%2.4%0.2%</t>
  </si>
  <si>
    <t>1.9%1.6%0.6%2.8%-0.3%-2.1%1.1%2.3%2.2%0.1%-0.1%-0.3%-0.5%2.9%3.2%2.6%0.2%</t>
  </si>
  <si>
    <t>1.6%1.6%0.6%2.8%-4.8%-10.1%0.4%4.3%2.2%0.3%0.1%0.0%-0.3%2.8%3.2%2.4%0.3%</t>
  </si>
  <si>
    <t>1.5%2.0%1.2%2.9%-5.0%-9.1%0.0%-2.6%2.1%0.1%-0.8%0.3%-1.1%2.7%3.4%2.4%0.6%</t>
  </si>
  <si>
    <t>1.9%2.1%1.4%3.0%-0.4%-0.7%0.3%-1.4%2.0%0.0%-2.2%0.7%-0.6%2.7%3.4%2.3%0.8%</t>
  </si>
  <si>
    <t>2.0%1.8%0.7%3.1%1.7%3.1%0.6%-1.9%2.1%-0.2%-3.0%1.2%0.2%2.8%3.4%2.3%0.9%</t>
  </si>
  <si>
    <t>1.8%2.0%1.2%2.9%-0.5%-0.2%-0.2%-2.6%2.0%-0.2%-3.1%0.9%-0.7%2.7%3.3%2.8%0.7%</t>
  </si>
  <si>
    <t>1.6%1.9%0.9%3.1%-3.4%-5.4%-0.3%-2.1%2.1%0.2%-1.3%0.6%-1.5%2.8%3.5%2.8%0.6%</t>
  </si>
  <si>
    <t>1.8%1.8%0.6%3.2%-2.0%-3.3%0.5%-2.9%2.2%0.4%-0.5%0.3%-0.4%2.8%3.5%3.3%0.6%</t>
  </si>
  <si>
    <t>1.7%1.7%0.5%3.2%-4.4%-7.1%-0.1%-3.5%2.4%0.8%1.0%0.2%0.1%2.9%3.4%4.3%0.6%</t>
  </si>
  <si>
    <t>1.7%1.8%0.6%3.2%-4.8%-8.2%0.7%-2.7%2.4%0.7%-0.3%0.1%-0.3%2.9%3.5%4.4%0.4%</t>
  </si>
  <si>
    <t>1.8%2.1%1.0%3.3%-4.2%-7.3%0.4%0.2%2.3%0.3%-2.3%0.1%1.0%3.0%3.3%5.1%0.5%</t>
  </si>
  <si>
    <t>2.1%2.0%1.0%3.2%-0.6%-1.2%0.5%1.1%2.3%0.1%-1.6%-0.1%0.6%3.0%3.3%5.1%1.4%</t>
  </si>
  <si>
    <t>2.3%1.8%0.7%3.1%3.4%7.9%-0.4%-3.5%2.3%0.1%-1.2%0.1%2.5%3.0%3.2%5.1%1.4%</t>
  </si>
  <si>
    <t>2.5%1.8%0.7%3.1%6.2%12.8%0.5%-3.2%2.3%-0.3%-1.3%0.1%1.7%3.1%3.3%5.1%1.5%</t>
  </si>
  <si>
    <t>2.3%1.8%0.8%3.0%2.8%5.6%0.6%-2.0%2.4%0.0%-0.9%0.4%1.8%3.1%3.3%5.3%1.5%</t>
  </si>
  <si>
    <t>1.5%1.9%1.1%3.0%-5.7%-10.2%0.2%-2.9%2.1%-0.2%-1.6%-0.4%1.3%2.8%3.0%5.5%1.5%</t>
  </si>
  <si>
    <t>0.3%3.5%4.1%2.8%-17.7%-32.0%0.2%-1.9%1.4%-0.9%-5.7%-0.6%0.7%2.2%2.6%5.8%1.6%</t>
  </si>
  <si>
    <t>0.1%4.0%4.8%2.9%-18.9%-33.8%-0.2%-0.3%1.2%-1.0%-7.9%-0.3%0.8%2.0%2.5%5.9%1.6%</t>
  </si>
  <si>
    <t>0.6%4.5%5.6%3.1%-12.6%-23.4%0.1%-0.2%1.2%-1.1%-7.3%-0.2%1.3%1.9%2.4%6.0%1.4%</t>
  </si>
  <si>
    <t>1.0%4.1%4.6%3.4%-11.2%-20.3%-0.1%-0.3%1.6%-0.5%-6.5%0.5%1.1%2.3%2.3%5.9%2.3%</t>
  </si>
  <si>
    <t>1.3%4.1%4.6%3.5%-9.0%-16.8%-0.1%-0.5%1.7%0.4%-5.9%0.7%0.8%2.2%2.3%5.3%2.3%</t>
  </si>
  <si>
    <t>1.4%3.9%4.1%3.8%-7.7%-15.4%0.7%3.8%1.7%1.0%-6.0%1.0%0.9%1.9%2.0%4.9%2.1%</t>
  </si>
  <si>
    <t>1.2%3.9%4.0%3.9%-9.2%-18.0%1.3%1.8%1.6%1.2%-5.5%1.5%-0.8%1.7%2.0%3.7%2.1%</t>
  </si>
  <si>
    <t>1.2%3.7%3.6%3.8%-9.4%-19.3%1.6%4.4%1.6%1.4%-5.2%1.6%-1.1%1.7%1.9%3.2%1.9%</t>
  </si>
  <si>
    <t>1.4%3.9%3.9%3.9%-7.0%-15.2%2.2%4.1%1.6%1.7%-3.9%2.0%-2.5%1.6%1.8%2.8%2.0%</t>
  </si>
  <si>
    <t>1.4%3.8%3.7%3.9%-3.6%-8.6%1.5%4.3%1.4%1.7%-2.5%1.4%-2.3%1.3%1.6%2.9%1.7%</t>
  </si>
  <si>
    <t>1.7%3.6%3.5%3.7%2.4%1.5%2.3%6.7%1.3%1.3%-3.6%1.2%-2.5%1.3%1.5%3.0%1.7%</t>
  </si>
  <si>
    <t>2.6%3.5%3.3%3.7%13.2%22.5%2.5%9.8%1.6%1.7%-2.5%1.5%-2.4%1.6%1.7%2.7%1.5%</t>
  </si>
  <si>
    <t>4.2%2.4%1.2%3.8%25.1%49.6%3.6%12.1%3.0%4.4%1.9%2.0%-1.7%2.5%2.1%2.2%1.7%</t>
  </si>
  <si>
    <t>5.0%2.2%0.7%4.0%28.5%56.2%4.2%13.5%3.8%6.5%5.6%3.3%-1.9%2.9%2.2%1.5%1.9%</t>
  </si>
  <si>
    <t>5.4%2.4%0.9%4.2%24.5%45.1%3.8%15.6%4.5%8.7%4.9%5.3%-2.2%3.1%2.6%1.0%2.1%</t>
  </si>
  <si>
    <t>5.4%3.4%2.6%4.6%23.8%41.8%4.0%19.0%4.3%8.5%4.2%6.4%-2.1%2.9%2.8%0.8%1.1%</t>
  </si>
  <si>
    <t>5.3%3.7%3.0%4.7%25.0%42.7%5.2%21.1%4.0%7.7%4.2%7.6%-2.5%2.7%2.8%1.0%1.2%</t>
  </si>
  <si>
    <t>5.4%4.6%4.5%4.7%24.8%42.1%5.2%20.6%4.0%7.3%3.4%8.7%-1.6%2.9%3.2%0.9%1.7%</t>
  </si>
  <si>
    <t>6.2%5.3%5.4%5.3%30.0%49.6%6.5%28.1%4.6%8.4%4.3%9.8%-0.4%3.2%3.5%1.7%1.8%</t>
  </si>
  <si>
    <t>6.8%6.1%6.4%5.8%33.3%58.1%6.5%25.1%4.9%9.4%5.0%11.1%0.2%3.4%3.8%2.1%1.7%</t>
  </si>
  <si>
    <t>7.0%6.3%6.5%6.0%29.3%49.6%6.3%24.1%5.5%10.7%5.8%11.8%0.4%3.7%4.1%2.5%1.6%</t>
  </si>
  <si>
    <t>7.5%7.0%7.4%6.4%27.0%40.0%10.7%23.9%6.0%11.7%5.3%12.2%1.4%4.1%4.4%2.7%1.6%</t>
  </si>
  <si>
    <t>7.9%7.9%8.6%6.8%25.6%38.0%9.0%23.8%6.4%12.3%6.6%12.4%2.5%4.4%4.7%2.4%1.6%</t>
  </si>
  <si>
    <t>8.5%8.8%10.0%6.9%32.0%48.0%11.1%21.6%6.5%11.7%6.8%12.5%2.7%4.7%5.0%2.9%1.5%</t>
  </si>
  <si>
    <t>8.3%9.4%10.8%7.2%30.3%43.6%11.0%22.7%6.2%9.7%5.4%13.2%2.1%4.9%5.1%3.5%1.0%</t>
  </si>
  <si>
    <t>8.6%10.1%11.9%7.4%34.6%48.7%12.0%30.2%6.0%8.5%5.0%12.6%2.4%5.2%5.5%4.0%0.8%</t>
  </si>
  <si>
    <t>9.1%10.4%12.2%7.7%41.6%59.9%13.7%38.4%5.9%7.2%5.2%11.4%3.2%5.5%5.6%4.8%0.8%</t>
  </si>
  <si>
    <t>8.5%10.9%13.1%7.6%32.9%44.0%15.2%30.5%5.9%7.0%5.1%10.4%3.7%5.5%5.7%5.1%0.5%</t>
  </si>
  <si>
    <t>8.3%11.4%13.5%8.0%23.8%25.6%15.8%33.0%6.3%7.1%5.1%10.1%4.1%6.1%6.2%5.6%0.5%</t>
  </si>
  <si>
    <t>8.2%11.2%13.0%8.5%19.8%18.2%15.5%33.1%6.6%6.6%5.5%9.4%3.7%6.7%6.6%6.5%0.2%</t>
  </si>
  <si>
    <t>7.7%10.9%12.4%8.6%17.6%17.5%14.1%20.0%6.3%5.1%4.1%8.4%3.1%6.7%6.9%5.4%0.0%</t>
  </si>
  <si>
    <t>7.1%10.6%12.0%8.5%13.1%10.1%13.7%15.5%6.0%3.7%3.6%7.2%3.1%6.8%7.1%4.4%0.7%</t>
  </si>
  <si>
    <t>6.5%10.4%11.8%8.3%7.3%-1.5%14.3%19.3%5.7%2.1%2.9%5.9%3.2%7.0%7.5%4.1%0.7%</t>
  </si>
  <si>
    <t>6.4%10.1%11.3%8.2%8.7%1.5%11.9%26.7%5.6%1.4%3.1%5.8%3.4%7.2%7.9%3.0%1.0%</t>
  </si>
  <si>
    <t>6.0%9.5%10.2%8.4%5.2%-2.0%12.9%14.3%5.5%1.0%3.3%5.8%3.2%7.3%8.1%2.1%1.0%</t>
  </si>
  <si>
    <t>5.0%8.5%8.4%8.8%-6.4%-17.4%10.2%5.5%5.6%1.5%3.3%6.1%3.6%7.1%8.2%1.0%1.4%</t>
  </si>
  <si>
    <t>4.9%7.7%7.1%8.6%-5.1%-12.2%8.4%-2.1%5.5%2.0%3.6%5.4%4.0%6.8%8.1%0.4%1.6%</t>
  </si>
  <si>
    <t>4.0%6.7%5.8%8.3%-11.7%-19.7%5.9%-11.0%5.3%2.0%3.5%4.7%4.4%6.6%8.0%-0.1%1.5%</t>
  </si>
  <si>
    <t>3.0%5.7%4.7%7.7%-16.7%-26.5%5.4%-18.6%4.8%1.3%3.1%4.1%4.2%6.2%7.8%-0.8%1.1%</t>
  </si>
  <si>
    <t>3.2%4.9%3.6%7.1%-12.5%-19.9%3.0%-13.7%4.7%0.8%3.2%3.5%4.1%6.1%7.7%-1.5%1.2%</t>
  </si>
  <si>
    <t>3.7%4.3%3.0%6.5%-3.6%-3.3%2.1%-16.5%4.3%0.2%3.1%2.9%4.5%5.9%7.3%-2.1%1.0%</t>
  </si>
  <si>
    <t>3.7%3.7%2.4%6.0%-0.5%3.0%2.6%-19.9%4.1%0.0%2.3%2.5%4.2%5.7%7.2%-2.6%1.0%</t>
  </si>
  <si>
    <t>3.2%3.3%2.1%5.4%-4.5%-5.3%2.4%-15.8%4.0%0.1%2.6%1.9%4.7%5.5%6.7%-2.0%0.9%</t>
  </si>
  <si>
    <t>3.1%2.9%1.7%5.3%-5.4%-8.9%3.4%-10.4%4.0%0.0%1.1%1.3%5.0%5.5%6.5%-0.9%-0.1%</t>
  </si>
  <si>
    <t>3.4%2.7%1.3%5.2%-2.0%-1.9%3.3%-13.8%3.9%0.2%1.0%1.0%4.7%5.3%6.2%-0.5%-0.1%</t>
  </si>
  <si>
    <t>% of Total Rev</t>
  </si>
  <si>
    <t>Value</t>
  </si>
  <si>
    <t>Earnings Yield</t>
  </si>
  <si>
    <t>Div Yield</t>
  </si>
  <si>
    <t>Profitability</t>
  </si>
  <si>
    <t>Growth</t>
  </si>
  <si>
    <t>Real Estate</t>
  </si>
  <si>
    <t>W/ VICI</t>
  </si>
  <si>
    <t>NNN</t>
  </si>
  <si>
    <t>WPC</t>
  </si>
  <si>
    <t>EPRT</t>
  </si>
  <si>
    <t>O</t>
  </si>
  <si>
    <t>Company</t>
  </si>
  <si>
    <t>(Debt+ Perfered Stock)/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</si>
</sst>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quot;#,##0.00_);[Red]\(&quot;$&quot;#,##0.00\)"/>
    <numFmt numFmtId="44" formatCode="_(&quot;$&quot;* #,##0.00_);_(&quot;$&quot;* \(#,##0.00\);_(&quot;$&quot;* &quot;-&quot;??_);_(@_)"/>
    <numFmt numFmtId="43" formatCode="_(* #,##0.00_);_(* \(#,##0.00\);_(* &quot;-&quot;??_);_(@_)"/>
    <numFmt numFmtId="164" formatCode="_(&quot;$ &quot;#,##0_);_(&quot;$ &quot;\(#,##0\)"/>
    <numFmt numFmtId="165" formatCode="_(&quot;$ &quot;#,##0.00_);_(&quot;$ &quot;\(#,##0.00\)"/>
    <numFmt numFmtId="166" formatCode="0.0%"/>
    <numFmt numFmtId="167" formatCode="0.000%"/>
    <numFmt numFmtId="168" formatCode="_(&quot;$&quot;* #,##0_);_(&quot;$&quot;* \(#,##0\);_(&quot;$&quot;* &quot;-&quot;??_);_(@_)"/>
    <numFmt numFmtId="169" formatCode="_(* #,##0_);_(* \(#,##0\);_(* &quot;-&quot;??_);_(@_)"/>
    <numFmt numFmtId="170" formatCode="0.00\x"/>
    <numFmt numFmtId="171" formatCode="#,##0%_);\(#,##0%\)"/>
    <numFmt numFmtId="172" formatCode="#,##0.00%_);\(#,##0.00%\)"/>
    <numFmt numFmtId="173" formatCode="[$-409]mmmmm\-yy;@"/>
    <numFmt numFmtId="174" formatCode="&quot;$&quot;#,##0.00"/>
    <numFmt numFmtId="175" formatCode="&quot;$&quot;#,##0"/>
    <numFmt numFmtId="176" formatCode="0.0"/>
    <numFmt numFmtId="185" formatCode="_(&quot;$&quot;* #,##0.000_);_(&quot;$&quot;* \(#,##0.000\);_(&quot;$&quot;* &quot;-&quot;??_);_(@_)"/>
  </numFmts>
  <fonts count="88">
    <font>
      <sz val="11"/>
      <color theme="1"/>
      <name val="Aptos Narrow"/>
      <family val="2"/>
      <scheme val="minor"/>
    </font>
    <font>
      <sz val="11"/>
      <name val="Calibri"/>
      <family val="2"/>
    </font>
    <font>
      <b/>
      <sz val="11"/>
      <name val="Calibri"/>
      <family val="2"/>
    </font>
    <font>
      <sz val="11"/>
      <name val="Calibri"/>
      <family val="2"/>
    </font>
    <font>
      <b/>
      <sz val="11"/>
      <name val="Calibri"/>
      <family val="2"/>
    </font>
    <font>
      <sz val="11"/>
      <color theme="1"/>
      <name val="Aptos Narrow"/>
      <family val="2"/>
      <scheme val="minor"/>
    </font>
    <font>
      <b/>
      <sz val="11"/>
      <color theme="1"/>
      <name val="Aptos Narrow"/>
      <family val="2"/>
      <scheme val="minor"/>
    </font>
    <font>
      <b/>
      <sz val="11"/>
      <name val="Garamond"/>
      <family val="1"/>
    </font>
    <font>
      <sz val="11"/>
      <name val="Garamond"/>
      <family val="1"/>
    </font>
    <font>
      <sz val="11"/>
      <color theme="1"/>
      <name val="Garamond"/>
      <family val="1"/>
    </font>
    <font>
      <b/>
      <sz val="11"/>
      <color theme="1"/>
      <name val="Garamond"/>
      <family val="1"/>
    </font>
    <font>
      <i/>
      <sz val="11"/>
      <name val="Garamond"/>
      <family val="1"/>
    </font>
    <font>
      <b/>
      <sz val="14"/>
      <color theme="0"/>
      <name val="Garamond"/>
      <family val="1"/>
    </font>
    <font>
      <b/>
      <sz val="12"/>
      <color theme="0"/>
      <name val="Garamond"/>
      <family val="1"/>
    </font>
    <font>
      <b/>
      <i/>
      <sz val="12"/>
      <color theme="0"/>
      <name val="Garamond"/>
      <family val="1"/>
    </font>
    <font>
      <sz val="11"/>
      <color rgb="FF0070C0"/>
      <name val="Garamond"/>
      <family val="1"/>
    </font>
    <font>
      <b/>
      <sz val="11"/>
      <color rgb="FF0070C0"/>
      <name val="Garamond"/>
      <family val="1"/>
    </font>
    <font>
      <sz val="8"/>
      <name val="Aptos Narrow"/>
      <family val="2"/>
      <scheme val="minor"/>
    </font>
    <font>
      <sz val="11"/>
      <color rgb="FF00B050"/>
      <name val="Garamond"/>
      <family val="1"/>
    </font>
    <font>
      <b/>
      <sz val="11"/>
      <color rgb="FF00B050"/>
      <name val="Garamond"/>
      <family val="1"/>
    </font>
    <font>
      <b/>
      <sz val="16"/>
      <color theme="0"/>
      <name val="Cambria"/>
      <family val="1"/>
    </font>
    <font>
      <b/>
      <sz val="13"/>
      <color theme="0"/>
      <name val="Cambria"/>
      <family val="1"/>
    </font>
    <font>
      <sz val="11"/>
      <color theme="1"/>
      <name val="Cambria"/>
      <family val="1"/>
    </font>
    <font>
      <b/>
      <sz val="10"/>
      <color theme="0"/>
      <name val="Cambria"/>
      <family val="1"/>
    </font>
    <font>
      <sz val="10"/>
      <color theme="1"/>
      <name val="Cambria"/>
      <family val="1"/>
    </font>
    <font>
      <b/>
      <sz val="10"/>
      <color theme="1"/>
      <name val="Cambria"/>
      <family val="1"/>
    </font>
    <font>
      <b/>
      <sz val="12"/>
      <color theme="0"/>
      <name val="Cambria"/>
      <family val="1"/>
    </font>
    <font>
      <b/>
      <sz val="18"/>
      <color theme="0"/>
      <name val="Aptos Display"/>
      <family val="1"/>
      <scheme val="major"/>
    </font>
    <font>
      <sz val="11"/>
      <color theme="1"/>
      <name val="Aptos Display"/>
      <family val="1"/>
      <scheme val="major"/>
    </font>
    <font>
      <sz val="12"/>
      <color theme="0"/>
      <name val="Aptos Display"/>
      <family val="1"/>
      <scheme val="major"/>
    </font>
    <font>
      <sz val="12"/>
      <color theme="1"/>
      <name val="Cambria"/>
      <family val="1"/>
    </font>
    <font>
      <sz val="12"/>
      <color theme="1"/>
      <name val="Garamond"/>
      <family val="1"/>
    </font>
    <font>
      <sz val="10"/>
      <color theme="0"/>
      <name val="Cambria"/>
      <family val="1"/>
    </font>
    <font>
      <sz val="12"/>
      <color theme="0"/>
      <name val="Cambria"/>
      <family val="1"/>
    </font>
    <font>
      <sz val="10"/>
      <color rgb="FF00B050"/>
      <name val="Cambria"/>
      <family val="1"/>
    </font>
    <font>
      <sz val="12"/>
      <color rgb="FF00B050"/>
      <name val="Cambria"/>
      <family val="1"/>
    </font>
    <font>
      <sz val="12"/>
      <color rgb="FF00B050"/>
      <name val="Garamond"/>
      <family val="1"/>
    </font>
    <font>
      <sz val="10"/>
      <color rgb="FF0070C0"/>
      <name val="Cambria"/>
      <family val="1"/>
    </font>
    <font>
      <sz val="10"/>
      <color rgb="FF000000"/>
      <name val="Cambria"/>
      <family val="1"/>
    </font>
    <font>
      <i/>
      <sz val="10"/>
      <color theme="1"/>
      <name val="Cambria"/>
      <family val="1"/>
    </font>
    <font>
      <sz val="11"/>
      <color theme="3"/>
      <name val="Garamond"/>
      <family val="1"/>
    </font>
    <font>
      <sz val="12"/>
      <color theme="0"/>
      <name val="Garamond"/>
      <family val="1"/>
    </font>
    <font>
      <b/>
      <i/>
      <sz val="12"/>
      <color theme="1"/>
      <name val="Garamond"/>
      <family val="1"/>
    </font>
    <font>
      <b/>
      <sz val="12"/>
      <color theme="1"/>
      <name val="Garamond"/>
      <family val="1"/>
    </font>
    <font>
      <sz val="12"/>
      <name val="Garamond"/>
      <family val="1"/>
    </font>
    <font>
      <sz val="12"/>
      <color theme="4"/>
      <name val="Garamond"/>
      <family val="1"/>
    </font>
    <font>
      <i/>
      <sz val="12"/>
      <name val="Garamond"/>
      <family val="1"/>
    </font>
    <font>
      <i/>
      <sz val="12"/>
      <color theme="1"/>
      <name val="Garamond"/>
      <family val="1"/>
    </font>
    <font>
      <b/>
      <sz val="12"/>
      <color rgb="FF000000"/>
      <name val="Garamond"/>
      <family val="1"/>
    </font>
    <font>
      <sz val="12"/>
      <color rgb="FF000000"/>
      <name val="Garamond"/>
      <family val="1"/>
    </font>
    <font>
      <b/>
      <sz val="11"/>
      <color theme="0"/>
      <name val="Garamond"/>
      <family val="1"/>
    </font>
    <font>
      <b/>
      <i/>
      <sz val="11"/>
      <name val="Garamond"/>
      <family val="1"/>
    </font>
    <font>
      <sz val="11"/>
      <color theme="0"/>
      <name val="Aptos Narrow"/>
      <family val="2"/>
      <scheme val="minor"/>
    </font>
    <font>
      <sz val="12"/>
      <color theme="9"/>
      <name val="Garamond"/>
      <family val="1"/>
    </font>
    <font>
      <sz val="11"/>
      <color theme="0"/>
      <name val="Garamond"/>
      <family val="1"/>
    </font>
    <font>
      <sz val="12"/>
      <color rgb="FF70AD47"/>
      <name val="Garamond"/>
      <family val="1"/>
    </font>
    <font>
      <sz val="12"/>
      <color rgb="FF548235"/>
      <name val="Garamond"/>
      <family val="1"/>
    </font>
    <font>
      <sz val="12"/>
      <color rgb="FF0070C0"/>
      <name val="Garamond"/>
      <family val="1"/>
    </font>
    <font>
      <b/>
      <sz val="11"/>
      <color theme="0"/>
      <name val="Cambria"/>
      <family val="1"/>
    </font>
    <font>
      <sz val="10"/>
      <name val="Cambria"/>
      <family val="1"/>
    </font>
    <font>
      <sz val="11"/>
      <color rgb="FF000000"/>
      <name val="Garamond"/>
      <family val="1"/>
    </font>
    <font>
      <b/>
      <sz val="8"/>
      <color rgb="FF000000"/>
      <name val="Tahoma"/>
      <family val="2"/>
    </font>
    <font>
      <b/>
      <sz val="8"/>
      <color rgb="FF333333"/>
      <name val="Tahoma"/>
      <family val="2"/>
    </font>
    <font>
      <sz val="8"/>
      <color rgb="FF000000"/>
      <name val="Tahoma"/>
      <family val="2"/>
    </font>
    <font>
      <u/>
      <sz val="11"/>
      <color theme="10"/>
      <name val="Aptos Narrow"/>
      <family val="2"/>
      <scheme val="minor"/>
    </font>
    <font>
      <b/>
      <sz val="18"/>
      <color theme="1"/>
      <name val="Aptos Narrow"/>
      <family val="2"/>
      <scheme val="minor"/>
    </font>
    <font>
      <b/>
      <sz val="15"/>
      <color theme="1"/>
      <name val="Aptos Narrow"/>
      <family val="2"/>
      <scheme val="minor"/>
    </font>
    <font>
      <i/>
      <sz val="11"/>
      <color rgb="FF0000FF"/>
      <name val="Aptos Narrow"/>
      <family val="2"/>
      <scheme val="minor"/>
    </font>
    <font>
      <b/>
      <i/>
      <sz val="12"/>
      <color rgb="FF0000FF"/>
      <name val="Aptos Narrow"/>
      <family val="2"/>
      <scheme val="minor"/>
    </font>
    <font>
      <b/>
      <u/>
      <sz val="15"/>
      <color theme="1"/>
      <name val="Aptos Narrow"/>
      <family val="2"/>
      <scheme val="minor"/>
    </font>
    <font>
      <b/>
      <vertAlign val="superscript"/>
      <sz val="11"/>
      <color theme="1"/>
      <name val="Aptos Narrow"/>
      <family val="2"/>
      <scheme val="minor"/>
    </font>
    <font>
      <i/>
      <sz val="11"/>
      <color theme="1"/>
      <name val="Aptos Narrow"/>
      <family val="2"/>
      <scheme val="minor"/>
    </font>
    <font>
      <sz val="11"/>
      <color rgb="FF002060"/>
      <name val="Aptos Narrow"/>
      <family val="2"/>
      <scheme val="minor"/>
    </font>
    <font>
      <b/>
      <vertAlign val="superscript"/>
      <sz val="11"/>
      <color rgb="FF002060"/>
      <name val="Aptos Narrow"/>
      <family val="2"/>
      <scheme val="minor"/>
    </font>
    <font>
      <b/>
      <sz val="11"/>
      <color rgb="FF002060"/>
      <name val="Aptos Narrow"/>
      <family val="2"/>
      <scheme val="minor"/>
    </font>
    <font>
      <b/>
      <u/>
      <sz val="11"/>
      <color theme="10"/>
      <name val="Aptos Narrow"/>
      <family val="2"/>
      <scheme val="minor"/>
    </font>
    <font>
      <i/>
      <sz val="14"/>
      <color theme="1"/>
      <name val="Aptos Narrow"/>
      <family val="2"/>
      <scheme val="minor"/>
    </font>
    <font>
      <b/>
      <u val="singleAccounting"/>
      <sz val="11"/>
      <color theme="1"/>
      <name val="Aptos Narrow"/>
      <family val="2"/>
      <scheme val="minor"/>
    </font>
    <font>
      <sz val="12"/>
      <name val="SWISS"/>
    </font>
    <font>
      <sz val="11"/>
      <name val="Aptos Narrow"/>
      <family val="2"/>
      <scheme val="minor"/>
    </font>
    <font>
      <b/>
      <sz val="11"/>
      <color theme="0"/>
      <name val="Aptos Narrow"/>
      <family val="2"/>
      <scheme val="minor"/>
    </font>
    <font>
      <sz val="9"/>
      <name val="Arial Unicode MS"/>
    </font>
    <font>
      <b/>
      <sz val="9"/>
      <name val="Arial Unicode MS"/>
    </font>
    <font>
      <sz val="6"/>
      <name val="Arial Unicode MS"/>
    </font>
    <font>
      <b/>
      <sz val="10"/>
      <name val="Cambria"/>
      <family val="1"/>
    </font>
    <font>
      <sz val="11"/>
      <name val="Cambria"/>
      <family val="1"/>
    </font>
    <font>
      <sz val="11"/>
      <color rgb="FF333333"/>
      <name val="Tahoma"/>
      <family val="2"/>
    </font>
    <font>
      <sz val="8"/>
      <color theme="1"/>
      <name val="Arial"/>
      <family val="2"/>
    </font>
  </fonts>
  <fills count="16">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2"/>
        <bgColor indexed="64"/>
      </patternFill>
    </fill>
    <fill>
      <patternFill patternType="solid">
        <fgColor theme="0"/>
        <bgColor indexed="64"/>
      </patternFill>
    </fill>
    <fill>
      <patternFill patternType="solid">
        <fgColor theme="7"/>
      </patternFill>
    </fill>
    <fill>
      <patternFill patternType="solid">
        <fgColor rgb="FFFFFFFF"/>
        <bgColor rgb="FF000000"/>
      </patternFill>
    </fill>
    <fill>
      <patternFill patternType="solid">
        <fgColor theme="0" tint="-0.14999847407452621"/>
        <bgColor rgb="FF000000"/>
      </patternFill>
    </fill>
    <fill>
      <patternFill patternType="solid">
        <fgColor rgb="FFFFFFFF"/>
        <bgColor indexed="64"/>
      </patternFill>
    </fill>
    <fill>
      <patternFill patternType="solid">
        <fgColor rgb="FFDDDDDD"/>
        <bgColor indexed="64"/>
      </patternFill>
    </fill>
    <fill>
      <patternFill patternType="solid">
        <fgColor rgb="FFEEEEEE"/>
        <bgColor indexed="64"/>
      </patternFill>
    </fill>
    <fill>
      <patternFill patternType="solid">
        <fgColor rgb="FFB8C2AD"/>
      </patternFill>
    </fill>
    <fill>
      <patternFill patternType="solid">
        <fgColor theme="0" tint="-4.9989318521683403E-2"/>
        <bgColor indexed="64"/>
      </patternFill>
    </fill>
    <fill>
      <patternFill patternType="solid">
        <fgColor theme="2" tint="-9.9978637043366805E-2"/>
        <bgColor indexed="64"/>
      </patternFill>
    </fill>
  </fills>
  <borders count="45">
    <border>
      <left/>
      <right/>
      <top/>
      <bottom/>
      <diagonal/>
    </border>
    <border>
      <left/>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thin">
        <color indexed="64"/>
      </top>
      <bottom style="thin">
        <color indexed="64"/>
      </bottom>
      <diagonal/>
    </border>
    <border>
      <left/>
      <right style="medium">
        <color indexed="64"/>
      </right>
      <top style="thin">
        <color auto="1"/>
      </top>
      <bottom style="thin">
        <color auto="1"/>
      </bottom>
      <diagonal/>
    </border>
    <border>
      <left/>
      <right style="thin">
        <color auto="1"/>
      </right>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auto="1"/>
      </right>
      <top style="thin">
        <color auto="1"/>
      </top>
      <bottom style="medium">
        <color indexed="64"/>
      </bottom>
      <diagonal/>
    </border>
    <border>
      <left style="thin">
        <color auto="1"/>
      </left>
      <right/>
      <top/>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medium">
        <color indexed="64"/>
      </top>
      <bottom/>
      <diagonal/>
    </border>
    <border>
      <left style="medium">
        <color auto="1"/>
      </left>
      <right/>
      <top/>
      <bottom style="thin">
        <color indexed="64"/>
      </bottom>
      <diagonal/>
    </border>
    <border>
      <left/>
      <right style="medium">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medium">
        <color rgb="FFAAAAAA"/>
      </left>
      <right style="medium">
        <color rgb="FFAAAAAA"/>
      </right>
      <top style="medium">
        <color rgb="FFAAAAAA"/>
      </top>
      <bottom style="medium">
        <color rgb="FFAAAAAA"/>
      </bottom>
      <diagonal/>
    </border>
    <border>
      <left style="thin">
        <color auto="1"/>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1">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2" fillId="7" borderId="0" applyNumberFormat="0" applyBorder="0" applyAlignment="0" applyProtection="0"/>
    <xf numFmtId="0" fontId="64" fillId="0" borderId="0" applyNumberFormat="0" applyFill="0" applyBorder="0" applyAlignment="0" applyProtection="0"/>
    <xf numFmtId="0" fontId="78" fillId="0" borderId="0"/>
    <xf numFmtId="0" fontId="81" fillId="0" borderId="0"/>
    <xf numFmtId="0" fontId="81" fillId="0" borderId="0"/>
    <xf numFmtId="0" fontId="82" fillId="13" borderId="0">
      <alignment horizontal="center"/>
    </xf>
    <xf numFmtId="0" fontId="83" fillId="0" borderId="0">
      <alignment vertical="top" wrapText="1"/>
    </xf>
  </cellStyleXfs>
  <cellXfs count="497">
    <xf numFmtId="0" fontId="0" fillId="0" borderId="0" xfId="0"/>
    <xf numFmtId="164" fontId="1" fillId="0" borderId="0" xfId="0" applyNumberFormat="1" applyFont="1" applyAlignment="1">
      <alignment horizontal="right" vertical="top"/>
    </xf>
    <xf numFmtId="0" fontId="1" fillId="0" borderId="0" xfId="0" applyFont="1" applyAlignment="1">
      <alignment vertical="top" wrapText="1"/>
    </xf>
    <xf numFmtId="37" fontId="1" fillId="0" borderId="0" xfId="0" applyNumberFormat="1" applyFont="1" applyAlignment="1">
      <alignment horizontal="right" vertical="top"/>
    </xf>
    <xf numFmtId="0" fontId="2" fillId="0" borderId="0" xfId="0" applyFont="1" applyAlignment="1">
      <alignment vertical="top" wrapText="1"/>
    </xf>
    <xf numFmtId="0" fontId="1" fillId="0" borderId="0" xfId="0" applyFont="1" applyAlignment="1">
      <alignment horizontal="center" vertical="center" wrapText="1"/>
    </xf>
    <xf numFmtId="164" fontId="3" fillId="0" borderId="0" xfId="0" applyNumberFormat="1" applyFont="1" applyAlignment="1">
      <alignment horizontal="right" vertical="top"/>
    </xf>
    <xf numFmtId="37" fontId="3" fillId="0" borderId="0" xfId="0" applyNumberFormat="1" applyFont="1" applyAlignment="1">
      <alignment horizontal="right" vertical="top"/>
    </xf>
    <xf numFmtId="0" fontId="3" fillId="0" borderId="0" xfId="0" applyFont="1" applyAlignment="1">
      <alignment vertical="top" wrapText="1"/>
    </xf>
    <xf numFmtId="0" fontId="4" fillId="0" borderId="0" xfId="0" applyFont="1" applyAlignment="1">
      <alignment vertical="top" wrapText="1"/>
    </xf>
    <xf numFmtId="0" fontId="6" fillId="0" borderId="0" xfId="0" applyFont="1"/>
    <xf numFmtId="0" fontId="9" fillId="0" borderId="0" xfId="0" applyFont="1"/>
    <xf numFmtId="164" fontId="8" fillId="0" borderId="0" xfId="0" applyNumberFormat="1" applyFont="1" applyAlignment="1">
      <alignment horizontal="right" vertical="top"/>
    </xf>
    <xf numFmtId="0" fontId="7" fillId="0" borderId="0" xfId="0" applyFont="1" applyAlignment="1">
      <alignment vertical="top" wrapText="1"/>
    </xf>
    <xf numFmtId="0" fontId="8" fillId="0" borderId="0" xfId="0" applyFont="1" applyAlignment="1">
      <alignment vertical="top" wrapText="1"/>
    </xf>
    <xf numFmtId="37" fontId="8" fillId="0" borderId="0" xfId="0" applyNumberFormat="1" applyFont="1" applyAlignment="1">
      <alignment horizontal="right" vertical="top"/>
    </xf>
    <xf numFmtId="0" fontId="10" fillId="0" borderId="0" xfId="0" applyFont="1"/>
    <xf numFmtId="164" fontId="7" fillId="0" borderId="0" xfId="0" applyNumberFormat="1" applyFont="1" applyAlignment="1">
      <alignment horizontal="right" vertical="top"/>
    </xf>
    <xf numFmtId="165" fontId="8" fillId="0" borderId="0" xfId="0" applyNumberFormat="1" applyFont="1" applyAlignment="1">
      <alignment horizontal="right" vertical="top"/>
    </xf>
    <xf numFmtId="37" fontId="10" fillId="0" borderId="0" xfId="0" applyNumberFormat="1" applyFont="1"/>
    <xf numFmtId="168" fontId="7" fillId="0" borderId="2" xfId="0" applyNumberFormat="1" applyFont="1" applyBorder="1" applyAlignment="1">
      <alignment horizontal="right" vertical="top"/>
    </xf>
    <xf numFmtId="168" fontId="10" fillId="0" borderId="2" xfId="0" applyNumberFormat="1" applyFont="1" applyBorder="1"/>
    <xf numFmtId="168" fontId="7" fillId="3" borderId="2" xfId="0" applyNumberFormat="1" applyFont="1" applyFill="1" applyBorder="1" applyAlignment="1">
      <alignment horizontal="right" vertical="top"/>
    </xf>
    <xf numFmtId="168" fontId="10" fillId="3" borderId="2" xfId="0" applyNumberFormat="1" applyFont="1" applyFill="1" applyBorder="1"/>
    <xf numFmtId="0" fontId="12" fillId="2" borderId="4" xfId="0" applyFont="1" applyFill="1" applyBorder="1"/>
    <xf numFmtId="164" fontId="12" fillId="2" borderId="4" xfId="0" applyNumberFormat="1" applyFont="1" applyFill="1" applyBorder="1" applyAlignment="1">
      <alignment horizontal="right" vertical="top"/>
    </xf>
    <xf numFmtId="0" fontId="12" fillId="2" borderId="0" xfId="0" applyFont="1" applyFill="1" applyAlignment="1">
      <alignment horizontal="center" vertical="center" wrapText="1"/>
    </xf>
    <xf numFmtId="0" fontId="7" fillId="3" borderId="6" xfId="0" applyFont="1" applyFill="1" applyBorder="1" applyAlignment="1">
      <alignment vertical="top" wrapText="1"/>
    </xf>
    <xf numFmtId="0" fontId="8" fillId="3" borderId="0" xfId="0" applyFont="1" applyFill="1" applyAlignment="1">
      <alignment vertical="top" wrapText="1"/>
    </xf>
    <xf numFmtId="0" fontId="9" fillId="3" borderId="0" xfId="0" applyFont="1" applyFill="1"/>
    <xf numFmtId="164" fontId="8" fillId="3" borderId="0" xfId="0" applyNumberFormat="1" applyFont="1" applyFill="1" applyAlignment="1">
      <alignment horizontal="right" vertical="top"/>
    </xf>
    <xf numFmtId="0" fontId="8" fillId="0" borderId="6" xfId="0" applyFont="1" applyBorder="1" applyAlignment="1">
      <alignment vertical="top" wrapText="1"/>
    </xf>
    <xf numFmtId="1" fontId="8" fillId="0" borderId="0" xfId="0" applyNumberFormat="1" applyFont="1" applyAlignment="1">
      <alignment horizontal="right" vertical="top"/>
    </xf>
    <xf numFmtId="1" fontId="9" fillId="0" borderId="7" xfId="0" applyNumberFormat="1" applyFont="1" applyBorder="1"/>
    <xf numFmtId="1" fontId="8" fillId="0" borderId="0" xfId="1" applyNumberFormat="1" applyFont="1" applyBorder="1" applyAlignment="1">
      <alignment horizontal="right" vertical="top"/>
    </xf>
    <xf numFmtId="0" fontId="7" fillId="0" borderId="8" xfId="0" applyFont="1" applyBorder="1" applyAlignment="1">
      <alignment vertical="top" wrapText="1"/>
    </xf>
    <xf numFmtId="0" fontId="11" fillId="0" borderId="6" xfId="0" applyFont="1" applyBorder="1" applyAlignment="1">
      <alignment vertical="top" wrapText="1"/>
    </xf>
    <xf numFmtId="167" fontId="8" fillId="0" borderId="0" xfId="1" applyNumberFormat="1" applyFont="1" applyBorder="1" applyAlignment="1">
      <alignment horizontal="right" vertical="top"/>
    </xf>
    <xf numFmtId="0" fontId="7" fillId="3" borderId="8" xfId="0" applyFont="1" applyFill="1" applyBorder="1" applyAlignment="1">
      <alignment vertical="top" wrapText="1"/>
    </xf>
    <xf numFmtId="0" fontId="7" fillId="0" borderId="6" xfId="0" applyFont="1" applyBorder="1" applyAlignment="1">
      <alignment vertical="top" wrapText="1"/>
    </xf>
    <xf numFmtId="37" fontId="7" fillId="0" borderId="0" xfId="0" applyNumberFormat="1" applyFont="1" applyAlignment="1">
      <alignment horizontal="right" vertical="top"/>
    </xf>
    <xf numFmtId="10" fontId="7" fillId="0" borderId="0" xfId="1" applyNumberFormat="1" applyFont="1" applyBorder="1" applyAlignment="1">
      <alignment horizontal="right" vertical="top"/>
    </xf>
    <xf numFmtId="0" fontId="11" fillId="0" borderId="10" xfId="0" applyFont="1" applyBorder="1" applyAlignment="1">
      <alignment vertical="top" wrapText="1"/>
    </xf>
    <xf numFmtId="10" fontId="11" fillId="0" borderId="1" xfId="1" applyNumberFormat="1" applyFont="1" applyBorder="1" applyAlignment="1">
      <alignment horizontal="right" vertical="top"/>
    </xf>
    <xf numFmtId="1" fontId="9" fillId="0" borderId="0" xfId="0" applyNumberFormat="1" applyFont="1"/>
    <xf numFmtId="10" fontId="10" fillId="0" borderId="0" xfId="1" applyNumberFormat="1" applyFont="1" applyBorder="1"/>
    <xf numFmtId="0" fontId="13" fillId="2" borderId="3" xfId="0" applyFont="1" applyFill="1" applyBorder="1" applyAlignment="1">
      <alignment vertical="center" wrapText="1"/>
    </xf>
    <xf numFmtId="0" fontId="13" fillId="2" borderId="6" xfId="0" applyFont="1" applyFill="1" applyBorder="1" applyAlignment="1">
      <alignment vertical="top" wrapText="1"/>
    </xf>
    <xf numFmtId="0" fontId="13" fillId="2" borderId="7" xfId="0" applyFont="1" applyFill="1" applyBorder="1"/>
    <xf numFmtId="0" fontId="14" fillId="2" borderId="6" xfId="0" applyFont="1" applyFill="1" applyBorder="1" applyAlignment="1">
      <alignment vertical="top" wrapText="1"/>
    </xf>
    <xf numFmtId="44" fontId="13" fillId="2" borderId="7" xfId="0" applyNumberFormat="1" applyFont="1" applyFill="1" applyBorder="1"/>
    <xf numFmtId="0" fontId="9" fillId="4" borderId="7" xfId="0" applyFont="1" applyFill="1" applyBorder="1"/>
    <xf numFmtId="0" fontId="9" fillId="0" borderId="6" xfId="0" applyFont="1" applyBorder="1"/>
    <xf numFmtId="0" fontId="10" fillId="4" borderId="6" xfId="0" applyFont="1" applyFill="1" applyBorder="1"/>
    <xf numFmtId="9" fontId="9" fillId="0" borderId="0" xfId="1" applyFont="1" applyBorder="1" applyAlignment="1">
      <alignment horizontal="center"/>
    </xf>
    <xf numFmtId="10" fontId="9" fillId="0" borderId="0" xfId="1" applyNumberFormat="1" applyFont="1" applyBorder="1"/>
    <xf numFmtId="10" fontId="9" fillId="0" borderId="7" xfId="0" applyNumberFormat="1" applyFont="1" applyBorder="1"/>
    <xf numFmtId="0" fontId="9" fillId="0" borderId="10" xfId="0" applyFont="1" applyBorder="1"/>
    <xf numFmtId="0" fontId="9" fillId="3" borderId="6" xfId="0" applyFont="1" applyFill="1" applyBorder="1"/>
    <xf numFmtId="0" fontId="0" fillId="3" borderId="7" xfId="0" applyFill="1" applyBorder="1"/>
    <xf numFmtId="0" fontId="0" fillId="0" borderId="7" xfId="0" applyBorder="1"/>
    <xf numFmtId="0" fontId="0" fillId="0" borderId="1" xfId="0" applyBorder="1"/>
    <xf numFmtId="0" fontId="0" fillId="0" borderId="11" xfId="0" applyBorder="1"/>
    <xf numFmtId="10" fontId="8" fillId="0" borderId="0" xfId="1" applyNumberFormat="1" applyFont="1" applyBorder="1" applyAlignment="1">
      <alignment horizontal="right" vertical="top"/>
    </xf>
    <xf numFmtId="14" fontId="0" fillId="0" borderId="0" xfId="0" applyNumberFormat="1"/>
    <xf numFmtId="14" fontId="9" fillId="0" borderId="0" xfId="0" applyNumberFormat="1" applyFont="1"/>
    <xf numFmtId="0" fontId="2" fillId="0" borderId="0" xfId="0" applyFont="1" applyAlignment="1">
      <alignment horizontal="center" vertical="center" wrapText="1"/>
    </xf>
    <xf numFmtId="10" fontId="9" fillId="0" borderId="0" xfId="0" applyNumberFormat="1" applyFont="1"/>
    <xf numFmtId="10" fontId="9" fillId="0" borderId="1" xfId="1" applyNumberFormat="1" applyFont="1" applyBorder="1"/>
    <xf numFmtId="1" fontId="8" fillId="0" borderId="7" xfId="0" applyNumberFormat="1" applyFont="1" applyBorder="1" applyAlignment="1">
      <alignment horizontal="right" vertical="top"/>
    </xf>
    <xf numFmtId="168" fontId="10" fillId="0" borderId="9" xfId="0" applyNumberFormat="1" applyFont="1" applyBorder="1"/>
    <xf numFmtId="10" fontId="8" fillId="0" borderId="7" xfId="1" applyNumberFormat="1" applyFont="1" applyBorder="1" applyAlignment="1">
      <alignment horizontal="right" vertical="top"/>
    </xf>
    <xf numFmtId="1" fontId="15" fillId="0" borderId="0" xfId="0" applyNumberFormat="1" applyFont="1" applyAlignment="1">
      <alignment horizontal="right" vertical="top"/>
    </xf>
    <xf numFmtId="168" fontId="19" fillId="0" borderId="2" xfId="0" applyNumberFormat="1" applyFont="1" applyBorder="1"/>
    <xf numFmtId="0" fontId="20" fillId="2" borderId="3" xfId="0" applyFont="1" applyFill="1" applyBorder="1"/>
    <xf numFmtId="0" fontId="20" fillId="2" borderId="5" xfId="0" applyFont="1" applyFill="1" applyBorder="1"/>
    <xf numFmtId="0" fontId="21" fillId="2" borderId="6" xfId="0" applyFont="1" applyFill="1" applyBorder="1"/>
    <xf numFmtId="0" fontId="21" fillId="2" borderId="7" xfId="0" applyFont="1" applyFill="1" applyBorder="1"/>
    <xf numFmtId="0" fontId="22" fillId="0" borderId="6" xfId="0" applyFont="1" applyBorder="1"/>
    <xf numFmtId="0" fontId="22" fillId="0" borderId="7" xfId="0" applyFont="1" applyBorder="1"/>
    <xf numFmtId="0" fontId="23" fillId="2" borderId="6" xfId="0" applyFont="1" applyFill="1" applyBorder="1"/>
    <xf numFmtId="0" fontId="23" fillId="2" borderId="7" xfId="0" applyFont="1" applyFill="1" applyBorder="1"/>
    <xf numFmtId="0" fontId="24" fillId="0" borderId="6" xfId="0" applyFont="1" applyBorder="1"/>
    <xf numFmtId="10" fontId="24" fillId="0" borderId="7" xfId="0" applyNumberFormat="1" applyFont="1" applyBorder="1"/>
    <xf numFmtId="0" fontId="24" fillId="0" borderId="7" xfId="0" applyFont="1" applyBorder="1"/>
    <xf numFmtId="0" fontId="25" fillId="5" borderId="12" xfId="0" applyFont="1" applyFill="1" applyBorder="1"/>
    <xf numFmtId="10" fontId="25" fillId="5" borderId="13" xfId="0" applyNumberFormat="1" applyFont="1" applyFill="1" applyBorder="1"/>
    <xf numFmtId="9" fontId="24" fillId="0" borderId="7" xfId="0" applyNumberFormat="1" applyFont="1" applyBorder="1"/>
    <xf numFmtId="44" fontId="24" fillId="0" borderId="7" xfId="0" applyNumberFormat="1" applyFont="1" applyBorder="1"/>
    <xf numFmtId="1" fontId="24" fillId="0" borderId="7" xfId="0" applyNumberFormat="1" applyFont="1" applyBorder="1"/>
    <xf numFmtId="168" fontId="24" fillId="0" borderId="7" xfId="0" applyNumberFormat="1" applyFont="1" applyBorder="1"/>
    <xf numFmtId="0" fontId="25" fillId="5" borderId="8" xfId="0" applyFont="1" applyFill="1" applyBorder="1"/>
    <xf numFmtId="10" fontId="25" fillId="5" borderId="9" xfId="0" applyNumberFormat="1" applyFont="1" applyFill="1" applyBorder="1"/>
    <xf numFmtId="0" fontId="12" fillId="0" borderId="4" xfId="0" applyFont="1" applyBorder="1"/>
    <xf numFmtId="164" fontId="12" fillId="0" borderId="4" xfId="0" applyNumberFormat="1" applyFont="1" applyBorder="1" applyAlignment="1">
      <alignment horizontal="right" vertical="top"/>
    </xf>
    <xf numFmtId="0" fontId="12" fillId="0" borderId="0" xfId="0" applyFont="1" applyAlignment="1">
      <alignment horizontal="center" vertical="center" wrapText="1"/>
    </xf>
    <xf numFmtId="164" fontId="12" fillId="0" borderId="0" xfId="0" applyNumberFormat="1" applyFont="1" applyAlignment="1">
      <alignment horizontal="right" vertical="top"/>
    </xf>
    <xf numFmtId="0" fontId="7" fillId="0" borderId="0" xfId="0" applyFont="1" applyAlignment="1">
      <alignment horizontal="center" vertical="center" wrapText="1"/>
    </xf>
    <xf numFmtId="0" fontId="8" fillId="0" borderId="0" xfId="0" applyFont="1" applyAlignment="1">
      <alignment horizontal="center" vertical="center" wrapText="1"/>
    </xf>
    <xf numFmtId="0" fontId="7" fillId="3" borderId="0" xfId="0" applyFont="1" applyFill="1" applyAlignment="1">
      <alignment vertical="top" wrapText="1"/>
    </xf>
    <xf numFmtId="0" fontId="7" fillId="0" borderId="2" xfId="0" applyFont="1" applyBorder="1" applyAlignment="1">
      <alignment vertical="top" wrapText="1"/>
    </xf>
    <xf numFmtId="37" fontId="7" fillId="0" borderId="2" xfId="0" applyNumberFormat="1" applyFont="1" applyBorder="1" applyAlignment="1">
      <alignment horizontal="right" vertical="top"/>
    </xf>
    <xf numFmtId="164" fontId="15" fillId="0" borderId="0" xfId="0" applyNumberFormat="1" applyFont="1" applyAlignment="1">
      <alignment horizontal="right" vertical="top"/>
    </xf>
    <xf numFmtId="37" fontId="15" fillId="0" borderId="0" xfId="0" applyNumberFormat="1" applyFont="1" applyAlignment="1">
      <alignment horizontal="right" vertical="top"/>
    </xf>
    <xf numFmtId="0" fontId="26" fillId="6" borderId="0" xfId="0" applyFont="1" applyFill="1"/>
    <xf numFmtId="0" fontId="13"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22" fillId="2" borderId="4" xfId="0" applyFont="1" applyFill="1" applyBorder="1"/>
    <xf numFmtId="0" fontId="22" fillId="2" borderId="5" xfId="0" applyFont="1" applyFill="1" applyBorder="1"/>
    <xf numFmtId="0" fontId="22" fillId="2" borderId="0" xfId="0" applyFont="1" applyFill="1"/>
    <xf numFmtId="0" fontId="22" fillId="2" borderId="7" xfId="0" applyFont="1" applyFill="1" applyBorder="1"/>
    <xf numFmtId="0" fontId="23" fillId="6" borderId="14" xfId="0" applyFont="1" applyFill="1" applyBorder="1"/>
    <xf numFmtId="0" fontId="33" fillId="6" borderId="6" xfId="0" applyFont="1" applyFill="1" applyBorder="1"/>
    <xf numFmtId="0" fontId="22" fillId="6" borderId="0" xfId="0" applyFont="1" applyFill="1"/>
    <xf numFmtId="0" fontId="22" fillId="6" borderId="7" xfId="0" applyFont="1" applyFill="1" applyBorder="1"/>
    <xf numFmtId="44" fontId="35" fillId="0" borderId="0" xfId="0" applyNumberFormat="1" applyFont="1"/>
    <xf numFmtId="44" fontId="36" fillId="0" borderId="0" xfId="0" applyNumberFormat="1" applyFont="1"/>
    <xf numFmtId="0" fontId="32" fillId="2" borderId="14" xfId="0" applyFont="1" applyFill="1" applyBorder="1"/>
    <xf numFmtId="0" fontId="23" fillId="2" borderId="0" xfId="0" applyFont="1" applyFill="1"/>
    <xf numFmtId="0" fontId="32" fillId="2" borderId="7" xfId="0" applyFont="1" applyFill="1" applyBorder="1"/>
    <xf numFmtId="0" fontId="24" fillId="0" borderId="0" xfId="0" applyFont="1"/>
    <xf numFmtId="169" fontId="34" fillId="0" borderId="14" xfId="0" applyNumberFormat="1" applyFont="1" applyBorder="1"/>
    <xf numFmtId="169" fontId="34" fillId="0" borderId="7" xfId="2" applyNumberFormat="1" applyFont="1" applyBorder="1"/>
    <xf numFmtId="10" fontId="34" fillId="0" borderId="14" xfId="0" applyNumberFormat="1" applyFont="1" applyBorder="1"/>
    <xf numFmtId="10" fontId="37" fillId="0" borderId="14" xfId="1" applyNumberFormat="1" applyFont="1" applyBorder="1"/>
    <xf numFmtId="170" fontId="38" fillId="4" borderId="15" xfId="0" applyNumberFormat="1" applyFont="1" applyFill="1" applyBorder="1" applyAlignment="1">
      <alignment horizontal="right"/>
    </xf>
    <xf numFmtId="3" fontId="24" fillId="0" borderId="14" xfId="0" applyNumberFormat="1" applyFont="1" applyBorder="1"/>
    <xf numFmtId="169" fontId="24" fillId="0" borderId="7" xfId="2" applyNumberFormat="1" applyFont="1" applyBorder="1"/>
    <xf numFmtId="0" fontId="24" fillId="0" borderId="10" xfId="0" applyFont="1" applyBorder="1"/>
    <xf numFmtId="3" fontId="24" fillId="0" borderId="16" xfId="0" applyNumberFormat="1" applyFont="1" applyBorder="1"/>
    <xf numFmtId="0" fontId="24" fillId="0" borderId="1" xfId="0" applyFont="1" applyBorder="1"/>
    <xf numFmtId="169" fontId="24" fillId="0" borderId="11" xfId="2" applyNumberFormat="1" applyFont="1" applyBorder="1"/>
    <xf numFmtId="0" fontId="24" fillId="0" borderId="14" xfId="0" applyFont="1" applyBorder="1"/>
    <xf numFmtId="3" fontId="34" fillId="0" borderId="0" xfId="0" applyNumberFormat="1" applyFont="1"/>
    <xf numFmtId="169" fontId="34" fillId="0" borderId="0" xfId="2" applyNumberFormat="1" applyFont="1" applyBorder="1"/>
    <xf numFmtId="44" fontId="30" fillId="0" borderId="0" xfId="0" applyNumberFormat="1" applyFont="1"/>
    <xf numFmtId="44" fontId="31" fillId="0" borderId="0" xfId="0" applyNumberFormat="1" applyFont="1"/>
    <xf numFmtId="0" fontId="39" fillId="0" borderId="14" xfId="0" applyFont="1" applyBorder="1"/>
    <xf numFmtId="3" fontId="24" fillId="0" borderId="0" xfId="0" applyNumberFormat="1" applyFont="1"/>
    <xf numFmtId="169" fontId="24" fillId="0" borderId="0" xfId="2" applyNumberFormat="1" applyFont="1" applyBorder="1"/>
    <xf numFmtId="3" fontId="37" fillId="0" borderId="0" xfId="0" applyNumberFormat="1" applyFont="1"/>
    <xf numFmtId="169" fontId="37" fillId="0" borderId="0" xfId="2" applyNumberFormat="1" applyFont="1" applyBorder="1"/>
    <xf numFmtId="0" fontId="25" fillId="0" borderId="0" xfId="0" applyFont="1"/>
    <xf numFmtId="2" fontId="25" fillId="0" borderId="0" xfId="0" applyNumberFormat="1" applyFont="1"/>
    <xf numFmtId="10" fontId="0" fillId="0" borderId="0" xfId="0" applyNumberFormat="1"/>
    <xf numFmtId="9" fontId="24" fillId="0" borderId="0" xfId="1" applyFont="1" applyBorder="1"/>
    <xf numFmtId="168" fontId="24" fillId="0" borderId="0" xfId="0" applyNumberFormat="1" applyFont="1"/>
    <xf numFmtId="171" fontId="1" fillId="0" borderId="0" xfId="0" applyNumberFormat="1" applyFont="1" applyAlignment="1">
      <alignment horizontal="right" vertical="top"/>
    </xf>
    <xf numFmtId="172" fontId="1" fillId="0" borderId="0" xfId="0" applyNumberFormat="1" applyFont="1" applyAlignment="1">
      <alignment horizontal="right" vertical="top"/>
    </xf>
    <xf numFmtId="168" fontId="16" fillId="0" borderId="2" xfId="0" applyNumberFormat="1" applyFont="1" applyBorder="1" applyAlignment="1">
      <alignment horizontal="right" vertical="top"/>
    </xf>
    <xf numFmtId="37" fontId="40" fillId="0" borderId="0" xfId="0" applyNumberFormat="1" applyFont="1" applyAlignment="1">
      <alignment horizontal="right" vertical="top"/>
    </xf>
    <xf numFmtId="0" fontId="7" fillId="0" borderId="0" xfId="0" applyFont="1" applyAlignment="1">
      <alignment vertical="center" wrapText="1"/>
    </xf>
    <xf numFmtId="0" fontId="41" fillId="2" borderId="4" xfId="0" applyFont="1" applyFill="1" applyBorder="1"/>
    <xf numFmtId="0" fontId="41" fillId="2" borderId="5" xfId="0" applyFont="1" applyFill="1" applyBorder="1"/>
    <xf numFmtId="0" fontId="42" fillId="3" borderId="6" xfId="0" applyFont="1" applyFill="1" applyBorder="1" applyAlignment="1">
      <alignment vertical="center" wrapText="1"/>
    </xf>
    <xf numFmtId="0" fontId="43" fillId="3" borderId="7" xfId="0" applyFont="1" applyFill="1" applyBorder="1" applyAlignment="1">
      <alignment vertical="top"/>
    </xf>
    <xf numFmtId="0" fontId="44" fillId="0" borderId="6" xfId="0" applyFont="1" applyBorder="1" applyAlignment="1">
      <alignment vertical="top" wrapText="1"/>
    </xf>
    <xf numFmtId="169" fontId="31" fillId="0" borderId="0" xfId="2" applyNumberFormat="1" applyFont="1" applyBorder="1"/>
    <xf numFmtId="169" fontId="31" fillId="0" borderId="7" xfId="2" applyNumberFormat="1" applyFont="1" applyBorder="1"/>
    <xf numFmtId="0" fontId="46" fillId="0" borderId="6" xfId="0" applyFont="1" applyBorder="1" applyAlignment="1">
      <alignment horizontal="left" vertical="top" wrapText="1" indent="3"/>
    </xf>
    <xf numFmtId="0" fontId="48" fillId="3" borderId="12" xfId="0" applyFont="1" applyFill="1" applyBorder="1"/>
    <xf numFmtId="0" fontId="49" fillId="0" borderId="6" xfId="0" applyFont="1" applyBorder="1" applyAlignment="1">
      <alignment horizontal="left"/>
    </xf>
    <xf numFmtId="3" fontId="31" fillId="0" borderId="7" xfId="0" applyNumberFormat="1" applyFont="1" applyBorder="1"/>
    <xf numFmtId="9" fontId="47" fillId="0" borderId="0" xfId="1" applyFont="1" applyBorder="1"/>
    <xf numFmtId="9" fontId="47" fillId="0" borderId="7" xfId="1" applyFont="1" applyBorder="1"/>
    <xf numFmtId="0" fontId="49" fillId="0" borderId="6" xfId="0" applyFont="1" applyBorder="1"/>
    <xf numFmtId="0" fontId="31" fillId="0" borderId="7" xfId="0" applyFont="1" applyBorder="1"/>
    <xf numFmtId="0" fontId="49" fillId="3" borderId="19" xfId="0" applyFont="1" applyFill="1" applyBorder="1"/>
    <xf numFmtId="3" fontId="31" fillId="3" borderId="20" xfId="0" applyNumberFormat="1" applyFont="1" applyFill="1" applyBorder="1"/>
    <xf numFmtId="3" fontId="31" fillId="3" borderId="21" xfId="0" applyNumberFormat="1" applyFont="1" applyFill="1" applyBorder="1"/>
    <xf numFmtId="0" fontId="49" fillId="0" borderId="10" xfId="0" applyFont="1" applyBorder="1"/>
    <xf numFmtId="3" fontId="31" fillId="0" borderId="1" xfId="0" applyNumberFormat="1" applyFont="1" applyBorder="1"/>
    <xf numFmtId="3" fontId="31" fillId="0" borderId="11" xfId="0" applyNumberFormat="1" applyFont="1" applyBorder="1"/>
    <xf numFmtId="2" fontId="47" fillId="0" borderId="0" xfId="1" applyNumberFormat="1" applyFont="1" applyBorder="1"/>
    <xf numFmtId="2" fontId="47" fillId="0" borderId="7" xfId="1" applyNumberFormat="1" applyFont="1" applyBorder="1"/>
    <xf numFmtId="3" fontId="43" fillId="3" borderId="18" xfId="0" applyNumberFormat="1" applyFont="1" applyFill="1" applyBorder="1"/>
    <xf numFmtId="3" fontId="43" fillId="3" borderId="13" xfId="0" applyNumberFormat="1" applyFont="1" applyFill="1" applyBorder="1"/>
    <xf numFmtId="0" fontId="43" fillId="3" borderId="0" xfId="0" applyFont="1" applyFill="1" applyAlignment="1">
      <alignment vertical="top"/>
    </xf>
    <xf numFmtId="3" fontId="31" fillId="0" borderId="0" xfId="0" applyNumberFormat="1" applyFont="1"/>
    <xf numFmtId="0" fontId="41" fillId="0" borderId="0" xfId="0" applyFont="1"/>
    <xf numFmtId="0" fontId="43" fillId="0" borderId="0" xfId="0" applyFont="1" applyAlignment="1">
      <alignment vertical="top"/>
    </xf>
    <xf numFmtId="169" fontId="31" fillId="0" borderId="0" xfId="2" applyNumberFormat="1" applyFont="1" applyFill="1" applyBorder="1"/>
    <xf numFmtId="3" fontId="36" fillId="0" borderId="0" xfId="0" applyNumberFormat="1" applyFont="1"/>
    <xf numFmtId="2" fontId="47" fillId="0" borderId="0" xfId="1" applyNumberFormat="1" applyFont="1" applyFill="1" applyBorder="1"/>
    <xf numFmtId="3" fontId="43" fillId="0" borderId="0" xfId="0" applyNumberFormat="1" applyFont="1"/>
    <xf numFmtId="9" fontId="47" fillId="0" borderId="0" xfId="1" applyFont="1" applyFill="1" applyBorder="1"/>
    <xf numFmtId="0" fontId="43" fillId="3" borderId="0" xfId="0" applyFont="1" applyFill="1" applyAlignment="1">
      <alignment horizontal="center" vertical="top" wrapText="1"/>
    </xf>
    <xf numFmtId="3" fontId="45" fillId="0" borderId="0" xfId="0" applyNumberFormat="1" applyFont="1"/>
    <xf numFmtId="3" fontId="36" fillId="0" borderId="7" xfId="0" applyNumberFormat="1" applyFont="1" applyBorder="1"/>
    <xf numFmtId="0" fontId="36" fillId="0" borderId="0" xfId="0" applyFont="1" applyAlignment="1">
      <alignment horizontal="left"/>
    </xf>
    <xf numFmtId="0" fontId="50" fillId="2" borderId="0" xfId="0" applyFont="1" applyFill="1"/>
    <xf numFmtId="0" fontId="7" fillId="3" borderId="2" xfId="0" applyFont="1" applyFill="1" applyBorder="1" applyAlignment="1">
      <alignment vertical="top" wrapText="1"/>
    </xf>
    <xf numFmtId="37" fontId="7" fillId="3" borderId="2" xfId="0" applyNumberFormat="1" applyFont="1" applyFill="1" applyBorder="1" applyAlignment="1">
      <alignment horizontal="right" vertical="top"/>
    </xf>
    <xf numFmtId="37" fontId="0" fillId="0" borderId="0" xfId="0" applyNumberFormat="1"/>
    <xf numFmtId="168" fontId="6" fillId="0" borderId="0" xfId="0" applyNumberFormat="1" applyFont="1"/>
    <xf numFmtId="168" fontId="0" fillId="0" borderId="0" xfId="0" applyNumberFormat="1"/>
    <xf numFmtId="168" fontId="34" fillId="0" borderId="14" xfId="0" applyNumberFormat="1" applyFont="1" applyBorder="1"/>
    <xf numFmtId="168" fontId="25" fillId="5" borderId="18" xfId="0" applyNumberFormat="1" applyFont="1" applyFill="1" applyBorder="1"/>
    <xf numFmtId="10" fontId="0" fillId="0" borderId="0" xfId="1" applyNumberFormat="1" applyFont="1"/>
    <xf numFmtId="9" fontId="7" fillId="0" borderId="0" xfId="1" applyFont="1" applyAlignment="1">
      <alignment horizontal="right" vertical="top"/>
    </xf>
    <xf numFmtId="0" fontId="26" fillId="2" borderId="4" xfId="0" applyFont="1" applyFill="1" applyBorder="1"/>
    <xf numFmtId="0" fontId="26" fillId="2" borderId="5" xfId="0" applyFont="1" applyFill="1" applyBorder="1"/>
    <xf numFmtId="0" fontId="26" fillId="2" borderId="6" xfId="0" applyFont="1" applyFill="1" applyBorder="1"/>
    <xf numFmtId="0" fontId="26" fillId="2" borderId="7" xfId="0" applyFont="1" applyFill="1" applyBorder="1"/>
    <xf numFmtId="0" fontId="30" fillId="0" borderId="6" xfId="0" applyFont="1" applyBorder="1"/>
    <xf numFmtId="0" fontId="30" fillId="0" borderId="7" xfId="0" applyFont="1" applyBorder="1"/>
    <xf numFmtId="0" fontId="32" fillId="2" borderId="6" xfId="0" applyFont="1" applyFill="1" applyBorder="1"/>
    <xf numFmtId="0" fontId="23" fillId="2" borderId="7" xfId="0" applyFont="1" applyFill="1" applyBorder="1" applyAlignment="1">
      <alignment horizontal="right"/>
    </xf>
    <xf numFmtId="0" fontId="32" fillId="6" borderId="6" xfId="0" applyFont="1" applyFill="1" applyBorder="1"/>
    <xf numFmtId="0" fontId="23" fillId="6" borderId="7" xfId="0" applyFont="1" applyFill="1" applyBorder="1"/>
    <xf numFmtId="168" fontId="34" fillId="0" borderId="7" xfId="0" applyNumberFormat="1" applyFont="1" applyBorder="1"/>
    <xf numFmtId="168" fontId="25" fillId="5" borderId="13" xfId="0" applyNumberFormat="1" applyFont="1" applyFill="1" applyBorder="1"/>
    <xf numFmtId="0" fontId="39" fillId="0" borderId="6" xfId="0" applyFont="1" applyBorder="1"/>
    <xf numFmtId="0" fontId="39" fillId="0" borderId="7" xfId="0" applyFont="1" applyBorder="1"/>
    <xf numFmtId="168" fontId="25" fillId="5" borderId="2" xfId="0" applyNumberFormat="1" applyFont="1" applyFill="1" applyBorder="1"/>
    <xf numFmtId="168" fontId="25" fillId="5" borderId="9" xfId="0" applyNumberFormat="1" applyFont="1" applyFill="1" applyBorder="1"/>
    <xf numFmtId="0" fontId="49" fillId="8" borderId="24" xfId="0" applyFont="1" applyFill="1" applyBorder="1"/>
    <xf numFmtId="10" fontId="53" fillId="8" borderId="17" xfId="0" applyNumberFormat="1" applyFont="1" applyFill="1" applyBorder="1"/>
    <xf numFmtId="0" fontId="49" fillId="8" borderId="25" xfId="0" applyFont="1" applyFill="1" applyBorder="1"/>
    <xf numFmtId="43" fontId="53" fillId="8" borderId="17" xfId="0" applyNumberFormat="1" applyFont="1" applyFill="1" applyBorder="1"/>
    <xf numFmtId="43" fontId="54" fillId="0" borderId="0" xfId="0" applyNumberFormat="1" applyFont="1"/>
    <xf numFmtId="2" fontId="9" fillId="0" borderId="26" xfId="0" applyNumberFormat="1" applyFont="1" applyBorder="1"/>
    <xf numFmtId="2" fontId="9" fillId="0" borderId="20" xfId="0" applyNumberFormat="1" applyFont="1" applyBorder="1"/>
    <xf numFmtId="2" fontId="9" fillId="0" borderId="27" xfId="0" applyNumberFormat="1" applyFont="1" applyBorder="1"/>
    <xf numFmtId="2" fontId="9" fillId="0" borderId="23" xfId="0" applyNumberFormat="1" applyFont="1" applyBorder="1"/>
    <xf numFmtId="2" fontId="9" fillId="0" borderId="14" xfId="0" applyNumberFormat="1" applyFont="1" applyBorder="1"/>
    <xf numFmtId="0" fontId="49" fillId="8" borderId="23" xfId="0" applyFont="1" applyFill="1" applyBorder="1"/>
    <xf numFmtId="3" fontId="49" fillId="8" borderId="14" xfId="0" applyNumberFormat="1" applyFont="1" applyFill="1" applyBorder="1"/>
    <xf numFmtId="2" fontId="9" fillId="0" borderId="28" xfId="0" applyNumberFormat="1" applyFont="1" applyBorder="1"/>
    <xf numFmtId="3" fontId="55" fillId="8" borderId="14" xfId="0" applyNumberFormat="1" applyFont="1" applyFill="1" applyBorder="1"/>
    <xf numFmtId="2" fontId="9" fillId="0" borderId="25" xfId="0" applyNumberFormat="1" applyFont="1" applyBorder="1"/>
    <xf numFmtId="2" fontId="9" fillId="0" borderId="29" xfId="0" applyNumberFormat="1" applyFont="1" applyBorder="1"/>
    <xf numFmtId="2" fontId="9" fillId="0" borderId="30" xfId="0" applyNumberFormat="1" applyFont="1" applyBorder="1"/>
    <xf numFmtId="37" fontId="49" fillId="8" borderId="14" xfId="0" applyNumberFormat="1" applyFont="1" applyFill="1" applyBorder="1"/>
    <xf numFmtId="0" fontId="49" fillId="8" borderId="26" xfId="0" applyFont="1" applyFill="1" applyBorder="1"/>
    <xf numFmtId="3" fontId="49" fillId="8" borderId="27" xfId="0" applyNumberFormat="1" applyFont="1" applyFill="1" applyBorder="1"/>
    <xf numFmtId="0" fontId="49" fillId="8" borderId="14" xfId="0" applyFont="1" applyFill="1" applyBorder="1"/>
    <xf numFmtId="8" fontId="54" fillId="0" borderId="0" xfId="0" applyNumberFormat="1" applyFont="1"/>
    <xf numFmtId="2" fontId="9" fillId="0" borderId="0" xfId="0" applyNumberFormat="1" applyFont="1"/>
    <xf numFmtId="0" fontId="48" fillId="9" borderId="25" xfId="0" applyFont="1" applyFill="1" applyBorder="1"/>
    <xf numFmtId="44" fontId="48" fillId="9" borderId="30" xfId="3" applyFont="1" applyFill="1" applyBorder="1"/>
    <xf numFmtId="0" fontId="49" fillId="8" borderId="0" xfId="0" applyFont="1" applyFill="1"/>
    <xf numFmtId="0" fontId="49" fillId="0" borderId="23" xfId="0" applyFont="1" applyBorder="1"/>
    <xf numFmtId="3" fontId="49" fillId="0" borderId="14" xfId="0" applyNumberFormat="1" applyFont="1" applyBorder="1"/>
    <xf numFmtId="3" fontId="55" fillId="0" borderId="14" xfId="0" applyNumberFormat="1" applyFont="1" applyBorder="1"/>
    <xf numFmtId="3" fontId="56" fillId="0" borderId="14" xfId="0" applyNumberFormat="1" applyFont="1" applyBorder="1"/>
    <xf numFmtId="37" fontId="49" fillId="0" borderId="14" xfId="0" applyNumberFormat="1" applyFont="1" applyBorder="1"/>
    <xf numFmtId="0" fontId="49" fillId="0" borderId="26" xfId="0" applyFont="1" applyBorder="1"/>
    <xf numFmtId="3" fontId="49" fillId="0" borderId="27" xfId="0" applyNumberFormat="1" applyFont="1" applyBorder="1"/>
    <xf numFmtId="0" fontId="49" fillId="0" borderId="14" xfId="0" applyFont="1" applyBorder="1"/>
    <xf numFmtId="8" fontId="48" fillId="9" borderId="30" xfId="0" applyNumberFormat="1" applyFont="1" applyFill="1" applyBorder="1"/>
    <xf numFmtId="10" fontId="57" fillId="8" borderId="17" xfId="0" applyNumberFormat="1" applyFont="1" applyFill="1" applyBorder="1"/>
    <xf numFmtId="0" fontId="20" fillId="2" borderId="3" xfId="4" applyFont="1" applyFill="1" applyBorder="1"/>
    <xf numFmtId="0" fontId="58" fillId="2" borderId="4" xfId="4" applyFont="1" applyFill="1" applyBorder="1"/>
    <xf numFmtId="0" fontId="58" fillId="2" borderId="31" xfId="4" applyFont="1" applyFill="1" applyBorder="1"/>
    <xf numFmtId="0" fontId="58" fillId="2" borderId="5" xfId="4" applyFont="1" applyFill="1" applyBorder="1"/>
    <xf numFmtId="0" fontId="21" fillId="2" borderId="6" xfId="4" applyFont="1" applyFill="1" applyBorder="1"/>
    <xf numFmtId="0" fontId="58" fillId="2" borderId="0" xfId="4" applyFont="1" applyFill="1" applyBorder="1"/>
    <xf numFmtId="0" fontId="58" fillId="2" borderId="23" xfId="4" applyFont="1" applyFill="1" applyBorder="1"/>
    <xf numFmtId="2" fontId="24" fillId="0" borderId="0" xfId="0" applyNumberFormat="1" applyFont="1"/>
    <xf numFmtId="170" fontId="24" fillId="0" borderId="7" xfId="0" applyNumberFormat="1" applyFont="1" applyBorder="1"/>
    <xf numFmtId="170" fontId="24" fillId="0" borderId="1" xfId="0" applyNumberFormat="1" applyFont="1" applyBorder="1"/>
    <xf numFmtId="0" fontId="24" fillId="0" borderId="34" xfId="0" applyFont="1" applyBorder="1"/>
    <xf numFmtId="168" fontId="24" fillId="0" borderId="20" xfId="0" applyNumberFormat="1" applyFont="1" applyBorder="1"/>
    <xf numFmtId="0" fontId="24" fillId="0" borderId="35" xfId="0" applyFont="1" applyBorder="1"/>
    <xf numFmtId="170" fontId="24" fillId="0" borderId="14" xfId="0" applyNumberFormat="1" applyFont="1" applyBorder="1"/>
    <xf numFmtId="0" fontId="24" fillId="0" borderId="36" xfId="0" applyFont="1" applyBorder="1"/>
    <xf numFmtId="168" fontId="24" fillId="0" borderId="29" xfId="0" applyNumberFormat="1" applyFont="1" applyBorder="1"/>
    <xf numFmtId="168" fontId="24" fillId="0" borderId="27" xfId="0" applyNumberFormat="1" applyFont="1" applyBorder="1"/>
    <xf numFmtId="168" fontId="25" fillId="5" borderId="17" xfId="0" applyNumberFormat="1" applyFont="1" applyFill="1" applyBorder="1"/>
    <xf numFmtId="168" fontId="25" fillId="5" borderId="22" xfId="0" applyNumberFormat="1" applyFont="1" applyFill="1" applyBorder="1"/>
    <xf numFmtId="0" fontId="43" fillId="3" borderId="25" xfId="0" applyFont="1" applyFill="1" applyBorder="1"/>
    <xf numFmtId="0" fontId="31" fillId="3" borderId="30" xfId="0" applyFont="1" applyFill="1" applyBorder="1"/>
    <xf numFmtId="37" fontId="9" fillId="0" borderId="14" xfId="0" applyNumberFormat="1" applyFont="1" applyBorder="1"/>
    <xf numFmtId="3" fontId="9" fillId="0" borderId="14" xfId="0" applyNumberFormat="1" applyFont="1" applyBorder="1"/>
    <xf numFmtId="0" fontId="48" fillId="0" borderId="23" xfId="0" applyFont="1" applyBorder="1"/>
    <xf numFmtId="37" fontId="10" fillId="0" borderId="14" xfId="0" applyNumberFormat="1" applyFont="1" applyBorder="1"/>
    <xf numFmtId="0" fontId="9" fillId="0" borderId="14" xfId="0" applyFont="1" applyBorder="1"/>
    <xf numFmtId="10" fontId="9" fillId="0" borderId="14" xfId="0" applyNumberFormat="1" applyFont="1" applyBorder="1"/>
    <xf numFmtId="3" fontId="10" fillId="0" borderId="14" xfId="0" applyNumberFormat="1" applyFont="1" applyBorder="1"/>
    <xf numFmtId="0" fontId="48" fillId="0" borderId="25" xfId="0" applyFont="1" applyBorder="1"/>
    <xf numFmtId="0" fontId="10" fillId="0" borderId="30" xfId="0" applyFont="1" applyBorder="1"/>
    <xf numFmtId="0" fontId="13" fillId="2" borderId="26" xfId="0" applyFont="1" applyFill="1" applyBorder="1"/>
    <xf numFmtId="0" fontId="41" fillId="2" borderId="27" xfId="0" applyFont="1" applyFill="1" applyBorder="1"/>
    <xf numFmtId="0" fontId="31" fillId="3" borderId="29" xfId="0" applyFont="1" applyFill="1" applyBorder="1"/>
    <xf numFmtId="0" fontId="54" fillId="2" borderId="0" xfId="0" applyFont="1" applyFill="1"/>
    <xf numFmtId="0" fontId="50" fillId="2" borderId="0" xfId="0" applyFont="1" applyFill="1" applyAlignment="1">
      <alignment horizontal="center"/>
    </xf>
    <xf numFmtId="10" fontId="60" fillId="0" borderId="0" xfId="0" applyNumberFormat="1" applyFont="1"/>
    <xf numFmtId="0" fontId="13" fillId="2" borderId="3" xfId="0" applyFont="1" applyFill="1" applyBorder="1"/>
    <xf numFmtId="0" fontId="43" fillId="3" borderId="32" xfId="0" applyFont="1" applyFill="1" applyBorder="1"/>
    <xf numFmtId="0" fontId="31" fillId="3" borderId="33" xfId="0" applyFont="1" applyFill="1" applyBorder="1"/>
    <xf numFmtId="4" fontId="9" fillId="0" borderId="0" xfId="0" applyNumberFormat="1" applyFont="1"/>
    <xf numFmtId="0" fontId="9" fillId="0" borderId="7" xfId="0" applyFont="1" applyBorder="1"/>
    <xf numFmtId="0" fontId="9" fillId="0" borderId="1" xfId="0" applyFont="1" applyBorder="1"/>
    <xf numFmtId="0" fontId="9" fillId="0" borderId="11" xfId="0" applyFont="1" applyBorder="1"/>
    <xf numFmtId="166" fontId="0" fillId="0" borderId="0" xfId="1" applyNumberFormat="1" applyFont="1"/>
    <xf numFmtId="44" fontId="10" fillId="0" borderId="0" xfId="0" applyNumberFormat="1" applyFont="1"/>
    <xf numFmtId="0" fontId="13" fillId="2" borderId="0" xfId="0" applyFont="1" applyFill="1"/>
    <xf numFmtId="44" fontId="13" fillId="2" borderId="0" xfId="0" applyNumberFormat="1" applyFont="1" applyFill="1"/>
    <xf numFmtId="0" fontId="9" fillId="4" borderId="0" xfId="0" applyFont="1" applyFill="1"/>
    <xf numFmtId="0" fontId="0" fillId="3" borderId="0" xfId="0" applyFill="1"/>
    <xf numFmtId="0" fontId="13" fillId="2" borderId="4" xfId="0" applyFont="1" applyFill="1" applyBorder="1"/>
    <xf numFmtId="0" fontId="13" fillId="2" borderId="5" xfId="0" applyFont="1" applyFill="1" applyBorder="1"/>
    <xf numFmtId="0" fontId="31" fillId="0" borderId="6" xfId="0" applyFont="1" applyBorder="1"/>
    <xf numFmtId="0" fontId="47" fillId="0" borderId="10" xfId="0" applyFont="1" applyBorder="1"/>
    <xf numFmtId="9" fontId="31" fillId="0" borderId="1" xfId="1" applyFont="1" applyBorder="1"/>
    <xf numFmtId="9" fontId="43" fillId="0" borderId="11" xfId="0" applyNumberFormat="1" applyFont="1" applyBorder="1"/>
    <xf numFmtId="9" fontId="9" fillId="0" borderId="0" xfId="0" applyNumberFormat="1" applyFont="1"/>
    <xf numFmtId="2" fontId="10" fillId="0" borderId="23" xfId="0" applyNumberFormat="1" applyFont="1" applyBorder="1"/>
    <xf numFmtId="9" fontId="0" fillId="0" borderId="0" xfId="1" applyFont="1"/>
    <xf numFmtId="9" fontId="0" fillId="0" borderId="0" xfId="0" applyNumberFormat="1"/>
    <xf numFmtId="168" fontId="34" fillId="0" borderId="0" xfId="0" applyNumberFormat="1" applyFont="1"/>
    <xf numFmtId="0" fontId="26" fillId="2" borderId="0" xfId="0" applyFont="1" applyFill="1"/>
    <xf numFmtId="0" fontId="23" fillId="2" borderId="0" xfId="0" applyFont="1" applyFill="1" applyAlignment="1">
      <alignment horizontal="right"/>
    </xf>
    <xf numFmtId="0" fontId="23" fillId="6" borderId="0" xfId="0" applyFont="1" applyFill="1"/>
    <xf numFmtId="0" fontId="39" fillId="0" borderId="0" xfId="0" applyFont="1"/>
    <xf numFmtId="2" fontId="0" fillId="0" borderId="0" xfId="0" applyNumberFormat="1"/>
    <xf numFmtId="173" fontId="0" fillId="0" borderId="0" xfId="0" applyNumberFormat="1"/>
    <xf numFmtId="0" fontId="61" fillId="11" borderId="37" xfId="0" applyFont="1" applyFill="1" applyBorder="1" applyAlignment="1">
      <alignment horizontal="center" vertical="center" wrapText="1"/>
    </xf>
    <xf numFmtId="0" fontId="61" fillId="11" borderId="37" xfId="0" applyFont="1" applyFill="1" applyBorder="1" applyAlignment="1">
      <alignment horizontal="center" wrapText="1"/>
    </xf>
    <xf numFmtId="0" fontId="62" fillId="12" borderId="37" xfId="0" applyFont="1" applyFill="1" applyBorder="1" applyAlignment="1">
      <alignment horizontal="left" vertical="center" wrapText="1"/>
    </xf>
    <xf numFmtId="166" fontId="63" fillId="10" borderId="37" xfId="1" applyNumberFormat="1" applyFont="1" applyFill="1" applyBorder="1" applyAlignment="1">
      <alignment horizontal="right" vertical="center" wrapText="1"/>
    </xf>
    <xf numFmtId="2" fontId="31" fillId="0" borderId="0" xfId="3" applyNumberFormat="1" applyFont="1" applyBorder="1"/>
    <xf numFmtId="0" fontId="65" fillId="0" borderId="0" xfId="0" applyFont="1"/>
    <xf numFmtId="0" fontId="66" fillId="0" borderId="0" xfId="0" applyFont="1"/>
    <xf numFmtId="0" fontId="67" fillId="0" borderId="0" xfId="0" applyFont="1"/>
    <xf numFmtId="0" fontId="68" fillId="0" borderId="0" xfId="0" applyFont="1"/>
    <xf numFmtId="0" fontId="69" fillId="0" borderId="0" xfId="0" applyFont="1"/>
    <xf numFmtId="0" fontId="71" fillId="0" borderId="0" xfId="0" applyFont="1"/>
    <xf numFmtId="0" fontId="72" fillId="0" borderId="0" xfId="0" applyFont="1"/>
    <xf numFmtId="0" fontId="72" fillId="0" borderId="0" xfId="0" applyFont="1" applyAlignment="1">
      <alignment horizontal="left" indent="1"/>
    </xf>
    <xf numFmtId="0" fontId="73" fillId="0" borderId="0" xfId="0" applyFont="1" applyAlignment="1">
      <alignment horizontal="left" indent="1"/>
    </xf>
    <xf numFmtId="0" fontId="75" fillId="0" borderId="0" xfId="5" applyFont="1"/>
    <xf numFmtId="0" fontId="76" fillId="0" borderId="0" xfId="0" applyFont="1" applyAlignment="1">
      <alignment horizontal="right"/>
    </xf>
    <xf numFmtId="0" fontId="77" fillId="0" borderId="23" xfId="0" applyFont="1" applyBorder="1" applyAlignment="1">
      <alignment horizontal="right"/>
    </xf>
    <xf numFmtId="3" fontId="0" fillId="0" borderId="23" xfId="0" applyNumberFormat="1" applyBorder="1" applyAlignment="1">
      <alignment horizontal="right"/>
    </xf>
    <xf numFmtId="166" fontId="0" fillId="0" borderId="23" xfId="0" applyNumberFormat="1" applyBorder="1" applyAlignment="1">
      <alignment horizontal="right"/>
    </xf>
    <xf numFmtId="174" fontId="0" fillId="0" borderId="23" xfId="0" applyNumberFormat="1" applyBorder="1" applyAlignment="1">
      <alignment horizontal="right"/>
    </xf>
    <xf numFmtId="175" fontId="0" fillId="0" borderId="23" xfId="0" applyNumberFormat="1" applyBorder="1" applyAlignment="1">
      <alignment horizontal="right"/>
    </xf>
    <xf numFmtId="176" fontId="0" fillId="0" borderId="23" xfId="0" applyNumberFormat="1" applyBorder="1" applyAlignment="1">
      <alignment horizontal="right"/>
    </xf>
    <xf numFmtId="0" fontId="79" fillId="0" borderId="0" xfId="6" applyFont="1" applyAlignment="1" applyProtection="1">
      <alignment horizontal="right" vertical="top"/>
      <protection locked="0"/>
    </xf>
    <xf numFmtId="9" fontId="7" fillId="0" borderId="0" xfId="1" applyFont="1" applyBorder="1" applyAlignment="1">
      <alignment horizontal="right" vertical="top"/>
    </xf>
    <xf numFmtId="1" fontId="0" fillId="0" borderId="0" xfId="0" applyNumberFormat="1"/>
    <xf numFmtId="0" fontId="22" fillId="0" borderId="0" xfId="0" applyFont="1"/>
    <xf numFmtId="0" fontId="59" fillId="0" borderId="0" xfId="8" applyFont="1" applyAlignment="1">
      <alignment horizontal="left"/>
    </xf>
    <xf numFmtId="2" fontId="59" fillId="0" borderId="0" xfId="8" applyNumberFormat="1" applyFont="1" applyAlignment="1">
      <alignment horizontal="right"/>
    </xf>
    <xf numFmtId="1" fontId="59" fillId="0" borderId="0" xfId="8" applyNumberFormat="1" applyFont="1" applyAlignment="1">
      <alignment horizontal="right"/>
    </xf>
    <xf numFmtId="168" fontId="59" fillId="0" borderId="14" xfId="8" applyNumberFormat="1" applyFont="1" applyBorder="1" applyAlignment="1">
      <alignment horizontal="right"/>
    </xf>
    <xf numFmtId="0" fontId="84" fillId="3" borderId="2" xfId="8" applyFont="1" applyFill="1" applyBorder="1" applyAlignment="1">
      <alignment horizontal="left"/>
    </xf>
    <xf numFmtId="44" fontId="84" fillId="3" borderId="2" xfId="8" applyNumberFormat="1" applyFont="1" applyFill="1" applyBorder="1" applyAlignment="1">
      <alignment horizontal="right"/>
    </xf>
    <xf numFmtId="168" fontId="84" fillId="3" borderId="2" xfId="8" applyNumberFormat="1" applyFont="1" applyFill="1" applyBorder="1" applyAlignment="1">
      <alignment horizontal="right"/>
    </xf>
    <xf numFmtId="168" fontId="84" fillId="3" borderId="22" xfId="8" applyNumberFormat="1" applyFont="1" applyFill="1" applyBorder="1" applyAlignment="1">
      <alignment horizontal="right"/>
    </xf>
    <xf numFmtId="170" fontId="25" fillId="3" borderId="38" xfId="0" applyNumberFormat="1" applyFont="1" applyFill="1" applyBorder="1"/>
    <xf numFmtId="170" fontId="25" fillId="3" borderId="2" xfId="0" applyNumberFormat="1" applyFont="1" applyFill="1" applyBorder="1"/>
    <xf numFmtId="0" fontId="23" fillId="2" borderId="6" xfId="9" applyFont="1" applyFill="1" applyBorder="1">
      <alignment horizontal="center"/>
    </xf>
    <xf numFmtId="0" fontId="23" fillId="2" borderId="0" xfId="9" applyFont="1" applyFill="1">
      <alignment horizontal="center"/>
    </xf>
    <xf numFmtId="0" fontId="23" fillId="2" borderId="7" xfId="9" applyFont="1" applyFill="1" applyBorder="1">
      <alignment horizontal="center"/>
    </xf>
    <xf numFmtId="0" fontId="84" fillId="3" borderId="8" xfId="8" applyFont="1" applyFill="1" applyBorder="1" applyAlignment="1">
      <alignment horizontal="left"/>
    </xf>
    <xf numFmtId="170" fontId="25" fillId="3" borderId="9" xfId="0" applyNumberFormat="1" applyFont="1" applyFill="1" applyBorder="1"/>
    <xf numFmtId="0" fontId="59" fillId="0" borderId="6" xfId="8" applyFont="1" applyBorder="1" applyAlignment="1">
      <alignment horizontal="left"/>
    </xf>
    <xf numFmtId="44" fontId="59" fillId="0" borderId="0" xfId="8" applyNumberFormat="1" applyFont="1" applyAlignment="1">
      <alignment horizontal="right"/>
    </xf>
    <xf numFmtId="168" fontId="59" fillId="0" borderId="0" xfId="8" applyNumberFormat="1" applyFont="1" applyAlignment="1">
      <alignment horizontal="right"/>
    </xf>
    <xf numFmtId="170" fontId="24" fillId="0" borderId="0" xfId="0" applyNumberFormat="1" applyFont="1"/>
    <xf numFmtId="0" fontId="59" fillId="0" borderId="10" xfId="8" applyFont="1" applyBorder="1" applyAlignment="1">
      <alignment horizontal="left"/>
    </xf>
    <xf numFmtId="0" fontId="59" fillId="0" borderId="1" xfId="8" applyFont="1" applyBorder="1" applyAlignment="1">
      <alignment horizontal="left"/>
    </xf>
    <xf numFmtId="44" fontId="59" fillId="0" borderId="1" xfId="8" applyNumberFormat="1" applyFont="1" applyBorder="1" applyAlignment="1">
      <alignment horizontal="right"/>
    </xf>
    <xf numFmtId="168" fontId="59" fillId="0" borderId="1" xfId="8" applyNumberFormat="1" applyFont="1" applyBorder="1" applyAlignment="1">
      <alignment horizontal="right"/>
    </xf>
    <xf numFmtId="168" fontId="59" fillId="0" borderId="16" xfId="8" applyNumberFormat="1" applyFont="1" applyBorder="1" applyAlignment="1">
      <alignment horizontal="right"/>
    </xf>
    <xf numFmtId="170" fontId="24" fillId="0" borderId="11" xfId="0" applyNumberFormat="1" applyFont="1" applyBorder="1"/>
    <xf numFmtId="0" fontId="23" fillId="0" borderId="0" xfId="9" applyFont="1" applyFill="1">
      <alignment horizontal="center"/>
    </xf>
    <xf numFmtId="2" fontId="59" fillId="0" borderId="4" xfId="8" applyNumberFormat="1" applyFont="1" applyBorder="1" applyAlignment="1">
      <alignment horizontal="right"/>
    </xf>
    <xf numFmtId="0" fontId="58" fillId="2" borderId="39" xfId="4" applyFont="1" applyFill="1" applyBorder="1"/>
    <xf numFmtId="0" fontId="58" fillId="2" borderId="14" xfId="4" applyFont="1" applyFill="1" applyBorder="1"/>
    <xf numFmtId="0" fontId="23" fillId="2" borderId="30" xfId="9" applyFont="1" applyFill="1" applyBorder="1">
      <alignment horizontal="center"/>
    </xf>
    <xf numFmtId="170" fontId="25" fillId="0" borderId="29" xfId="0" applyNumberFormat="1" applyFont="1" applyBorder="1"/>
    <xf numFmtId="168" fontId="24" fillId="0" borderId="25" xfId="0" applyNumberFormat="1" applyFont="1" applyBorder="1"/>
    <xf numFmtId="168" fontId="25" fillId="0" borderId="29" xfId="0" applyNumberFormat="1" applyFont="1" applyBorder="1"/>
    <xf numFmtId="0" fontId="23" fillId="2" borderId="14" xfId="0" applyFont="1" applyFill="1" applyBorder="1"/>
    <xf numFmtId="168" fontId="24" fillId="0" borderId="14" xfId="0" applyNumberFormat="1" applyFont="1" applyBorder="1"/>
    <xf numFmtId="168" fontId="25" fillId="0" borderId="30" xfId="0" applyNumberFormat="1" applyFont="1" applyBorder="1"/>
    <xf numFmtId="170" fontId="25" fillId="0" borderId="30" xfId="0" applyNumberFormat="1" applyFont="1" applyBorder="1"/>
    <xf numFmtId="0" fontId="23" fillId="2" borderId="25" xfId="0" applyFont="1" applyFill="1" applyBorder="1"/>
    <xf numFmtId="170" fontId="25" fillId="0" borderId="25" xfId="0" applyNumberFormat="1" applyFont="1" applyBorder="1"/>
    <xf numFmtId="0" fontId="23" fillId="2" borderId="35" xfId="0" applyFont="1" applyFill="1" applyBorder="1" applyAlignment="1">
      <alignment horizontal="right"/>
    </xf>
    <xf numFmtId="0" fontId="9" fillId="2" borderId="0" xfId="0" applyFont="1" applyFill="1"/>
    <xf numFmtId="170" fontId="24" fillId="0" borderId="23" xfId="0" applyNumberFormat="1" applyFont="1" applyBorder="1"/>
    <xf numFmtId="0" fontId="49" fillId="0" borderId="23" xfId="0" applyFont="1" applyBorder="1" applyAlignment="1">
      <alignment horizontal="left"/>
    </xf>
    <xf numFmtId="1" fontId="49" fillId="0" borderId="14" xfId="0" applyNumberFormat="1" applyFont="1" applyBorder="1" applyAlignment="1">
      <alignment horizontal="right"/>
    </xf>
    <xf numFmtId="0" fontId="49" fillId="0" borderId="14" xfId="0" applyFont="1" applyBorder="1" applyAlignment="1">
      <alignment horizontal="right"/>
    </xf>
    <xf numFmtId="0" fontId="54" fillId="0" borderId="0" xfId="0" applyFont="1"/>
    <xf numFmtId="0" fontId="20" fillId="2" borderId="0" xfId="0" applyFont="1" applyFill="1"/>
    <xf numFmtId="0" fontId="80" fillId="2" borderId="0" xfId="0" applyFont="1" applyFill="1"/>
    <xf numFmtId="0" fontId="21" fillId="2" borderId="0" xfId="0" applyFont="1" applyFill="1"/>
    <xf numFmtId="0" fontId="58" fillId="2" borderId="0" xfId="0" applyFont="1" applyFill="1"/>
    <xf numFmtId="2" fontId="59" fillId="0" borderId="0" xfId="0" applyNumberFormat="1" applyFont="1"/>
    <xf numFmtId="2" fontId="58" fillId="0" borderId="0" xfId="0" applyNumberFormat="1" applyFont="1"/>
    <xf numFmtId="2" fontId="22" fillId="0" borderId="0" xfId="0" applyNumberFormat="1" applyFont="1"/>
    <xf numFmtId="9" fontId="22" fillId="0" borderId="0" xfId="1" applyFont="1"/>
    <xf numFmtId="0" fontId="12" fillId="2" borderId="3" xfId="0" applyFont="1" applyFill="1" applyBorder="1" applyAlignment="1">
      <alignment horizontal="center" vertical="center" wrapText="1"/>
    </xf>
    <xf numFmtId="0" fontId="12" fillId="2" borderId="6" xfId="0" applyFont="1" applyFill="1" applyBorder="1"/>
    <xf numFmtId="0" fontId="12" fillId="2" borderId="4" xfId="0" applyFont="1" applyFill="1" applyBorder="1" applyAlignment="1">
      <alignment horizontal="center" vertical="center" wrapText="1"/>
    </xf>
    <xf numFmtId="44" fontId="13" fillId="2" borderId="4" xfId="0" applyNumberFormat="1" applyFont="1" applyFill="1" applyBorder="1" applyAlignment="1">
      <alignment horizontal="center" vertical="center"/>
    </xf>
    <xf numFmtId="44" fontId="13" fillId="2" borderId="5" xfId="0" applyNumberFormat="1" applyFont="1" applyFill="1" applyBorder="1" applyAlignment="1">
      <alignment horizontal="center" vertical="center"/>
    </xf>
    <xf numFmtId="0" fontId="13" fillId="2" borderId="4" xfId="0" applyFont="1" applyFill="1" applyBorder="1" applyAlignment="1">
      <alignment horizontal="center" vertical="center" wrapText="1"/>
    </xf>
    <xf numFmtId="0" fontId="9" fillId="0" borderId="0" xfId="0" applyFont="1"/>
    <xf numFmtId="0" fontId="8" fillId="0" borderId="0" xfId="0" applyFont="1" applyAlignment="1">
      <alignment vertical="top" wrapText="1"/>
    </xf>
    <xf numFmtId="0" fontId="50" fillId="2" borderId="0" xfId="0" applyFont="1" applyFill="1" applyAlignment="1">
      <alignment horizontal="center" vertical="center" wrapText="1"/>
    </xf>
    <xf numFmtId="0" fontId="50" fillId="2" borderId="0" xfId="0" applyFont="1" applyFill="1"/>
    <xf numFmtId="0" fontId="48" fillId="8" borderId="24" xfId="0" applyFont="1" applyFill="1" applyBorder="1" applyAlignment="1">
      <alignment horizontal="center"/>
    </xf>
    <xf numFmtId="0" fontId="48" fillId="8" borderId="17" xfId="0" applyFont="1" applyFill="1" applyBorder="1" applyAlignment="1">
      <alignment horizontal="center"/>
    </xf>
    <xf numFmtId="0" fontId="48" fillId="0" borderId="24" xfId="0" applyFont="1" applyBorder="1" applyAlignment="1">
      <alignment horizontal="center"/>
    </xf>
    <xf numFmtId="0" fontId="48" fillId="0" borderId="17" xfId="0" applyFont="1" applyBorder="1" applyAlignment="1">
      <alignment horizontal="center"/>
    </xf>
    <xf numFmtId="0" fontId="50" fillId="2" borderId="0" xfId="0" applyFont="1" applyFill="1" applyAlignment="1">
      <alignment horizontal="center"/>
    </xf>
    <xf numFmtId="0" fontId="2" fillId="0" borderId="0" xfId="0" applyFont="1" applyAlignment="1">
      <alignment horizontal="center" vertical="center" wrapText="1"/>
    </xf>
    <xf numFmtId="0" fontId="0" fillId="0" borderId="0" xfId="0"/>
    <xf numFmtId="0" fontId="1" fillId="0" borderId="0" xfId="0" applyFont="1" applyAlignment="1">
      <alignment horizontal="center" vertical="center" wrapText="1"/>
    </xf>
    <xf numFmtId="0" fontId="85" fillId="0" borderId="0" xfId="0" applyFont="1" applyFill="1"/>
    <xf numFmtId="0" fontId="84" fillId="0" borderId="40" xfId="9" applyFont="1" applyFill="1" applyBorder="1">
      <alignment horizontal="center"/>
    </xf>
    <xf numFmtId="44" fontId="59" fillId="0" borderId="41" xfId="8" applyNumberFormat="1" applyFont="1" applyFill="1" applyBorder="1" applyAlignment="1">
      <alignment horizontal="right"/>
    </xf>
    <xf numFmtId="1" fontId="22" fillId="0" borderId="0" xfId="0" applyNumberFormat="1" applyFont="1"/>
    <xf numFmtId="1" fontId="24" fillId="0" borderId="0" xfId="0" applyNumberFormat="1" applyFont="1"/>
    <xf numFmtId="1" fontId="85" fillId="0" borderId="0" xfId="0" applyNumberFormat="1" applyFont="1" applyFill="1"/>
    <xf numFmtId="0" fontId="10" fillId="14" borderId="6" xfId="0" applyFont="1" applyFill="1" applyBorder="1"/>
    <xf numFmtId="0" fontId="10" fillId="14" borderId="7" xfId="0" applyFont="1" applyFill="1" applyBorder="1"/>
    <xf numFmtId="0" fontId="10" fillId="15" borderId="6" xfId="0" applyFont="1" applyFill="1" applyBorder="1"/>
    <xf numFmtId="0" fontId="10" fillId="15" borderId="7" xfId="0" applyFont="1" applyFill="1" applyBorder="1"/>
    <xf numFmtId="0" fontId="10" fillId="14" borderId="10" xfId="0" applyFont="1" applyFill="1" applyBorder="1"/>
    <xf numFmtId="0" fontId="10" fillId="14" borderId="11" xfId="0" applyFont="1" applyFill="1" applyBorder="1"/>
    <xf numFmtId="0" fontId="10" fillId="15" borderId="32" xfId="0" applyFont="1" applyFill="1" applyBorder="1"/>
    <xf numFmtId="0" fontId="10" fillId="15" borderId="33" xfId="0" applyFont="1" applyFill="1" applyBorder="1"/>
    <xf numFmtId="0" fontId="10" fillId="15" borderId="42" xfId="0" applyFont="1" applyFill="1" applyBorder="1"/>
    <xf numFmtId="0" fontId="10" fillId="15" borderId="44" xfId="0" applyFont="1" applyFill="1" applyBorder="1"/>
    <xf numFmtId="0" fontId="10" fillId="14" borderId="14" xfId="0" applyFont="1" applyFill="1" applyBorder="1"/>
    <xf numFmtId="0" fontId="10" fillId="15" borderId="14" xfId="0" applyFont="1" applyFill="1" applyBorder="1"/>
    <xf numFmtId="0" fontId="10" fillId="15" borderId="30" xfId="0" applyFont="1" applyFill="1" applyBorder="1"/>
    <xf numFmtId="0" fontId="10" fillId="14" borderId="16" xfId="0" applyFont="1" applyFill="1" applyBorder="1"/>
    <xf numFmtId="0" fontId="10" fillId="15" borderId="43" xfId="0" applyFont="1" applyFill="1" applyBorder="1" applyAlignment="1">
      <alignment horizontal="right"/>
    </xf>
    <xf numFmtId="0" fontId="7" fillId="0" borderId="3" xfId="0" applyFont="1" applyBorder="1" applyAlignment="1">
      <alignment vertical="top" wrapText="1"/>
    </xf>
    <xf numFmtId="37" fontId="7" fillId="0" borderId="4" xfId="0" applyNumberFormat="1" applyFont="1" applyBorder="1" applyAlignment="1">
      <alignment horizontal="right" vertical="top"/>
    </xf>
    <xf numFmtId="37" fontId="7" fillId="0" borderId="5" xfId="0" applyNumberFormat="1" applyFont="1" applyBorder="1" applyAlignment="1">
      <alignment horizontal="right" vertical="top"/>
    </xf>
    <xf numFmtId="0" fontId="7" fillId="0" borderId="10" xfId="0" applyFont="1" applyBorder="1" applyAlignment="1">
      <alignment vertical="top" wrapText="1"/>
    </xf>
    <xf numFmtId="9" fontId="7" fillId="0" borderId="1" xfId="1" applyFont="1" applyBorder="1" applyAlignment="1">
      <alignment horizontal="right" vertical="top"/>
    </xf>
    <xf numFmtId="9" fontId="7" fillId="0" borderId="11" xfId="1" applyFont="1" applyBorder="1" applyAlignment="1">
      <alignment horizontal="right" vertical="top"/>
    </xf>
    <xf numFmtId="0" fontId="7" fillId="3" borderId="1" xfId="0" applyFont="1" applyFill="1" applyBorder="1" applyAlignment="1">
      <alignment vertical="top" wrapText="1"/>
    </xf>
    <xf numFmtId="37" fontId="7" fillId="3" borderId="1" xfId="0" applyNumberFormat="1" applyFont="1" applyFill="1" applyBorder="1" applyAlignment="1">
      <alignment horizontal="right" vertical="top"/>
    </xf>
    <xf numFmtId="0" fontId="51" fillId="0" borderId="10" xfId="0" applyFont="1" applyBorder="1" applyAlignment="1">
      <alignment vertical="top" wrapText="1"/>
    </xf>
    <xf numFmtId="10" fontId="7" fillId="0" borderId="1" xfId="1" applyNumberFormat="1" applyFont="1" applyBorder="1" applyAlignment="1">
      <alignment horizontal="right" vertical="top"/>
    </xf>
    <xf numFmtId="10" fontId="7" fillId="0" borderId="11" xfId="1" applyNumberFormat="1" applyFont="1" applyBorder="1" applyAlignment="1">
      <alignment horizontal="right" vertical="top"/>
    </xf>
    <xf numFmtId="0" fontId="23" fillId="2" borderId="14" xfId="9" applyFont="1" applyFill="1" applyBorder="1">
      <alignment horizontal="center"/>
    </xf>
    <xf numFmtId="17" fontId="86" fillId="0" borderId="0" xfId="0" applyNumberFormat="1" applyFont="1" applyAlignment="1">
      <alignment vertical="center"/>
    </xf>
    <xf numFmtId="9" fontId="51" fillId="0" borderId="1" xfId="1" applyFont="1" applyBorder="1" applyAlignment="1">
      <alignment horizontal="right" vertical="top"/>
    </xf>
    <xf numFmtId="9" fontId="51" fillId="0" borderId="11" xfId="1" applyFont="1" applyBorder="1" applyAlignment="1">
      <alignment horizontal="right" vertical="top"/>
    </xf>
    <xf numFmtId="0" fontId="87" fillId="0" borderId="0" xfId="0" applyFont="1"/>
    <xf numFmtId="44" fontId="0" fillId="0" borderId="0" xfId="0" applyNumberFormat="1"/>
    <xf numFmtId="168" fontId="9" fillId="0" borderId="0" xfId="0" applyNumberFormat="1" applyFont="1"/>
    <xf numFmtId="44" fontId="9" fillId="0" borderId="0" xfId="0" applyNumberFormat="1" applyFont="1"/>
    <xf numFmtId="185" fontId="9" fillId="0" borderId="0" xfId="0" applyNumberFormat="1" applyFont="1"/>
    <xf numFmtId="0" fontId="12" fillId="2" borderId="5" xfId="0" applyFont="1" applyFill="1" applyBorder="1"/>
    <xf numFmtId="0" fontId="12" fillId="2" borderId="0" xfId="0" applyFont="1" applyFill="1" applyBorder="1" applyAlignment="1">
      <alignment horizontal="center" vertical="center" wrapText="1"/>
    </xf>
    <xf numFmtId="164" fontId="12" fillId="2" borderId="0" xfId="0" applyNumberFormat="1" applyFont="1" applyFill="1" applyBorder="1" applyAlignment="1">
      <alignment horizontal="right" vertical="top"/>
    </xf>
    <xf numFmtId="0" fontId="12" fillId="2" borderId="7" xfId="0" applyFont="1" applyFill="1" applyBorder="1" applyAlignment="1">
      <alignment horizontal="center" vertical="center" wrapText="1"/>
    </xf>
    <xf numFmtId="0" fontId="8" fillId="3" borderId="0" xfId="0" applyFont="1" applyFill="1" applyBorder="1" applyAlignment="1">
      <alignment vertical="top" wrapText="1"/>
    </xf>
    <xf numFmtId="0" fontId="9" fillId="3" borderId="0" xfId="0" applyFont="1" applyFill="1" applyBorder="1"/>
    <xf numFmtId="164" fontId="8" fillId="3" borderId="0" xfId="0" applyNumberFormat="1" applyFont="1" applyFill="1" applyBorder="1" applyAlignment="1">
      <alignment horizontal="right" vertical="top"/>
    </xf>
    <xf numFmtId="0" fontId="9" fillId="3" borderId="7" xfId="0" applyFont="1" applyFill="1" applyBorder="1"/>
    <xf numFmtId="1" fontId="15" fillId="0" borderId="0" xfId="0" applyNumberFormat="1" applyFont="1" applyBorder="1" applyAlignment="1">
      <alignment horizontal="right" vertical="top"/>
    </xf>
    <xf numFmtId="1" fontId="8" fillId="0" borderId="0" xfId="0" applyNumberFormat="1" applyFont="1" applyBorder="1" applyAlignment="1">
      <alignment horizontal="right" vertical="top"/>
    </xf>
    <xf numFmtId="1" fontId="9" fillId="0" borderId="0" xfId="0" applyNumberFormat="1" applyFont="1" applyBorder="1"/>
    <xf numFmtId="1" fontId="18" fillId="0" borderId="0" xfId="0" applyNumberFormat="1" applyFont="1" applyBorder="1"/>
    <xf numFmtId="1" fontId="18" fillId="0" borderId="7" xfId="0" applyNumberFormat="1" applyFont="1" applyBorder="1"/>
    <xf numFmtId="168" fontId="19" fillId="0" borderId="9" xfId="0" applyNumberFormat="1" applyFont="1" applyBorder="1"/>
    <xf numFmtId="37" fontId="8" fillId="0" borderId="0" xfId="0" applyNumberFormat="1" applyFont="1" applyBorder="1" applyAlignment="1">
      <alignment horizontal="right" vertical="top"/>
    </xf>
    <xf numFmtId="164" fontId="8" fillId="0" borderId="0" xfId="0" applyNumberFormat="1" applyFont="1" applyBorder="1" applyAlignment="1">
      <alignment horizontal="right" vertical="top"/>
    </xf>
    <xf numFmtId="37" fontId="9" fillId="0" borderId="0" xfId="0" applyNumberFormat="1" applyFont="1" applyBorder="1"/>
    <xf numFmtId="37" fontId="9" fillId="0" borderId="7" xfId="0" applyNumberFormat="1" applyFont="1" applyBorder="1"/>
    <xf numFmtId="37" fontId="15" fillId="0" borderId="0" xfId="0" applyNumberFormat="1" applyFont="1" applyBorder="1"/>
    <xf numFmtId="37" fontId="15" fillId="0" borderId="7" xfId="0" applyNumberFormat="1" applyFont="1" applyBorder="1"/>
    <xf numFmtId="168" fontId="7" fillId="0" borderId="9" xfId="0" applyNumberFormat="1" applyFont="1" applyBorder="1" applyAlignment="1">
      <alignment horizontal="right" vertical="top"/>
    </xf>
    <xf numFmtId="166" fontId="8" fillId="0" borderId="0" xfId="1" applyNumberFormat="1" applyFont="1" applyBorder="1"/>
    <xf numFmtId="166" fontId="8" fillId="0" borderId="7" xfId="1" applyNumberFormat="1" applyFont="1" applyBorder="1"/>
    <xf numFmtId="10" fontId="8" fillId="0" borderId="0" xfId="1" applyNumberFormat="1" applyFont="1" applyBorder="1"/>
    <xf numFmtId="10" fontId="9" fillId="0" borderId="7" xfId="1" applyNumberFormat="1" applyFont="1" applyBorder="1"/>
    <xf numFmtId="10" fontId="8" fillId="0" borderId="7" xfId="1" applyNumberFormat="1" applyFont="1" applyBorder="1"/>
    <xf numFmtId="9" fontId="7" fillId="0" borderId="7" xfId="1" applyFont="1" applyBorder="1" applyAlignment="1">
      <alignment horizontal="right" vertical="top"/>
    </xf>
    <xf numFmtId="168" fontId="7" fillId="3" borderId="9" xfId="0" applyNumberFormat="1" applyFont="1" applyFill="1" applyBorder="1" applyAlignment="1">
      <alignment horizontal="right" vertical="top"/>
    </xf>
    <xf numFmtId="37" fontId="16" fillId="0" borderId="0" xfId="0" applyNumberFormat="1" applyFont="1" applyBorder="1" applyAlignment="1">
      <alignment horizontal="right" vertical="top"/>
    </xf>
    <xf numFmtId="37" fontId="7" fillId="0" borderId="0" xfId="0" applyNumberFormat="1" applyFont="1" applyBorder="1" applyAlignment="1">
      <alignment horizontal="right" vertical="top"/>
    </xf>
    <xf numFmtId="164" fontId="7" fillId="0" borderId="0" xfId="0" applyNumberFormat="1" applyFont="1" applyBorder="1" applyAlignment="1">
      <alignment horizontal="right" vertical="top"/>
    </xf>
    <xf numFmtId="37" fontId="10" fillId="0" borderId="0" xfId="0" applyNumberFormat="1" applyFont="1" applyBorder="1"/>
    <xf numFmtId="37" fontId="10" fillId="0" borderId="7" xfId="0" applyNumberFormat="1" applyFont="1" applyBorder="1"/>
    <xf numFmtId="10" fontId="10" fillId="0" borderId="7" xfId="1" applyNumberFormat="1" applyFont="1" applyBorder="1"/>
    <xf numFmtId="10" fontId="11" fillId="0" borderId="11" xfId="1" applyNumberFormat="1" applyFont="1" applyBorder="1" applyAlignment="1">
      <alignment horizontal="right" vertical="top"/>
    </xf>
    <xf numFmtId="176" fontId="0" fillId="0" borderId="0" xfId="0" applyNumberFormat="1"/>
  </cellXfs>
  <cellStyles count="11">
    <cellStyle name="Accent4" xfId="4" builtinId="41"/>
    <cellStyle name="Comma" xfId="2" builtinId="3"/>
    <cellStyle name="Currency" xfId="3" builtinId="4"/>
    <cellStyle name="defaultsheetstyle" xfId="8" xr:uid="{5CADD88F-9D0C-4267-B4BC-BA1254735A09}"/>
    <cellStyle name="disclaimer" xfId="10" xr:uid="{DC007D8E-767D-4148-B12F-B498213017BA}"/>
    <cellStyle name="Hyperlink" xfId="5" builtinId="8"/>
    <cellStyle name="Normal" xfId="0" builtinId="0"/>
    <cellStyle name="Normal_ExecSumm" xfId="6" xr:uid="{8D704436-0948-4DC8-9F2F-0BC78992777C}"/>
    <cellStyle name="Percent" xfId="1" builtinId="5"/>
    <cellStyle name="plainText" xfId="7" xr:uid="{3D7571B1-0A70-4FB2-8E6B-2A36DAF33749}"/>
    <cellStyle name="tablesubHeader" xfId="9" xr:uid="{516C53BD-800B-4807-BED7-23ACBA909A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'Rev Build'!$D$18</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FE8-4470-B5D3-20FCE79881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FE8-4470-B5D3-20FCE79881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FE8-4470-B5D3-20FCE79881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FE8-4470-B5D3-20FCE7988189}"/>
              </c:ext>
            </c:extLst>
          </c:dPt>
          <c:dPt>
            <c:idx val="4"/>
            <c:bubble3D val="0"/>
            <c:spPr>
              <a:solidFill>
                <a:schemeClr val="accent5"/>
              </a:solidFill>
              <a:ln w="19050">
                <a:solidFill>
                  <a:schemeClr val="lt1"/>
                </a:solidFill>
              </a:ln>
              <a:effectLst/>
            </c:spPr>
          </c:dPt>
          <c:cat>
            <c:strRef>
              <c:f>'Rev Build'!$B$19:$B$23</c:f>
              <c:strCache>
                <c:ptCount val="5"/>
                <c:pt idx="0">
                  <c:v>Sales-Type</c:v>
                </c:pt>
                <c:pt idx="2">
                  <c:v>Lease Financing Recievables</c:v>
                </c:pt>
                <c:pt idx="3">
                  <c:v>Other Income</c:v>
                </c:pt>
                <c:pt idx="4">
                  <c:v>Golf Growth</c:v>
                </c:pt>
              </c:strCache>
            </c:strRef>
          </c:cat>
          <c:val>
            <c:numRef>
              <c:f>'Rev Build'!$D$19:$D$23</c:f>
              <c:numCache>
                <c:formatCode>0.00%</c:formatCode>
                <c:ptCount val="5"/>
                <c:pt idx="0">
                  <c:v>0.77371274430830539</c:v>
                </c:pt>
                <c:pt idx="1">
                  <c:v>0</c:v>
                </c:pt>
                <c:pt idx="2">
                  <c:v>0.18763116335269428</c:v>
                </c:pt>
                <c:pt idx="3">
                  <c:v>1.8421164200618984E-2</c:v>
                </c:pt>
                <c:pt idx="4">
                  <c:v>2.0234928138381313E-2</c:v>
                </c:pt>
              </c:numCache>
            </c:numRef>
          </c:val>
          <c:extLst>
            <c:ext xmlns:c16="http://schemas.microsoft.com/office/drawing/2014/chart" uri="{C3380CC4-5D6E-409C-BE32-E72D297353CC}">
              <c16:uniqueId val="{00000000-1F57-4737-8DA8-2300F2778C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BETA!$I$8:$I$9</c:f>
              <c:strCache>
                <c:ptCount val="2"/>
                <c:pt idx="0">
                  <c:v>VICI</c:v>
                </c:pt>
                <c:pt idx="1">
                  <c:v>GLPI</c:v>
                </c:pt>
              </c:strCache>
            </c:strRef>
          </c:cat>
          <c:val>
            <c:numRef>
              <c:f>BETA!$J$8:$J$9</c:f>
              <c:numCache>
                <c:formatCode>0.00</c:formatCode>
                <c:ptCount val="2"/>
                <c:pt idx="0">
                  <c:v>0.77874520655307489</c:v>
                </c:pt>
                <c:pt idx="1">
                  <c:v>0.72732869960177338</c:v>
                </c:pt>
              </c:numCache>
            </c:numRef>
          </c:val>
          <c:extLst>
            <c:ext xmlns:c16="http://schemas.microsoft.com/office/drawing/2014/chart" uri="{C3380CC4-5D6E-409C-BE32-E72D297353CC}">
              <c16:uniqueId val="{00000000-B2A4-4B48-BE23-F879631E8444}"/>
            </c:ext>
          </c:extLst>
        </c:ser>
        <c:dLbls>
          <c:showLegendKey val="0"/>
          <c:showVal val="0"/>
          <c:showCatName val="0"/>
          <c:showSerName val="0"/>
          <c:showPercent val="0"/>
          <c:showBubbleSize val="0"/>
        </c:dLbls>
        <c:gapWidth val="100"/>
        <c:overlap val="32"/>
        <c:axId val="394923248"/>
        <c:axId val="400406736"/>
      </c:barChart>
      <c:catAx>
        <c:axId val="3949232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400406736"/>
        <c:crosses val="autoZero"/>
        <c:auto val="1"/>
        <c:lblAlgn val="ctr"/>
        <c:lblOffset val="100"/>
        <c:noMultiLvlLbl val="0"/>
      </c:catAx>
      <c:valAx>
        <c:axId val="400406736"/>
        <c:scaling>
          <c:orientation val="minMax"/>
          <c:max val="0.8"/>
          <c:min val="0"/>
        </c:scaling>
        <c:delete val="1"/>
        <c:axPos val="l"/>
        <c:numFmt formatCode="0.00" sourceLinked="1"/>
        <c:majorTickMark val="out"/>
        <c:minorTickMark val="none"/>
        <c:tickLblPos val="nextTo"/>
        <c:crossAx val="39492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BETA!$V$7:$V$8</c:f>
              <c:strCache>
                <c:ptCount val="2"/>
                <c:pt idx="0">
                  <c:v>VICI</c:v>
                </c:pt>
                <c:pt idx="1">
                  <c:v>GLPI</c:v>
                </c:pt>
              </c:strCache>
            </c:strRef>
          </c:cat>
          <c:val>
            <c:numRef>
              <c:f>BETA!$W$7:$W$8</c:f>
              <c:numCache>
                <c:formatCode>0.00</c:formatCode>
                <c:ptCount val="2"/>
                <c:pt idx="0">
                  <c:v>0.70715751344431099</c:v>
                </c:pt>
                <c:pt idx="1">
                  <c:v>0.70868630603353022</c:v>
                </c:pt>
              </c:numCache>
            </c:numRef>
          </c:val>
          <c:extLst>
            <c:ext xmlns:c16="http://schemas.microsoft.com/office/drawing/2014/chart" uri="{C3380CC4-5D6E-409C-BE32-E72D297353CC}">
              <c16:uniqueId val="{00000000-5540-4973-8B5F-53B6ABF1796D}"/>
            </c:ext>
          </c:extLst>
        </c:ser>
        <c:dLbls>
          <c:dLblPos val="outEnd"/>
          <c:showLegendKey val="0"/>
          <c:showVal val="1"/>
          <c:showCatName val="0"/>
          <c:showSerName val="0"/>
          <c:showPercent val="0"/>
          <c:showBubbleSize val="0"/>
        </c:dLbls>
        <c:gapWidth val="100"/>
        <c:overlap val="-27"/>
        <c:axId val="691329136"/>
        <c:axId val="27478848"/>
      </c:barChart>
      <c:catAx>
        <c:axId val="69132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27478848"/>
        <c:crosses val="autoZero"/>
        <c:auto val="1"/>
        <c:lblAlgn val="ctr"/>
        <c:lblOffset val="100"/>
        <c:noMultiLvlLbl val="0"/>
      </c:catAx>
      <c:valAx>
        <c:axId val="27478848"/>
        <c:scaling>
          <c:orientation val="minMax"/>
          <c:max val="0.8"/>
          <c:min val="0"/>
        </c:scaling>
        <c:delete val="1"/>
        <c:axPos val="l"/>
        <c:numFmt formatCode="0.00" sourceLinked="1"/>
        <c:majorTickMark val="none"/>
        <c:minorTickMark val="none"/>
        <c:tickLblPos val="nextTo"/>
        <c:crossAx val="69132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BETA!$AA$29</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46-4EC9-B0D7-3B8110F64C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46-4EC9-B0D7-3B8110F64C01}"/>
              </c:ext>
            </c:extLst>
          </c:dPt>
          <c:cat>
            <c:strRef>
              <c:f>BETA!$Z$30:$Z$31</c:f>
              <c:strCache>
                <c:ptCount val="2"/>
                <c:pt idx="0">
                  <c:v>Las Vegas</c:v>
                </c:pt>
                <c:pt idx="1">
                  <c:v>Rest of USA</c:v>
                </c:pt>
              </c:strCache>
            </c:strRef>
          </c:cat>
          <c:val>
            <c:numRef>
              <c:f>BETA!$AA$30:$AA$31</c:f>
              <c:numCache>
                <c:formatCode>General</c:formatCode>
                <c:ptCount val="2"/>
                <c:pt idx="0">
                  <c:v>0.45</c:v>
                </c:pt>
                <c:pt idx="1">
                  <c:v>0.55000000000000004</c:v>
                </c:pt>
              </c:numCache>
            </c:numRef>
          </c:val>
          <c:extLst>
            <c:ext xmlns:c16="http://schemas.microsoft.com/office/drawing/2014/chart" uri="{C3380CC4-5D6E-409C-BE32-E72D297353CC}">
              <c16:uniqueId val="{00000000-D8A0-4B67-802C-1F997ECA488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3D-4CEC-B2CC-CDFAF0814F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3D-4CEC-B2CC-CDFAF0814F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3D-4CEC-B2CC-CDFAF0814F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3D-4CEC-B2CC-CDFAF0814FA7}"/>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other!$AO$67:$AO$70</c:f>
              <c:strCache>
                <c:ptCount val="4"/>
                <c:pt idx="0">
                  <c:v>Caesars </c:v>
                </c:pt>
                <c:pt idx="1">
                  <c:v>MGM</c:v>
                </c:pt>
                <c:pt idx="2">
                  <c:v>Venetian</c:v>
                </c:pt>
                <c:pt idx="3">
                  <c:v>Other</c:v>
                </c:pt>
              </c:strCache>
            </c:strRef>
          </c:cat>
          <c:val>
            <c:numRef>
              <c:f>other!$AP$67:$AP$70</c:f>
              <c:numCache>
                <c:formatCode>0%</c:formatCode>
                <c:ptCount val="4"/>
                <c:pt idx="0">
                  <c:v>0.39</c:v>
                </c:pt>
                <c:pt idx="1">
                  <c:v>0.36</c:v>
                </c:pt>
                <c:pt idx="2">
                  <c:v>0.09</c:v>
                </c:pt>
                <c:pt idx="3">
                  <c:v>0.16</c:v>
                </c:pt>
              </c:numCache>
            </c:numRef>
          </c:val>
          <c:extLst>
            <c:ext xmlns:c16="http://schemas.microsoft.com/office/drawing/2014/chart" uri="{C3380CC4-5D6E-409C-BE32-E72D297353CC}">
              <c16:uniqueId val="{00000000-3482-490C-9AE0-5793894EBDF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other!$R$80</c:f>
              <c:strCache>
                <c:ptCount val="1"/>
                <c:pt idx="0">
                  <c:v>VICI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other!$S$79:$U$79</c:f>
              <c:strCache>
                <c:ptCount val="3"/>
                <c:pt idx="0">
                  <c:v>2023 Q1</c:v>
                </c:pt>
                <c:pt idx="1">
                  <c:v>2023 Q2</c:v>
                </c:pt>
                <c:pt idx="2">
                  <c:v>2023 Q3</c:v>
                </c:pt>
              </c:strCache>
            </c:strRef>
          </c:cat>
          <c:val>
            <c:numRef>
              <c:f>other!$S$80:$U$80</c:f>
              <c:numCache>
                <c:formatCode>0.00%</c:formatCode>
                <c:ptCount val="3"/>
                <c:pt idx="0">
                  <c:v>0.06</c:v>
                </c:pt>
                <c:pt idx="1">
                  <c:v>6.0900000000000003E-2</c:v>
                </c:pt>
                <c:pt idx="2">
                  <c:v>6.1800000000000001E-2</c:v>
                </c:pt>
              </c:numCache>
            </c:numRef>
          </c:val>
          <c:extLst>
            <c:ext xmlns:c16="http://schemas.microsoft.com/office/drawing/2014/chart" uri="{C3380CC4-5D6E-409C-BE32-E72D297353CC}">
              <c16:uniqueId val="{00000000-D516-4E03-99E1-BFF4CFD8809F}"/>
            </c:ext>
          </c:extLst>
        </c:ser>
        <c:ser>
          <c:idx val="1"/>
          <c:order val="1"/>
          <c:tx>
            <c:strRef>
              <c:f>other!$R$81</c:f>
              <c:strCache>
                <c:ptCount val="1"/>
                <c:pt idx="0">
                  <c:v>GLPI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other!$S$79:$U$79</c:f>
              <c:strCache>
                <c:ptCount val="3"/>
                <c:pt idx="0">
                  <c:v>2023 Q1</c:v>
                </c:pt>
                <c:pt idx="1">
                  <c:v>2023 Q2</c:v>
                </c:pt>
                <c:pt idx="2">
                  <c:v>2023 Q3</c:v>
                </c:pt>
              </c:strCache>
            </c:strRef>
          </c:cat>
          <c:val>
            <c:numRef>
              <c:f>other!$S$81:$U$81</c:f>
              <c:numCache>
                <c:formatCode>0.00%</c:formatCode>
                <c:ptCount val="3"/>
                <c:pt idx="0">
                  <c:v>6.6500000000000004E-2</c:v>
                </c:pt>
                <c:pt idx="1">
                  <c:v>6.7100000000000007E-2</c:v>
                </c:pt>
                <c:pt idx="2">
                  <c:v>6.9800000000000001E-2</c:v>
                </c:pt>
              </c:numCache>
            </c:numRef>
          </c:val>
          <c:extLst>
            <c:ext xmlns:c16="http://schemas.microsoft.com/office/drawing/2014/chart" uri="{C3380CC4-5D6E-409C-BE32-E72D297353CC}">
              <c16:uniqueId val="{00000001-D516-4E03-99E1-BFF4CFD8809F}"/>
            </c:ext>
          </c:extLst>
        </c:ser>
        <c:dLbls>
          <c:dLblPos val="outEnd"/>
          <c:showLegendKey val="0"/>
          <c:showVal val="1"/>
          <c:showCatName val="0"/>
          <c:showSerName val="0"/>
          <c:showPercent val="0"/>
          <c:showBubbleSize val="0"/>
        </c:dLbls>
        <c:gapWidth val="219"/>
        <c:overlap val="-27"/>
        <c:axId val="1631259183"/>
        <c:axId val="1623214623"/>
      </c:barChart>
      <c:catAx>
        <c:axId val="1631259183"/>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1623214623"/>
        <c:crosses val="autoZero"/>
        <c:auto val="1"/>
        <c:lblAlgn val="ctr"/>
        <c:lblOffset val="100"/>
        <c:noMultiLvlLbl val="0"/>
      </c:catAx>
      <c:valAx>
        <c:axId val="1623214623"/>
        <c:scaling>
          <c:orientation val="minMax"/>
        </c:scaling>
        <c:delete val="1"/>
        <c:axPos val="l"/>
        <c:numFmt formatCode="0.00%" sourceLinked="1"/>
        <c:majorTickMark val="out"/>
        <c:minorTickMark val="none"/>
        <c:tickLblPos val="nextTo"/>
        <c:crossAx val="1631259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other!$R$80</c:f>
              <c:strCache>
                <c:ptCount val="1"/>
                <c:pt idx="0">
                  <c:v>VICI</c:v>
                </c:pt>
              </c:strCache>
            </c:strRef>
          </c:tx>
          <c:spPr>
            <a:solidFill>
              <a:schemeClr val="accent1"/>
            </a:solidFill>
            <a:ln>
              <a:noFill/>
            </a:ln>
            <a:effectLst/>
          </c:spPr>
          <c:invertIfNegative val="0"/>
          <c:cat>
            <c:strRef>
              <c:f>other!$S$79:$U$79</c:f>
              <c:strCache>
                <c:ptCount val="3"/>
                <c:pt idx="0">
                  <c:v>2023 Q1</c:v>
                </c:pt>
                <c:pt idx="1">
                  <c:v>2023 Q2</c:v>
                </c:pt>
                <c:pt idx="2">
                  <c:v>2023 Q3</c:v>
                </c:pt>
              </c:strCache>
            </c:strRef>
          </c:cat>
          <c:val>
            <c:numRef>
              <c:f>other!$S$80:$U$80</c:f>
              <c:numCache>
                <c:formatCode>0.00%</c:formatCode>
                <c:ptCount val="3"/>
                <c:pt idx="0">
                  <c:v>0.06</c:v>
                </c:pt>
                <c:pt idx="1">
                  <c:v>6.0900000000000003E-2</c:v>
                </c:pt>
                <c:pt idx="2">
                  <c:v>6.1800000000000001E-2</c:v>
                </c:pt>
              </c:numCache>
            </c:numRef>
          </c:val>
          <c:extLst>
            <c:ext xmlns:c16="http://schemas.microsoft.com/office/drawing/2014/chart" uri="{C3380CC4-5D6E-409C-BE32-E72D297353CC}">
              <c16:uniqueId val="{00000000-B014-49D4-9978-74BACA948CC2}"/>
            </c:ext>
          </c:extLst>
        </c:ser>
        <c:ser>
          <c:idx val="1"/>
          <c:order val="1"/>
          <c:tx>
            <c:strRef>
              <c:f>other!$R$81</c:f>
              <c:strCache>
                <c:ptCount val="1"/>
                <c:pt idx="0">
                  <c:v>GLPI  </c:v>
                </c:pt>
              </c:strCache>
            </c:strRef>
          </c:tx>
          <c:spPr>
            <a:solidFill>
              <a:schemeClr val="accent2"/>
            </a:solidFill>
            <a:ln>
              <a:noFill/>
            </a:ln>
            <a:effectLst/>
          </c:spPr>
          <c:invertIfNegative val="0"/>
          <c:cat>
            <c:strRef>
              <c:f>other!$S$79:$U$79</c:f>
              <c:strCache>
                <c:ptCount val="3"/>
                <c:pt idx="0">
                  <c:v>2023 Q1</c:v>
                </c:pt>
                <c:pt idx="1">
                  <c:v>2023 Q2</c:v>
                </c:pt>
                <c:pt idx="2">
                  <c:v>2023 Q3</c:v>
                </c:pt>
              </c:strCache>
            </c:strRef>
          </c:cat>
          <c:val>
            <c:numRef>
              <c:f>other!$S$81:$U$81</c:f>
              <c:numCache>
                <c:formatCode>0.00%</c:formatCode>
                <c:ptCount val="3"/>
                <c:pt idx="0">
                  <c:v>6.6500000000000004E-2</c:v>
                </c:pt>
                <c:pt idx="1">
                  <c:v>6.7100000000000007E-2</c:v>
                </c:pt>
                <c:pt idx="2">
                  <c:v>6.9800000000000001E-2</c:v>
                </c:pt>
              </c:numCache>
            </c:numRef>
          </c:val>
          <c:extLst>
            <c:ext xmlns:c16="http://schemas.microsoft.com/office/drawing/2014/chart" uri="{C3380CC4-5D6E-409C-BE32-E72D297353CC}">
              <c16:uniqueId val="{00000001-B014-49D4-9978-74BACA948CC2}"/>
            </c:ext>
          </c:extLst>
        </c:ser>
        <c:dLbls>
          <c:showLegendKey val="0"/>
          <c:showVal val="0"/>
          <c:showCatName val="0"/>
          <c:showSerName val="0"/>
          <c:showPercent val="0"/>
          <c:showBubbleSize val="0"/>
        </c:dLbls>
        <c:gapWidth val="219"/>
        <c:overlap val="-27"/>
        <c:axId val="1434803903"/>
        <c:axId val="1623216703"/>
      </c:barChart>
      <c:catAx>
        <c:axId val="143480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216703"/>
        <c:crosses val="autoZero"/>
        <c:auto val="1"/>
        <c:lblAlgn val="ctr"/>
        <c:lblOffset val="100"/>
        <c:noMultiLvlLbl val="0"/>
      </c:catAx>
      <c:valAx>
        <c:axId val="162321670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480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Garamond" panose="02020404030301010803" pitchFamily="18" charset="0"/>
                <a:ea typeface="+mn-ea"/>
                <a:cs typeface="+mn-cs"/>
              </a:defRPr>
            </a:pPr>
            <a:r>
              <a:rPr lang="en-US"/>
              <a:t>Decrease in Stock from</a:t>
            </a:r>
            <a:r>
              <a:rPr lang="en-US" baseline="0"/>
              <a:t> start of cyber attacks</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Garamond" panose="02020404030301010803" pitchFamily="18" charset="0"/>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stock!$K$2:$M$2</c:f>
              <c:strCache>
                <c:ptCount val="3"/>
                <c:pt idx="0">
                  <c:v>CZR</c:v>
                </c:pt>
                <c:pt idx="1">
                  <c:v>MGM</c:v>
                </c:pt>
                <c:pt idx="2">
                  <c:v>VICI</c:v>
                </c:pt>
              </c:strCache>
            </c:strRef>
          </c:cat>
          <c:val>
            <c:numRef>
              <c:f>stock!$K$3:$M$3</c:f>
              <c:numCache>
                <c:formatCode>0.0%</c:formatCode>
                <c:ptCount val="3"/>
                <c:pt idx="0">
                  <c:v>0.1700782221779597</c:v>
                </c:pt>
                <c:pt idx="1">
                  <c:v>0.16080057141015491</c:v>
                </c:pt>
                <c:pt idx="2">
                  <c:v>7.1161681821629796E-2</c:v>
                </c:pt>
              </c:numCache>
            </c:numRef>
          </c:val>
          <c:extLst>
            <c:ext xmlns:c16="http://schemas.microsoft.com/office/drawing/2014/chart" uri="{C3380CC4-5D6E-409C-BE32-E72D297353CC}">
              <c16:uniqueId val="{00000000-4692-4C42-BCE5-CF40F1FCEC9C}"/>
            </c:ext>
          </c:extLst>
        </c:ser>
        <c:dLbls>
          <c:showLegendKey val="0"/>
          <c:showVal val="0"/>
          <c:showCatName val="0"/>
          <c:showSerName val="0"/>
          <c:showPercent val="0"/>
          <c:showBubbleSize val="0"/>
        </c:dLbls>
        <c:gapWidth val="219"/>
        <c:overlap val="-27"/>
        <c:axId val="31699152"/>
        <c:axId val="394066544"/>
      </c:barChart>
      <c:catAx>
        <c:axId val="31699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394066544"/>
        <c:crosses val="autoZero"/>
        <c:auto val="1"/>
        <c:lblAlgn val="ctr"/>
        <c:lblOffset val="100"/>
        <c:noMultiLvlLbl val="0"/>
      </c:catAx>
      <c:valAx>
        <c:axId val="394066544"/>
        <c:scaling>
          <c:orientation val="minMax"/>
        </c:scaling>
        <c:delete val="1"/>
        <c:axPos val="l"/>
        <c:numFmt formatCode="0.0%" sourceLinked="1"/>
        <c:majorTickMark val="none"/>
        <c:minorTickMark val="none"/>
        <c:tickLblPos val="nextTo"/>
        <c:crossAx val="3169915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latin typeface="Garamond" panose="02020404030301010803" pitchFamily="18"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Sheet3!$G$2</c:f>
              <c:strCache>
                <c:ptCount val="1"/>
                <c:pt idx="0">
                  <c:v>VICI</c:v>
                </c:pt>
              </c:strCache>
            </c:strRef>
          </c:tx>
          <c:spPr>
            <a:ln w="28575" cap="rnd">
              <a:solidFill>
                <a:schemeClr val="accent1"/>
              </a:solidFill>
              <a:round/>
            </a:ln>
            <a:effectLst/>
          </c:spPr>
          <c:marker>
            <c:symbol val="none"/>
          </c:marker>
          <c:cat>
            <c:numRef>
              <c:f>Sheet3!$F$3:$F$26</c:f>
              <c:numCache>
                <c:formatCode>[$-409]mmmmm\-yy;@</c:formatCode>
                <c:ptCount val="24"/>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numCache>
            </c:numRef>
          </c:cat>
          <c:val>
            <c:numRef>
              <c:f>Sheet3!$G$3:$G$26</c:f>
              <c:numCache>
                <c:formatCode>0%</c:formatCode>
                <c:ptCount val="24"/>
                <c:pt idx="0">
                  <c:v>-2.3060767491656885E-2</c:v>
                </c:pt>
                <c:pt idx="1">
                  <c:v>-5.5905593236320987E-3</c:v>
                </c:pt>
                <c:pt idx="2">
                  <c:v>5.5339522257571744E-2</c:v>
                </c:pt>
                <c:pt idx="3">
                  <c:v>9.2157892778956182E-2</c:v>
                </c:pt>
                <c:pt idx="4">
                  <c:v>5.4631643815809754E-2</c:v>
                </c:pt>
                <c:pt idx="5">
                  <c:v>0.22517217284069943</c:v>
                </c:pt>
                <c:pt idx="6">
                  <c:v>0.18217132914230677</c:v>
                </c:pt>
                <c:pt idx="7">
                  <c:v>6.9651646162141964E-2</c:v>
                </c:pt>
                <c:pt idx="8">
                  <c:v>0.16114283913065494</c:v>
                </c:pt>
                <c:pt idx="9">
                  <c:v>0.24019638576002747</c:v>
                </c:pt>
                <c:pt idx="10">
                  <c:v>0.17492284704421451</c:v>
                </c:pt>
                <c:pt idx="11">
                  <c:v>0.25424011460793405</c:v>
                </c:pt>
                <c:pt idx="12">
                  <c:v>0.23038822294234612</c:v>
                </c:pt>
                <c:pt idx="13">
                  <c:v>0.19699571367531915</c:v>
                </c:pt>
                <c:pt idx="14">
                  <c:v>0.2610311121556424</c:v>
                </c:pt>
                <c:pt idx="15">
                  <c:v>0.14919547345633541</c:v>
                </c:pt>
                <c:pt idx="16">
                  <c:v>0.16777294643498322</c:v>
                </c:pt>
                <c:pt idx="17">
                  <c:v>0.18410251424129742</c:v>
                </c:pt>
                <c:pt idx="18">
                  <c:v>0.16002931640420315</c:v>
                </c:pt>
                <c:pt idx="19">
                  <c:v>9.4580169754078944E-2</c:v>
                </c:pt>
                <c:pt idx="20">
                  <c:v>6.3687157053175319E-2</c:v>
                </c:pt>
                <c:pt idx="21">
                  <c:v>0.13955588807493488</c:v>
                </c:pt>
                <c:pt idx="22">
                  <c:v>0.2154245804675845</c:v>
                </c:pt>
                <c:pt idx="23">
                  <c:v>0.16350883349242731</c:v>
                </c:pt>
              </c:numCache>
            </c:numRef>
          </c:val>
          <c:smooth val="0"/>
          <c:extLst>
            <c:ext xmlns:c16="http://schemas.microsoft.com/office/drawing/2014/chart" uri="{C3380CC4-5D6E-409C-BE32-E72D297353CC}">
              <c16:uniqueId val="{00000000-D479-4658-8C1E-BEF8AB065773}"/>
            </c:ext>
          </c:extLst>
        </c:ser>
        <c:ser>
          <c:idx val="1"/>
          <c:order val="1"/>
          <c:tx>
            <c:strRef>
              <c:f>Sheet3!$H$2</c:f>
              <c:strCache>
                <c:ptCount val="1"/>
                <c:pt idx="0">
                  <c:v>XLRE</c:v>
                </c:pt>
              </c:strCache>
            </c:strRef>
          </c:tx>
          <c:spPr>
            <a:ln w="28575" cap="rnd">
              <a:solidFill>
                <a:schemeClr val="accent2"/>
              </a:solidFill>
              <a:round/>
            </a:ln>
            <a:effectLst/>
          </c:spPr>
          <c:marker>
            <c:symbol val="none"/>
          </c:marker>
          <c:cat>
            <c:numRef>
              <c:f>Sheet3!$F$3:$F$26</c:f>
              <c:numCache>
                <c:formatCode>[$-409]mmmmm\-yy;@</c:formatCode>
                <c:ptCount val="24"/>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numCache>
            </c:numRef>
          </c:cat>
          <c:val>
            <c:numRef>
              <c:f>Sheet3!$H$3:$H$26</c:f>
              <c:numCache>
                <c:formatCode>0%</c:formatCode>
                <c:ptCount val="24"/>
                <c:pt idx="0">
                  <c:v>-4.7951018985895558E-2</c:v>
                </c:pt>
                <c:pt idx="1">
                  <c:v>2.0701278686293321E-2</c:v>
                </c:pt>
                <c:pt idx="2">
                  <c:v>-9.9931282344262566E-3</c:v>
                </c:pt>
                <c:pt idx="3">
                  <c:v>-6.0555594720589717E-2</c:v>
                </c:pt>
                <c:pt idx="4">
                  <c:v>-0.13193817068139968</c:v>
                </c:pt>
                <c:pt idx="5">
                  <c:v>-5.04253209506626E-2</c:v>
                </c:pt>
                <c:pt idx="6">
                  <c:v>-0.1037504391351147</c:v>
                </c:pt>
                <c:pt idx="7">
                  <c:v>-0.22881849687134778</c:v>
                </c:pt>
                <c:pt idx="8">
                  <c:v>-0.20623865487441451</c:v>
                </c:pt>
                <c:pt idx="9">
                  <c:v>-0.1519956939290168</c:v>
                </c:pt>
                <c:pt idx="10">
                  <c:v>-0.20191632927008565</c:v>
                </c:pt>
                <c:pt idx="11">
                  <c:v>-0.11286158438545787</c:v>
                </c:pt>
                <c:pt idx="12">
                  <c:v>-0.16487913376181246</c:v>
                </c:pt>
                <c:pt idx="13">
                  <c:v>-0.18301956254966092</c:v>
                </c:pt>
                <c:pt idx="14">
                  <c:v>-0.16906164245837432</c:v>
                </c:pt>
                <c:pt idx="15">
                  <c:v>-0.20670136824518065</c:v>
                </c:pt>
                <c:pt idx="16">
                  <c:v>-0.17038225118533101</c:v>
                </c:pt>
                <c:pt idx="17">
                  <c:v>-0.15129246649929401</c:v>
                </c:pt>
                <c:pt idx="18">
                  <c:v>-0.1772937251231288</c:v>
                </c:pt>
                <c:pt idx="19">
                  <c:v>-0.2428524378784831</c:v>
                </c:pt>
                <c:pt idx="20">
                  <c:v>-0.25854430495806247</c:v>
                </c:pt>
                <c:pt idx="21">
                  <c:v>-0.16603031409859273</c:v>
                </c:pt>
                <c:pt idx="22">
                  <c:v>-0.10263690703629048</c:v>
                </c:pt>
                <c:pt idx="23">
                  <c:v>-0.13678451538613084</c:v>
                </c:pt>
              </c:numCache>
            </c:numRef>
          </c:val>
          <c:smooth val="0"/>
          <c:extLst>
            <c:ext xmlns:c16="http://schemas.microsoft.com/office/drawing/2014/chart" uri="{C3380CC4-5D6E-409C-BE32-E72D297353CC}">
              <c16:uniqueId val="{00000001-D479-4658-8C1E-BEF8AB065773}"/>
            </c:ext>
          </c:extLst>
        </c:ser>
        <c:ser>
          <c:idx val="2"/>
          <c:order val="2"/>
          <c:tx>
            <c:strRef>
              <c:f>Sheet3!$I$2</c:f>
              <c:strCache>
                <c:ptCount val="1"/>
                <c:pt idx="0">
                  <c:v>GLPI</c:v>
                </c:pt>
              </c:strCache>
            </c:strRef>
          </c:tx>
          <c:spPr>
            <a:ln w="28575" cap="rnd">
              <a:solidFill>
                <a:schemeClr val="accent3"/>
              </a:solidFill>
              <a:round/>
            </a:ln>
            <a:effectLst/>
          </c:spPr>
          <c:marker>
            <c:symbol val="none"/>
          </c:marker>
          <c:cat>
            <c:numRef>
              <c:f>Sheet3!$F$3:$F$26</c:f>
              <c:numCache>
                <c:formatCode>[$-409]mmmmm\-yy;@</c:formatCode>
                <c:ptCount val="24"/>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numCache>
            </c:numRef>
          </c:cat>
          <c:val>
            <c:numRef>
              <c:f>Sheet3!$I$3:$I$26</c:f>
              <c:numCache>
                <c:formatCode>0%</c:formatCode>
                <c:ptCount val="24"/>
                <c:pt idx="0">
                  <c:v>5.0908818773677455E-3</c:v>
                </c:pt>
                <c:pt idx="1">
                  <c:v>3.8733819915358875E-2</c:v>
                </c:pt>
                <c:pt idx="2">
                  <c:v>-2.5709615867754829E-3</c:v>
                </c:pt>
                <c:pt idx="3">
                  <c:v>5.2267312116601267E-2</c:v>
                </c:pt>
                <c:pt idx="4">
                  <c:v>3.0691541324915576E-2</c:v>
                </c:pt>
                <c:pt idx="5">
                  <c:v>0.18596443841413932</c:v>
                </c:pt>
                <c:pt idx="6">
                  <c:v>0.10110608388504551</c:v>
                </c:pt>
                <c:pt idx="7">
                  <c:v>9.176210226751115E-3</c:v>
                </c:pt>
                <c:pt idx="8">
                  <c:v>0.16012579454888451</c:v>
                </c:pt>
                <c:pt idx="9">
                  <c:v>0.2177615662089222</c:v>
                </c:pt>
                <c:pt idx="10">
                  <c:v>0.20572529369429279</c:v>
                </c:pt>
                <c:pt idx="11">
                  <c:v>0.25680710796791362</c:v>
                </c:pt>
                <c:pt idx="12">
                  <c:v>0.26431610249662174</c:v>
                </c:pt>
                <c:pt idx="13">
                  <c:v>0.22160898512781102</c:v>
                </c:pt>
                <c:pt idx="14">
                  <c:v>0.24237819345856032</c:v>
                </c:pt>
                <c:pt idx="15">
                  <c:v>0.15015549473426043</c:v>
                </c:pt>
                <c:pt idx="16">
                  <c:v>0.15780084101158637</c:v>
                </c:pt>
                <c:pt idx="17">
                  <c:v>0.15043229753246329</c:v>
                </c:pt>
                <c:pt idx="18">
                  <c:v>0.14897789554436214</c:v>
                </c:pt>
                <c:pt idx="19">
                  <c:v>0.10413376758928181</c:v>
                </c:pt>
                <c:pt idx="20">
                  <c:v>0.11700932198536841</c:v>
                </c:pt>
                <c:pt idx="21">
                  <c:v>0.14998567369299351</c:v>
                </c:pt>
                <c:pt idx="22">
                  <c:v>0.21446155394351366</c:v>
                </c:pt>
                <c:pt idx="23">
                  <c:v>0.14105547151571973</c:v>
                </c:pt>
              </c:numCache>
            </c:numRef>
          </c:val>
          <c:smooth val="0"/>
          <c:extLst>
            <c:ext xmlns:c16="http://schemas.microsoft.com/office/drawing/2014/chart" uri="{C3380CC4-5D6E-409C-BE32-E72D297353CC}">
              <c16:uniqueId val="{00000000-5CEE-457B-9828-1209965A5C16}"/>
            </c:ext>
          </c:extLst>
        </c:ser>
        <c:dLbls>
          <c:showLegendKey val="0"/>
          <c:showVal val="0"/>
          <c:showCatName val="0"/>
          <c:showSerName val="0"/>
          <c:showPercent val="0"/>
          <c:showBubbleSize val="0"/>
        </c:dLbls>
        <c:smooth val="0"/>
        <c:axId val="412239135"/>
        <c:axId val="662915775"/>
      </c:lineChart>
      <c:dateAx>
        <c:axId val="412239135"/>
        <c:scaling>
          <c:orientation val="minMax"/>
        </c:scaling>
        <c:delete val="0"/>
        <c:axPos val="b"/>
        <c:numFmt formatCode="[$-409]mmmmm\-yy;@"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662915775"/>
        <c:crosses val="autoZero"/>
        <c:auto val="1"/>
        <c:lblOffset val="100"/>
        <c:baseTimeUnit val="months"/>
        <c:majorUnit val="3"/>
        <c:majorTimeUnit val="months"/>
      </c:dateAx>
      <c:valAx>
        <c:axId val="66291577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412239135"/>
        <c:crosses val="autoZero"/>
        <c:crossBetween val="between"/>
      </c:valAx>
      <c:spPr>
        <a:noFill/>
        <a:ln>
          <a:noFill/>
        </a:ln>
        <a:effectLst/>
      </c:spPr>
    </c:plotArea>
    <c:legend>
      <c:legendPos val="b"/>
      <c:layout>
        <c:manualLayout>
          <c:xMode val="edge"/>
          <c:yMode val="edge"/>
          <c:x val="0.3742668895840075"/>
          <c:y val="0.89689451673917764"/>
          <c:w val="0.43527451191888683"/>
          <c:h val="7.9789701812613342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Sheet1!$B$4:$F$4</c:f>
              <c:strCache>
                <c:ptCount val="5"/>
                <c:pt idx="0">
                  <c:v>2023</c:v>
                </c:pt>
                <c:pt idx="1">
                  <c:v>2026E</c:v>
                </c:pt>
                <c:pt idx="2">
                  <c:v>2032E</c:v>
                </c:pt>
                <c:pt idx="3">
                  <c:v>2033E</c:v>
                </c:pt>
                <c:pt idx="4">
                  <c:v>2035E</c:v>
                </c:pt>
              </c:strCache>
            </c:strRef>
          </c:cat>
          <c:val>
            <c:numRef>
              <c:f>Sheet1!$B$5:$F$5</c:f>
              <c:numCache>
                <c:formatCode>0%</c:formatCode>
                <c:ptCount val="5"/>
                <c:pt idx="0">
                  <c:v>0.5</c:v>
                </c:pt>
                <c:pt idx="1">
                  <c:v>0.55000000000000004</c:v>
                </c:pt>
                <c:pt idx="2">
                  <c:v>0.82</c:v>
                </c:pt>
                <c:pt idx="3">
                  <c:v>0.85</c:v>
                </c:pt>
                <c:pt idx="4">
                  <c:v>0.96</c:v>
                </c:pt>
              </c:numCache>
            </c:numRef>
          </c:val>
          <c:extLst>
            <c:ext xmlns:c16="http://schemas.microsoft.com/office/drawing/2014/chart" uri="{C3380CC4-5D6E-409C-BE32-E72D297353CC}">
              <c16:uniqueId val="{00000000-E6B9-439A-B660-3BB9CED9218C}"/>
            </c:ext>
          </c:extLst>
        </c:ser>
        <c:dLbls>
          <c:dLblPos val="outEnd"/>
          <c:showLegendKey val="0"/>
          <c:showVal val="1"/>
          <c:showCatName val="0"/>
          <c:showSerName val="0"/>
          <c:showPercent val="0"/>
          <c:showBubbleSize val="0"/>
        </c:dLbls>
        <c:gapWidth val="219"/>
        <c:overlap val="-27"/>
        <c:axId val="2132608608"/>
        <c:axId val="1821712112"/>
      </c:barChart>
      <c:catAx>
        <c:axId val="2132608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821712112"/>
        <c:crosses val="autoZero"/>
        <c:auto val="1"/>
        <c:lblAlgn val="ctr"/>
        <c:lblOffset val="100"/>
        <c:noMultiLvlLbl val="0"/>
      </c:catAx>
      <c:valAx>
        <c:axId val="1821712112"/>
        <c:scaling>
          <c:orientation val="minMax"/>
          <c:max val="1"/>
        </c:scaling>
        <c:delete val="1"/>
        <c:axPos val="l"/>
        <c:numFmt formatCode="0%" sourceLinked="1"/>
        <c:majorTickMark val="none"/>
        <c:minorTickMark val="none"/>
        <c:tickLblPos val="nextTo"/>
        <c:crossAx val="213260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i="0" baseline="0">
          <a:latin typeface="Garamond" panose="02020404030301010803"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5.0925925925925923E-2"/>
          <c:w val="0.99722222222222223"/>
          <c:h val="0.87666703120443279"/>
        </c:manualLayout>
      </c:layout>
      <c:barChart>
        <c:barDir val="col"/>
        <c:grouping val="clustered"/>
        <c:varyColors val="0"/>
        <c:ser>
          <c:idx val="0"/>
          <c:order val="0"/>
          <c:tx>
            <c:strRef>
              <c:f>Sheet1!$V$39</c:f>
              <c:strCache>
                <c:ptCount val="1"/>
                <c:pt idx="0">
                  <c:v>Years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(Sheet1!$U$40:$U$43,Sheet1!$U$49)</c:f>
              <c:strCache>
                <c:ptCount val="5"/>
                <c:pt idx="0">
                  <c:v>Caesars</c:v>
                </c:pt>
                <c:pt idx="1">
                  <c:v>MGM</c:v>
                </c:pt>
                <c:pt idx="2">
                  <c:v>Venetian</c:v>
                </c:pt>
                <c:pt idx="3">
                  <c:v>Hard Rock Seminole</c:v>
                </c:pt>
                <c:pt idx="4">
                  <c:v>Average</c:v>
                </c:pt>
              </c:strCache>
            </c:strRef>
          </c:cat>
          <c:val>
            <c:numRef>
              <c:f>(Sheet1!$V$40:$V$43,Sheet1!$V$49)</c:f>
              <c:numCache>
                <c:formatCode>0</c:formatCode>
                <c:ptCount val="5"/>
                <c:pt idx="0">
                  <c:v>30.9</c:v>
                </c:pt>
                <c:pt idx="1">
                  <c:v>51.4</c:v>
                </c:pt>
                <c:pt idx="2">
                  <c:v>47.4</c:v>
                </c:pt>
                <c:pt idx="3">
                  <c:v>45.4</c:v>
                </c:pt>
                <c:pt idx="4">
                  <c:v>39.222222222222221</c:v>
                </c:pt>
              </c:numCache>
            </c:numRef>
          </c:val>
          <c:extLst>
            <c:ext xmlns:c16="http://schemas.microsoft.com/office/drawing/2014/chart" uri="{C3380CC4-5D6E-409C-BE32-E72D297353CC}">
              <c16:uniqueId val="{00000000-C204-4629-A949-53ED94DA57BC}"/>
            </c:ext>
          </c:extLst>
        </c:ser>
        <c:dLbls>
          <c:dLblPos val="outEnd"/>
          <c:showLegendKey val="0"/>
          <c:showVal val="1"/>
          <c:showCatName val="0"/>
          <c:showSerName val="0"/>
          <c:showPercent val="0"/>
          <c:showBubbleSize val="0"/>
        </c:dLbls>
        <c:gapWidth val="219"/>
        <c:overlap val="-27"/>
        <c:axId val="2130768512"/>
        <c:axId val="139887551"/>
      </c:barChart>
      <c:catAx>
        <c:axId val="2130768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Garamond" panose="02020404030301010803" pitchFamily="18" charset="0"/>
                <a:ea typeface="+mn-ea"/>
                <a:cs typeface="+mn-cs"/>
              </a:defRPr>
            </a:pPr>
            <a:endParaRPr lang="en-US"/>
          </a:p>
        </c:txPr>
        <c:crossAx val="139887551"/>
        <c:crosses val="autoZero"/>
        <c:auto val="1"/>
        <c:lblAlgn val="ctr"/>
        <c:lblOffset val="100"/>
        <c:noMultiLvlLbl val="0"/>
      </c:catAx>
      <c:valAx>
        <c:axId val="139887551"/>
        <c:scaling>
          <c:orientation val="minMax"/>
          <c:max val="55"/>
        </c:scaling>
        <c:delete val="1"/>
        <c:axPos val="l"/>
        <c:numFmt formatCode="0" sourceLinked="1"/>
        <c:majorTickMark val="out"/>
        <c:minorTickMark val="none"/>
        <c:tickLblPos val="nextTo"/>
        <c:crossAx val="213076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i="0" baseline="0">
          <a:latin typeface="Garamond" panose="02020404030301010803"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12-42AA-AF7E-961F399B2E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12-42AA-AF7E-961F399B2E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12-42AA-AF7E-961F399B2E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12-42AA-AF7E-961F399B2EDD}"/>
              </c:ext>
            </c:extLst>
          </c:dPt>
          <c:dPt>
            <c:idx val="4"/>
            <c:bubble3D val="0"/>
            <c:spPr>
              <a:solidFill>
                <a:schemeClr val="accent5"/>
              </a:solidFill>
              <a:ln w="19050">
                <a:solidFill>
                  <a:schemeClr val="lt1"/>
                </a:solidFill>
              </a:ln>
              <a:effectLst/>
            </c:spPr>
          </c:dPt>
          <c:cat>
            <c:strRef>
              <c:f>'Rev Build'!$B$19:$B$23</c:f>
              <c:strCache>
                <c:ptCount val="5"/>
                <c:pt idx="0">
                  <c:v>Sales-Type</c:v>
                </c:pt>
                <c:pt idx="2">
                  <c:v>Lease Financing Recievables</c:v>
                </c:pt>
                <c:pt idx="3">
                  <c:v>Other Income</c:v>
                </c:pt>
                <c:pt idx="4">
                  <c:v>Golf Growth</c:v>
                </c:pt>
              </c:strCache>
            </c:strRef>
          </c:cat>
          <c:val>
            <c:numRef>
              <c:f>'Rev Build'!$E$19:$E$23</c:f>
              <c:numCache>
                <c:formatCode>0.00%</c:formatCode>
                <c:ptCount val="5"/>
                <c:pt idx="0">
                  <c:v>0.56302022111764649</c:v>
                </c:pt>
                <c:pt idx="1">
                  <c:v>0</c:v>
                </c:pt>
                <c:pt idx="2">
                  <c:v>0.40036536359291375</c:v>
                </c:pt>
                <c:pt idx="3">
                  <c:v>2.2928084278945222E-2</c:v>
                </c:pt>
                <c:pt idx="4">
                  <c:v>1.3686331010494494E-2</c:v>
                </c:pt>
              </c:numCache>
            </c:numRef>
          </c:val>
          <c:extLst>
            <c:ext xmlns:c16="http://schemas.microsoft.com/office/drawing/2014/chart" uri="{C3380CC4-5D6E-409C-BE32-E72D297353CC}">
              <c16:uniqueId val="{00000000-A29C-41C9-A8D4-F608D63C45B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555555555558E-3"/>
          <c:y val="0"/>
          <c:w val="0.99444444444444446"/>
          <c:h val="0.99526064450277063"/>
        </c:manualLayout>
      </c:layout>
      <c:barChart>
        <c:barDir val="col"/>
        <c:grouping val="clustered"/>
        <c:varyColors val="0"/>
        <c:ser>
          <c:idx val="0"/>
          <c:order val="0"/>
          <c:tx>
            <c:strRef>
              <c:f>graphs!$Q$44</c:f>
              <c:strCache>
                <c:ptCount val="1"/>
                <c:pt idx="0">
                  <c:v>Real Estate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graphs!$P$45:$P$49</c:f>
              <c:strCache>
                <c:ptCount val="5"/>
                <c:pt idx="0">
                  <c:v>Value</c:v>
                </c:pt>
                <c:pt idx="1">
                  <c:v>Earnings Yield</c:v>
                </c:pt>
                <c:pt idx="2">
                  <c:v>Div Yield</c:v>
                </c:pt>
                <c:pt idx="3">
                  <c:v>Profitability</c:v>
                </c:pt>
                <c:pt idx="4">
                  <c:v>Growth</c:v>
                </c:pt>
              </c:strCache>
            </c:strRef>
          </c:cat>
          <c:val>
            <c:numRef>
              <c:f>graphs!$Q$45:$Q$49</c:f>
              <c:numCache>
                <c:formatCode>General</c:formatCode>
                <c:ptCount val="5"/>
                <c:pt idx="0">
                  <c:v>-0.63</c:v>
                </c:pt>
                <c:pt idx="1">
                  <c:v>-0.51</c:v>
                </c:pt>
                <c:pt idx="2">
                  <c:v>0.19</c:v>
                </c:pt>
                <c:pt idx="3">
                  <c:v>0.11</c:v>
                </c:pt>
                <c:pt idx="4">
                  <c:v>0.42</c:v>
                </c:pt>
              </c:numCache>
            </c:numRef>
          </c:val>
          <c:extLst>
            <c:ext xmlns:c16="http://schemas.microsoft.com/office/drawing/2014/chart" uri="{C3380CC4-5D6E-409C-BE32-E72D297353CC}">
              <c16:uniqueId val="{00000000-E02F-43F1-B45E-C34DE26913DC}"/>
            </c:ext>
          </c:extLst>
        </c:ser>
        <c:ser>
          <c:idx val="1"/>
          <c:order val="1"/>
          <c:tx>
            <c:strRef>
              <c:f>graphs!$R$44</c:f>
              <c:strCache>
                <c:ptCount val="1"/>
                <c:pt idx="0">
                  <c:v>W/ VICI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graphs!$P$45:$P$49</c:f>
              <c:strCache>
                <c:ptCount val="5"/>
                <c:pt idx="0">
                  <c:v>Value</c:v>
                </c:pt>
                <c:pt idx="1">
                  <c:v>Earnings Yield</c:v>
                </c:pt>
                <c:pt idx="2">
                  <c:v>Div Yield</c:v>
                </c:pt>
                <c:pt idx="3">
                  <c:v>Profitability</c:v>
                </c:pt>
                <c:pt idx="4">
                  <c:v>Growth</c:v>
                </c:pt>
              </c:strCache>
            </c:strRef>
          </c:cat>
          <c:val>
            <c:numRef>
              <c:f>graphs!$R$45:$R$49</c:f>
              <c:numCache>
                <c:formatCode>General</c:formatCode>
                <c:ptCount val="5"/>
                <c:pt idx="0">
                  <c:v>-0.56000000000000005</c:v>
                </c:pt>
                <c:pt idx="1">
                  <c:v>-0.44</c:v>
                </c:pt>
                <c:pt idx="2">
                  <c:v>0.34</c:v>
                </c:pt>
                <c:pt idx="3">
                  <c:v>0.31</c:v>
                </c:pt>
                <c:pt idx="4">
                  <c:v>0.74</c:v>
                </c:pt>
              </c:numCache>
            </c:numRef>
          </c:val>
          <c:extLst>
            <c:ext xmlns:c16="http://schemas.microsoft.com/office/drawing/2014/chart" uri="{C3380CC4-5D6E-409C-BE32-E72D297353CC}">
              <c16:uniqueId val="{00000001-E02F-43F1-B45E-C34DE26913DC}"/>
            </c:ext>
          </c:extLst>
        </c:ser>
        <c:dLbls>
          <c:dLblPos val="outEnd"/>
          <c:showLegendKey val="0"/>
          <c:showVal val="1"/>
          <c:showCatName val="0"/>
          <c:showSerName val="0"/>
          <c:showPercent val="0"/>
          <c:showBubbleSize val="0"/>
        </c:dLbls>
        <c:gapWidth val="219"/>
        <c:overlap val="-27"/>
        <c:axId val="966447920"/>
        <c:axId val="1169274320"/>
      </c:barChart>
      <c:catAx>
        <c:axId val="9664479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solidFill>
                <a:latin typeface="Garamond" panose="02020404030301010803" pitchFamily="18" charset="0"/>
                <a:ea typeface="+mn-ea"/>
                <a:cs typeface="+mn-cs"/>
              </a:defRPr>
            </a:pPr>
            <a:endParaRPr lang="en-US"/>
          </a:p>
        </c:txPr>
        <c:crossAx val="1169274320"/>
        <c:crosses val="autoZero"/>
        <c:auto val="1"/>
        <c:lblAlgn val="ctr"/>
        <c:lblOffset val="100"/>
        <c:noMultiLvlLbl val="0"/>
      </c:catAx>
      <c:valAx>
        <c:axId val="1169274320"/>
        <c:scaling>
          <c:orientation val="minMax"/>
          <c:max val="0.8"/>
          <c:min val="-0.75000000000000011"/>
        </c:scaling>
        <c:delete val="1"/>
        <c:axPos val="l"/>
        <c:numFmt formatCode="General" sourceLinked="1"/>
        <c:majorTickMark val="out"/>
        <c:minorTickMark val="none"/>
        <c:tickLblPos val="nextTo"/>
        <c:crossAx val="966447920"/>
        <c:crosses val="autoZero"/>
        <c:crossBetween val="between"/>
      </c:valAx>
      <c:spPr>
        <a:noFill/>
        <a:ln>
          <a:solidFill>
            <a:schemeClr val="bg1"/>
          </a:solid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latin typeface="Garamond" panose="02020404030301010803"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barChart>
        <c:barDir val="col"/>
        <c:grouping val="clustered"/>
        <c:varyColors val="0"/>
        <c:ser>
          <c:idx val="0"/>
          <c:order val="0"/>
          <c:tx>
            <c:strRef>
              <c:f>graphs!$Q$73</c:f>
              <c:strCache>
                <c:ptCount val="1"/>
                <c:pt idx="0">
                  <c:v>(Debt+ Perfered Stock)/ EBITDA</c:v>
                </c:pt>
              </c:strCache>
            </c:strRef>
          </c:tx>
          <c:spPr>
            <a:solidFill>
              <a:schemeClr val="accent1"/>
            </a:solidFill>
            <a:ln>
              <a:noFill/>
            </a:ln>
            <a:effectLst/>
          </c:spPr>
          <c:invertIfNegative val="0"/>
          <c:dLbls>
            <c:dLbl>
              <c:idx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BB38-4EF9-878E-E10692994EE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graphs!$P$74:$P$79</c:f>
              <c:strCache>
                <c:ptCount val="6"/>
                <c:pt idx="0">
                  <c:v>VICI</c:v>
                </c:pt>
                <c:pt idx="1">
                  <c:v>GLPI</c:v>
                </c:pt>
                <c:pt idx="2">
                  <c:v>NNN</c:v>
                </c:pt>
                <c:pt idx="3">
                  <c:v>WPC</c:v>
                </c:pt>
                <c:pt idx="4">
                  <c:v>EPRT</c:v>
                </c:pt>
                <c:pt idx="5">
                  <c:v>O</c:v>
                </c:pt>
              </c:strCache>
            </c:strRef>
          </c:cat>
          <c:val>
            <c:numRef>
              <c:f>graphs!$Q$74:$Q$79</c:f>
              <c:numCache>
                <c:formatCode>0.0</c:formatCode>
                <c:ptCount val="6"/>
                <c:pt idx="0">
                  <c:v>5.57</c:v>
                </c:pt>
                <c:pt idx="1">
                  <c:v>4.88</c:v>
                </c:pt>
                <c:pt idx="2">
                  <c:v>5.81</c:v>
                </c:pt>
                <c:pt idx="3">
                  <c:v>6.02</c:v>
                </c:pt>
                <c:pt idx="4">
                  <c:v>4.8</c:v>
                </c:pt>
                <c:pt idx="5">
                  <c:v>6.68</c:v>
                </c:pt>
              </c:numCache>
            </c:numRef>
          </c:val>
          <c:extLst>
            <c:ext xmlns:c16="http://schemas.microsoft.com/office/drawing/2014/chart" uri="{C3380CC4-5D6E-409C-BE32-E72D297353CC}">
              <c16:uniqueId val="{00000000-BB38-4EF9-878E-E10692994EEF}"/>
            </c:ext>
          </c:extLst>
        </c:ser>
        <c:dLbls>
          <c:dLblPos val="outEnd"/>
          <c:showLegendKey val="0"/>
          <c:showVal val="1"/>
          <c:showCatName val="0"/>
          <c:showSerName val="0"/>
          <c:showPercent val="0"/>
          <c:showBubbleSize val="0"/>
        </c:dLbls>
        <c:gapWidth val="219"/>
        <c:overlap val="-27"/>
        <c:axId val="1216913760"/>
        <c:axId val="1296291936"/>
      </c:barChart>
      <c:catAx>
        <c:axId val="1216913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1296291936"/>
        <c:crosses val="autoZero"/>
        <c:auto val="1"/>
        <c:lblAlgn val="ctr"/>
        <c:lblOffset val="100"/>
        <c:noMultiLvlLbl val="0"/>
      </c:catAx>
      <c:valAx>
        <c:axId val="1296291936"/>
        <c:scaling>
          <c:orientation val="minMax"/>
        </c:scaling>
        <c:delete val="1"/>
        <c:axPos val="l"/>
        <c:numFmt formatCode="0.0" sourceLinked="1"/>
        <c:majorTickMark val="none"/>
        <c:minorTickMark val="none"/>
        <c:tickLblPos val="nextTo"/>
        <c:crossAx val="121691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Garamond" panose="02020404030301010803" pitchFamily="18" charset="0"/>
                <a:ea typeface="+mn-ea"/>
                <a:cs typeface="+mn-cs"/>
              </a:defRPr>
            </a:pPr>
            <a:r>
              <a:rPr lang="en-US"/>
              <a:t>Revenue Growth </a:t>
            </a:r>
            <a:r>
              <a:rPr lang="en-US" i="1"/>
              <a:t>(In $Billions)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 Build'!$L$4:$P$4</c:f>
            </c:strRef>
          </c:cat>
          <c:val>
            <c:numRef>
              <c:f>'Rev Build'!$L$5:$P$5</c:f>
            </c:numRef>
          </c:val>
          <c:extLst>
            <c:ext xmlns:c16="http://schemas.microsoft.com/office/drawing/2014/chart" uri="{C3380CC4-5D6E-409C-BE32-E72D297353CC}">
              <c16:uniqueId val="{00000000-9AA7-4459-B752-7603EA89EFE3}"/>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 Build'!$L$4:$P$4</c:f>
            </c:strRef>
          </c:cat>
          <c:val>
            <c:numRef>
              <c:f>'Rev Build'!$L$6:$P$6</c:f>
            </c:numRef>
          </c:val>
          <c:extLst>
            <c:ext xmlns:c16="http://schemas.microsoft.com/office/drawing/2014/chart" uri="{C3380CC4-5D6E-409C-BE32-E72D297353CC}">
              <c16:uniqueId val="{00000002-9AA7-4459-B752-7603EA89EFE3}"/>
            </c:ext>
          </c:extLst>
        </c:ser>
        <c:dLbls>
          <c:dLblPos val="outEnd"/>
          <c:showLegendKey val="0"/>
          <c:showVal val="1"/>
          <c:showCatName val="0"/>
          <c:showSerName val="0"/>
          <c:showPercent val="0"/>
          <c:showBubbleSize val="0"/>
        </c:dLbls>
        <c:gapWidth val="219"/>
        <c:overlap val="-27"/>
        <c:axId val="31700352"/>
        <c:axId val="394066128"/>
      </c:barChart>
      <c:catAx>
        <c:axId val="31700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394066128"/>
        <c:crosses val="autoZero"/>
        <c:auto val="1"/>
        <c:lblAlgn val="ctr"/>
        <c:lblOffset val="100"/>
        <c:noMultiLvlLbl val="0"/>
      </c:catAx>
      <c:valAx>
        <c:axId val="394066128"/>
        <c:scaling>
          <c:orientation val="minMax"/>
        </c:scaling>
        <c:delete val="1"/>
        <c:axPos val="l"/>
        <c:numFmt formatCode="_(&quot;$&quot;* #,##0_);_(&quot;$&quot;* \(#,##0\);_(&quot;$&quot;* &quot;-&quot;_);_(@_)" sourceLinked="0"/>
        <c:majorTickMark val="none"/>
        <c:minorTickMark val="none"/>
        <c:tickLblPos val="nextTo"/>
        <c:crossAx val="317003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Operating</a:t>
            </a:r>
            <a:r>
              <a:rPr lang="en-US" baseline="0"/>
              <a:t> income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'Rev Build'!$N$36:$Q$36</c:f>
            </c:strRef>
          </c:cat>
          <c:val>
            <c:numRef>
              <c:f>'Rev Build'!$N$37:$Q$37</c:f>
            </c:numRef>
          </c:val>
          <c:extLst>
            <c:ext xmlns:c16="http://schemas.microsoft.com/office/drawing/2014/chart" uri="{C3380CC4-5D6E-409C-BE32-E72D297353CC}">
              <c16:uniqueId val="{00000000-E8CE-461D-B244-2837E7691286}"/>
            </c:ext>
          </c:extLst>
        </c:ser>
        <c:ser>
          <c:idx val="1"/>
          <c:order val="1"/>
          <c:spPr>
            <a:solidFill>
              <a:schemeClr val="accent2"/>
            </a:solidFill>
            <a:ln>
              <a:noFill/>
            </a:ln>
            <a:effectLst/>
          </c:spPr>
          <c:invertIfNegative val="0"/>
          <c:cat>
            <c:strRef>
              <c:f>'Rev Build'!$N$36:$Q$36</c:f>
            </c:strRef>
          </c:cat>
          <c:val>
            <c:numRef>
              <c:f>'Rev Build'!$N$38:$Q$38</c:f>
            </c:numRef>
          </c:val>
          <c:extLst>
            <c:ext xmlns:c16="http://schemas.microsoft.com/office/drawing/2014/chart" uri="{C3380CC4-5D6E-409C-BE32-E72D297353CC}">
              <c16:uniqueId val="{00000001-E8CE-461D-B244-2837E7691286}"/>
            </c:ext>
          </c:extLst>
        </c:ser>
        <c:dLbls>
          <c:showLegendKey val="0"/>
          <c:showVal val="0"/>
          <c:showCatName val="0"/>
          <c:showSerName val="0"/>
          <c:showPercent val="0"/>
          <c:showBubbleSize val="0"/>
        </c:dLbls>
        <c:gapWidth val="219"/>
        <c:overlap val="-27"/>
        <c:axId val="494162192"/>
        <c:axId val="141763216"/>
      </c:barChart>
      <c:catAx>
        <c:axId val="49416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63216"/>
        <c:crosses val="autoZero"/>
        <c:auto val="1"/>
        <c:lblAlgn val="ctr"/>
        <c:lblOffset val="100"/>
        <c:noMultiLvlLbl val="0"/>
      </c:catAx>
      <c:valAx>
        <c:axId val="14176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16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2.4837780694079891E-2"/>
          <c:w val="0.93888888888888888"/>
          <c:h val="0.87425962379702538"/>
        </c:manualLayout>
      </c:layout>
      <c:barChart>
        <c:barDir val="col"/>
        <c:grouping val="clustered"/>
        <c:varyColors val="0"/>
        <c:ser>
          <c:idx val="0"/>
          <c:order val="0"/>
          <c:tx>
            <c:strRef>
              <c:f>'Rev Build'!$L$5</c:f>
              <c:strCache>
                <c:ptCount val="1"/>
                <c:pt idx="0">
                  <c:v>VICI</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 Build'!$M$4:$P$4</c:f>
            </c:strRef>
          </c:cat>
          <c:val>
            <c:numRef>
              <c:f>'Rev Build'!$M$5:$P$5</c:f>
            </c:numRef>
          </c:val>
          <c:extLst>
            <c:ext xmlns:c16="http://schemas.microsoft.com/office/drawing/2014/chart" uri="{C3380CC4-5D6E-409C-BE32-E72D297353CC}">
              <c16:uniqueId val="{00000000-B5EF-4A42-9BDC-19B654819AEC}"/>
            </c:ext>
          </c:extLst>
        </c:ser>
        <c:ser>
          <c:idx val="1"/>
          <c:order val="1"/>
          <c:tx>
            <c:strRef>
              <c:f>'Rev Build'!$L$6</c:f>
              <c:strCache>
                <c:ptCount val="1"/>
                <c:pt idx="0">
                  <c:v>GLPI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 Build'!$M$4:$P$4</c:f>
            </c:strRef>
          </c:cat>
          <c:val>
            <c:numRef>
              <c:f>'Rev Build'!$M$6:$P$6</c:f>
            </c:numRef>
          </c:val>
          <c:extLst>
            <c:ext xmlns:c16="http://schemas.microsoft.com/office/drawing/2014/chart" uri="{C3380CC4-5D6E-409C-BE32-E72D297353CC}">
              <c16:uniqueId val="{00000001-B5EF-4A42-9BDC-19B654819AEC}"/>
            </c:ext>
          </c:extLst>
        </c:ser>
        <c:dLbls>
          <c:dLblPos val="outEnd"/>
          <c:showLegendKey val="0"/>
          <c:showVal val="1"/>
          <c:showCatName val="0"/>
          <c:showSerName val="0"/>
          <c:showPercent val="0"/>
          <c:showBubbleSize val="0"/>
        </c:dLbls>
        <c:gapWidth val="219"/>
        <c:overlap val="-27"/>
        <c:axId val="1913153136"/>
        <c:axId val="463296079"/>
      </c:barChart>
      <c:catAx>
        <c:axId val="191315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Garamond" panose="02020404030301010803" pitchFamily="18" charset="0"/>
                <a:ea typeface="+mn-ea"/>
                <a:cs typeface="+mn-cs"/>
              </a:defRPr>
            </a:pPr>
            <a:endParaRPr lang="en-US"/>
          </a:p>
        </c:txPr>
        <c:crossAx val="463296079"/>
        <c:crosses val="autoZero"/>
        <c:auto val="1"/>
        <c:lblAlgn val="ctr"/>
        <c:lblOffset val="100"/>
        <c:noMultiLvlLbl val="0"/>
      </c:catAx>
      <c:valAx>
        <c:axId val="463296079"/>
        <c:scaling>
          <c:orientation val="minMax"/>
        </c:scaling>
        <c:delete val="1"/>
        <c:axPos val="l"/>
        <c:numFmt formatCode="_(&quot;$&quot;* #,##0.00_);_(&quot;$&quot;* \(#,##0.00\);_(&quot;$&quot;* &quot;-&quot;??_);_(@_)" sourceLinked="1"/>
        <c:majorTickMark val="none"/>
        <c:minorTickMark val="none"/>
        <c:tickLblPos val="nextTo"/>
        <c:crossAx val="19131531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chemeClr val="tx1"/>
          </a:solidFill>
          <a:latin typeface="Garamond" panose="02020404030301010803"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78-4B99-BD3D-DD8C9C7874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78-4B99-BD3D-DD8C9C7874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78-4B99-BD3D-DD8C9C7874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78-4B99-BD3D-DD8C9C7874F3}"/>
              </c:ext>
            </c:extLst>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Garamond" panose="02020404030301010803" pitchFamily="18" charset="0"/>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'Football Field'!$B$17:$B$21</c:f>
              <c:strCache>
                <c:ptCount val="5"/>
                <c:pt idx="0">
                  <c:v>EV/EBIT</c:v>
                </c:pt>
                <c:pt idx="1">
                  <c:v>NAV</c:v>
                </c:pt>
                <c:pt idx="2">
                  <c:v>DDM</c:v>
                </c:pt>
                <c:pt idx="3">
                  <c:v>P/FFO</c:v>
                </c:pt>
                <c:pt idx="4">
                  <c:v>P/E</c:v>
                </c:pt>
              </c:strCache>
            </c:strRef>
          </c:cat>
          <c:val>
            <c:numRef>
              <c:f>'Football Field'!$C$17:$C$21</c:f>
              <c:numCache>
                <c:formatCode>0%</c:formatCode>
                <c:ptCount val="5"/>
                <c:pt idx="0">
                  <c:v>0.25</c:v>
                </c:pt>
                <c:pt idx="1">
                  <c:v>0.15</c:v>
                </c:pt>
                <c:pt idx="2">
                  <c:v>0.1</c:v>
                </c:pt>
                <c:pt idx="3">
                  <c:v>0.3</c:v>
                </c:pt>
                <c:pt idx="4">
                  <c:v>0.2</c:v>
                </c:pt>
              </c:numCache>
            </c:numRef>
          </c:val>
          <c:extLst>
            <c:ext xmlns:c16="http://schemas.microsoft.com/office/drawing/2014/chart" uri="{C3380CC4-5D6E-409C-BE32-E72D297353CC}">
              <c16:uniqueId val="{00000000-BA59-4292-B6F6-4910138B0519}"/>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latin typeface="Garamond" panose="02020404030301010803"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'Football Field'!$K$8</c:f>
              <c:strCache>
                <c:ptCount val="1"/>
                <c:pt idx="0">
                  <c:v>1Q</c:v>
                </c:pt>
              </c:strCache>
            </c:strRef>
          </c:tx>
          <c:spPr>
            <a:solidFill>
              <a:sysClr val="window" lastClr="FFFFFF"/>
            </a:solidFill>
            <a:ln>
              <a:noFill/>
            </a:ln>
            <a:effectLst/>
          </c:spPr>
          <c:invertIfNegative val="0"/>
          <c:cat>
            <c:strRef>
              <c:f>'Football Field'!$J$10:$J$15</c:f>
              <c:strCache>
                <c:ptCount val="6"/>
                <c:pt idx="0">
                  <c:v>EV/EBIT</c:v>
                </c:pt>
                <c:pt idx="1">
                  <c:v>EV/EBITDA</c:v>
                </c:pt>
                <c:pt idx="2">
                  <c:v>EV/Rev</c:v>
                </c:pt>
                <c:pt idx="3">
                  <c:v>P/FFO</c:v>
                </c:pt>
                <c:pt idx="4">
                  <c:v>P/E</c:v>
                </c:pt>
                <c:pt idx="5">
                  <c:v>52 Week Range</c:v>
                </c:pt>
              </c:strCache>
            </c:strRef>
          </c:cat>
          <c:val>
            <c:numRef>
              <c:f>'Football Field'!$K$10:$K$15</c:f>
              <c:numCache>
                <c:formatCode>0</c:formatCode>
                <c:ptCount val="6"/>
                <c:pt idx="0">
                  <c:v>38.280253899640876</c:v>
                </c:pt>
                <c:pt idx="1">
                  <c:v>39.254868144381334</c:v>
                </c:pt>
                <c:pt idx="2">
                  <c:v>27.01084922593947</c:v>
                </c:pt>
                <c:pt idx="3">
                  <c:v>27.153011723174494</c:v>
                </c:pt>
                <c:pt idx="4">
                  <c:v>38.347867077262237</c:v>
                </c:pt>
                <c:pt idx="5">
                  <c:v>26.62</c:v>
                </c:pt>
              </c:numCache>
            </c:numRef>
          </c:val>
          <c:extLst>
            <c:ext xmlns:c16="http://schemas.microsoft.com/office/drawing/2014/chart" uri="{C3380CC4-5D6E-409C-BE32-E72D297353CC}">
              <c16:uniqueId val="{00000000-92E5-4065-AFAA-39B11B7C574F}"/>
            </c:ext>
          </c:extLst>
        </c:ser>
        <c:ser>
          <c:idx val="1"/>
          <c:order val="1"/>
          <c:tx>
            <c:strRef>
              <c:f>'Football Field'!$L$8</c:f>
              <c:strCache>
                <c:ptCount val="1"/>
                <c:pt idx="0">
                  <c:v>Spread</c:v>
                </c:pt>
              </c:strCache>
            </c:strRef>
          </c:tx>
          <c:spPr>
            <a:solidFill>
              <a:schemeClr val="accent2"/>
            </a:solidFill>
            <a:ln>
              <a:noFill/>
            </a:ln>
            <a:effectLst/>
          </c:spPr>
          <c:invertIfNegative val="0"/>
          <c:cat>
            <c:strRef>
              <c:f>'Football Field'!$J$10:$J$15</c:f>
              <c:strCache>
                <c:ptCount val="6"/>
                <c:pt idx="0">
                  <c:v>EV/EBIT</c:v>
                </c:pt>
                <c:pt idx="1">
                  <c:v>EV/EBITDA</c:v>
                </c:pt>
                <c:pt idx="2">
                  <c:v>EV/Rev</c:v>
                </c:pt>
                <c:pt idx="3">
                  <c:v>P/FFO</c:v>
                </c:pt>
                <c:pt idx="4">
                  <c:v>P/E</c:v>
                </c:pt>
                <c:pt idx="5">
                  <c:v>52 Week Range</c:v>
                </c:pt>
              </c:strCache>
            </c:strRef>
          </c:cat>
          <c:val>
            <c:numRef>
              <c:f>'Football Field'!$L$10:$L$15</c:f>
              <c:numCache>
                <c:formatCode>0</c:formatCode>
                <c:ptCount val="6"/>
                <c:pt idx="0">
                  <c:v>7.311569618266482</c:v>
                </c:pt>
                <c:pt idx="1">
                  <c:v>12.259335476107495</c:v>
                </c:pt>
                <c:pt idx="2">
                  <c:v>11.849774062698483</c:v>
                </c:pt>
                <c:pt idx="3">
                  <c:v>7.5723123314637135</c:v>
                </c:pt>
                <c:pt idx="4">
                  <c:v>6.963147634686699</c:v>
                </c:pt>
                <c:pt idx="5">
                  <c:v>8.0100000000000016</c:v>
                </c:pt>
              </c:numCache>
            </c:numRef>
          </c:val>
          <c:extLst>
            <c:ext xmlns:c16="http://schemas.microsoft.com/office/drawing/2014/chart" uri="{C3380CC4-5D6E-409C-BE32-E72D297353CC}">
              <c16:uniqueId val="{00000001-92E5-4065-AFAA-39B11B7C574F}"/>
            </c:ext>
          </c:extLst>
        </c:ser>
        <c:ser>
          <c:idx val="2"/>
          <c:order val="2"/>
          <c:tx>
            <c:strRef>
              <c:f>'Football Field'!$M$8</c:f>
              <c:strCache>
                <c:ptCount val="1"/>
                <c:pt idx="0">
                  <c:v>3Q</c:v>
                </c:pt>
              </c:strCache>
            </c:strRef>
          </c:tx>
          <c:spPr>
            <a:solidFill>
              <a:sysClr val="window" lastClr="FFFFFF"/>
            </a:solidFill>
            <a:ln>
              <a:noFill/>
            </a:ln>
            <a:effectLst/>
          </c:spPr>
          <c:invertIfNegative val="0"/>
          <c:cat>
            <c:strRef>
              <c:f>'Football Field'!$J$10:$J$15</c:f>
              <c:strCache>
                <c:ptCount val="6"/>
                <c:pt idx="0">
                  <c:v>EV/EBIT</c:v>
                </c:pt>
                <c:pt idx="1">
                  <c:v>EV/EBITDA</c:v>
                </c:pt>
                <c:pt idx="2">
                  <c:v>EV/Rev</c:v>
                </c:pt>
                <c:pt idx="3">
                  <c:v>P/FFO</c:v>
                </c:pt>
                <c:pt idx="4">
                  <c:v>P/E</c:v>
                </c:pt>
                <c:pt idx="5">
                  <c:v>52 Week Range</c:v>
                </c:pt>
              </c:strCache>
            </c:strRef>
          </c:cat>
          <c:val>
            <c:numRef>
              <c:f>'Football Field'!$M$10:$M$15</c:f>
              <c:numCache>
                <c:formatCode>0</c:formatCode>
                <c:ptCount val="6"/>
                <c:pt idx="0">
                  <c:v>45.591823517907358</c:v>
                </c:pt>
                <c:pt idx="1">
                  <c:v>51.514203620488829</c:v>
                </c:pt>
                <c:pt idx="2">
                  <c:v>38.860623288637953</c:v>
                </c:pt>
                <c:pt idx="3">
                  <c:v>34.725324054638207</c:v>
                </c:pt>
                <c:pt idx="4">
                  <c:v>45.311014711948935</c:v>
                </c:pt>
                <c:pt idx="5">
                  <c:v>34.630000000000003</c:v>
                </c:pt>
              </c:numCache>
            </c:numRef>
          </c:val>
          <c:extLst>
            <c:ext xmlns:c16="http://schemas.microsoft.com/office/drawing/2014/chart" uri="{C3380CC4-5D6E-409C-BE32-E72D297353CC}">
              <c16:uniqueId val="{00000002-92E5-4065-AFAA-39B11B7C574F}"/>
            </c:ext>
          </c:extLst>
        </c:ser>
        <c:dLbls>
          <c:showLegendKey val="0"/>
          <c:showVal val="0"/>
          <c:showCatName val="0"/>
          <c:showSerName val="0"/>
          <c:showPercent val="0"/>
          <c:showBubbleSize val="0"/>
        </c:dLbls>
        <c:gapWidth val="150"/>
        <c:overlap val="100"/>
        <c:axId val="682183152"/>
        <c:axId val="856959152"/>
      </c:barChart>
      <c:catAx>
        <c:axId val="682183152"/>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856959152"/>
        <c:crosses val="autoZero"/>
        <c:auto val="1"/>
        <c:lblAlgn val="ctr"/>
        <c:lblOffset val="100"/>
        <c:noMultiLvlLbl val="0"/>
      </c:catAx>
      <c:valAx>
        <c:axId val="856959152"/>
        <c:scaling>
          <c:orientation val="minMax"/>
          <c:max val="55"/>
          <c:min val="15"/>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Garamond" panose="02020404030301010803" pitchFamily="18" charset="0"/>
                <a:ea typeface="+mn-ea"/>
                <a:cs typeface="+mn-cs"/>
              </a:defRPr>
            </a:pPr>
            <a:endParaRPr lang="en-US"/>
          </a:p>
        </c:txPr>
        <c:crossAx val="68218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DDM!$J$10</c:f>
              <c:strCache>
                <c:ptCount val="1"/>
                <c:pt idx="0">
                  <c:v>Dividend</c:v>
                </c:pt>
              </c:strCache>
            </c:strRef>
          </c:tx>
          <c:spPr>
            <a:solidFill>
              <a:schemeClr val="accent1"/>
            </a:solidFill>
            <a:ln>
              <a:noFill/>
            </a:ln>
            <a:effectLst/>
          </c:spPr>
          <c:invertIfNegative val="0"/>
          <c:dLbls>
            <c:dLbl>
              <c:idx val="5"/>
              <c:layout>
                <c:manualLayout>
                  <c:x val="-2.7777777777776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C8-40CD-8406-04DD8A4095F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DDM!$K$9:$P$9</c:f>
              <c:numCache>
                <c:formatCode>General</c:formatCode>
                <c:ptCount val="6"/>
                <c:pt idx="0">
                  <c:v>2018</c:v>
                </c:pt>
                <c:pt idx="1">
                  <c:v>2019</c:v>
                </c:pt>
                <c:pt idx="2">
                  <c:v>2020</c:v>
                </c:pt>
                <c:pt idx="3">
                  <c:v>2021</c:v>
                </c:pt>
                <c:pt idx="4">
                  <c:v>2022</c:v>
                </c:pt>
                <c:pt idx="5">
                  <c:v>2023</c:v>
                </c:pt>
              </c:numCache>
            </c:numRef>
          </c:cat>
          <c:val>
            <c:numRef>
              <c:f>DDM!$K$10:$P$10</c:f>
              <c:numCache>
                <c:formatCode>0.00</c:formatCode>
                <c:ptCount val="6"/>
                <c:pt idx="0">
                  <c:v>0.99750000000000005</c:v>
                </c:pt>
                <c:pt idx="1">
                  <c:v>1.17</c:v>
                </c:pt>
                <c:pt idx="2">
                  <c:v>1.2549999999999999</c:v>
                </c:pt>
                <c:pt idx="3">
                  <c:v>1.38</c:v>
                </c:pt>
                <c:pt idx="4">
                  <c:v>1.5</c:v>
                </c:pt>
                <c:pt idx="5">
                  <c:v>1.66</c:v>
                </c:pt>
              </c:numCache>
            </c:numRef>
          </c:val>
          <c:extLst>
            <c:ext xmlns:c16="http://schemas.microsoft.com/office/drawing/2014/chart" uri="{C3380CC4-5D6E-409C-BE32-E72D297353CC}">
              <c16:uniqueId val="{00000000-0EC8-40CD-8406-04DD8A4095F3}"/>
            </c:ext>
          </c:extLst>
        </c:ser>
        <c:dLbls>
          <c:dLblPos val="outEnd"/>
          <c:showLegendKey val="0"/>
          <c:showVal val="1"/>
          <c:showCatName val="0"/>
          <c:showSerName val="0"/>
          <c:showPercent val="0"/>
          <c:showBubbleSize val="0"/>
        </c:dLbls>
        <c:gapWidth val="219"/>
        <c:overlap val="-27"/>
        <c:axId val="437033151"/>
        <c:axId val="662862207"/>
      </c:barChart>
      <c:catAx>
        <c:axId val="437033151"/>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Garamond" panose="02020404030301010803" pitchFamily="18" charset="0"/>
                <a:ea typeface="+mn-ea"/>
                <a:cs typeface="+mn-cs"/>
              </a:defRPr>
            </a:pPr>
            <a:endParaRPr lang="en-US"/>
          </a:p>
        </c:txPr>
        <c:crossAx val="662862207"/>
        <c:crosses val="autoZero"/>
        <c:auto val="1"/>
        <c:lblAlgn val="ctr"/>
        <c:lblOffset val="100"/>
        <c:noMultiLvlLbl val="0"/>
      </c:catAx>
      <c:valAx>
        <c:axId val="662862207"/>
        <c:scaling>
          <c:orientation val="minMax"/>
        </c:scaling>
        <c:delete val="1"/>
        <c:axPos val="l"/>
        <c:numFmt formatCode="0.00" sourceLinked="1"/>
        <c:majorTickMark val="none"/>
        <c:minorTickMark val="none"/>
        <c:tickLblPos val="nextTo"/>
        <c:crossAx val="437033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i="0" baseline="0">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DDM!$K$11</c:f>
              <c:strCache>
                <c:ptCount val="1"/>
                <c:pt idx="0">
                  <c:v>VICI</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DDM!$M$9:$Q$9</c:f>
              <c:strCache>
                <c:ptCount val="5"/>
                <c:pt idx="0">
                  <c:v>2020</c:v>
                </c:pt>
                <c:pt idx="1">
                  <c:v>2021</c:v>
                </c:pt>
                <c:pt idx="2">
                  <c:v>2022</c:v>
                </c:pt>
                <c:pt idx="3">
                  <c:v>2023</c:v>
                </c:pt>
                <c:pt idx="4">
                  <c:v>5Y AVG</c:v>
                </c:pt>
              </c:strCache>
            </c:strRef>
          </c:cat>
          <c:val>
            <c:numRef>
              <c:f>DDM!$M$11:$Q$11</c:f>
              <c:numCache>
                <c:formatCode>0%</c:formatCode>
                <c:ptCount val="5"/>
                <c:pt idx="0">
                  <c:v>7.2649572649572627E-2</c:v>
                </c:pt>
                <c:pt idx="1">
                  <c:v>9.9601593625498017E-2</c:v>
                </c:pt>
                <c:pt idx="2">
                  <c:v>8.6956521739130516E-2</c:v>
                </c:pt>
                <c:pt idx="3">
                  <c:v>0.10666666666666662</c:v>
                </c:pt>
                <c:pt idx="4">
                  <c:v>0.10776133710158706</c:v>
                </c:pt>
              </c:numCache>
            </c:numRef>
          </c:val>
          <c:extLst>
            <c:ext xmlns:c16="http://schemas.microsoft.com/office/drawing/2014/chart" uri="{C3380CC4-5D6E-409C-BE32-E72D297353CC}">
              <c16:uniqueId val="{00000000-85E1-4970-AB1C-BFA4BC65128A}"/>
            </c:ext>
          </c:extLst>
        </c:ser>
        <c:ser>
          <c:idx val="1"/>
          <c:order val="1"/>
          <c:tx>
            <c:strRef>
              <c:f>DDM!$K$12</c:f>
              <c:strCache>
                <c:ptCount val="1"/>
                <c:pt idx="0">
                  <c:v>GLPI</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Garamond" panose="020204040303010108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DDM!$M$9:$Q$9</c:f>
              <c:strCache>
                <c:ptCount val="5"/>
                <c:pt idx="0">
                  <c:v>2020</c:v>
                </c:pt>
                <c:pt idx="1">
                  <c:v>2021</c:v>
                </c:pt>
                <c:pt idx="2">
                  <c:v>2022</c:v>
                </c:pt>
                <c:pt idx="3">
                  <c:v>2023</c:v>
                </c:pt>
                <c:pt idx="4">
                  <c:v>5Y AVG</c:v>
                </c:pt>
              </c:strCache>
            </c:strRef>
          </c:cat>
          <c:val>
            <c:numRef>
              <c:f>DDM!$M$12:$Q$12</c:f>
              <c:numCache>
                <c:formatCode>0%</c:formatCode>
                <c:ptCount val="5"/>
                <c:pt idx="0">
                  <c:v>-8.7599999999999997E-2</c:v>
                </c:pt>
                <c:pt idx="1">
                  <c:v>6.4000000000000001E-2</c:v>
                </c:pt>
                <c:pt idx="2">
                  <c:v>5.2600000000000001E-2</c:v>
                </c:pt>
                <c:pt idx="3">
                  <c:v>3.5700000000000003E-2</c:v>
                </c:pt>
                <c:pt idx="4">
                  <c:v>2.6160000000000006E-2</c:v>
                </c:pt>
              </c:numCache>
            </c:numRef>
          </c:val>
          <c:extLst>
            <c:ext xmlns:c16="http://schemas.microsoft.com/office/drawing/2014/chart" uri="{C3380CC4-5D6E-409C-BE32-E72D297353CC}">
              <c16:uniqueId val="{00000001-85E1-4970-AB1C-BFA4BC65128A}"/>
            </c:ext>
          </c:extLst>
        </c:ser>
        <c:dLbls>
          <c:dLblPos val="outEnd"/>
          <c:showLegendKey val="0"/>
          <c:showVal val="1"/>
          <c:showCatName val="0"/>
          <c:showSerName val="0"/>
          <c:showPercent val="0"/>
          <c:showBubbleSize val="0"/>
        </c:dLbls>
        <c:gapWidth val="219"/>
        <c:overlap val="-27"/>
        <c:axId val="243383167"/>
        <c:axId val="904092079"/>
      </c:barChart>
      <c:catAx>
        <c:axId val="243383167"/>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Garamond" panose="02020404030301010803" pitchFamily="18" charset="0"/>
                <a:ea typeface="+mn-ea"/>
                <a:cs typeface="+mn-cs"/>
              </a:defRPr>
            </a:pPr>
            <a:endParaRPr lang="en-US"/>
          </a:p>
        </c:txPr>
        <c:crossAx val="904092079"/>
        <c:crosses val="autoZero"/>
        <c:auto val="1"/>
        <c:lblAlgn val="ctr"/>
        <c:lblOffset val="100"/>
        <c:noMultiLvlLbl val="0"/>
      </c:catAx>
      <c:valAx>
        <c:axId val="904092079"/>
        <c:scaling>
          <c:orientation val="minMax"/>
          <c:max val="0.12000000000000001"/>
          <c:min val="-0.1"/>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Garamond" panose="02020404030301010803" pitchFamily="18" charset="0"/>
                <a:ea typeface="+mn-ea"/>
                <a:cs typeface="+mn-cs"/>
              </a:defRPr>
            </a:pPr>
            <a:endParaRPr lang="en-US"/>
          </a:p>
        </c:txPr>
        <c:crossAx val="243383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i="0" baseline="0">
          <a:solidFill>
            <a:schemeClr val="tx1"/>
          </a:solidFill>
          <a:latin typeface="Garamond" panose="02020404030301010803"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0.xml"/><Relationship Id="rId1" Type="http://schemas.openxmlformats.org/officeDocument/2006/relationships/image" Target="../media/image12.png"/><Relationship Id="rId4"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image" Target="../media/image4.png"/><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18.xml"/><Relationship Id="rId1" Type="http://schemas.openxmlformats.org/officeDocument/2006/relationships/image" Target="../media/image8.png"/><Relationship Id="rId5" Type="http://schemas.openxmlformats.org/officeDocument/2006/relationships/chart" Target="../charts/chart19.xml"/><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176212</xdr:colOff>
      <xdr:row>24</xdr:row>
      <xdr:rowOff>47625</xdr:rowOff>
    </xdr:from>
    <xdr:to>
      <xdr:col>4</xdr:col>
      <xdr:colOff>509587</xdr:colOff>
      <xdr:row>39</xdr:row>
      <xdr:rowOff>76200</xdr:rowOff>
    </xdr:to>
    <xdr:graphicFrame macro="">
      <xdr:nvGraphicFramePr>
        <xdr:cNvPr id="2" name="Chart 1">
          <a:extLst>
            <a:ext uri="{FF2B5EF4-FFF2-40B4-BE49-F238E27FC236}">
              <a16:creationId xmlns:a16="http://schemas.microsoft.com/office/drawing/2014/main" id="{34E86C64-E286-46C1-A325-1F18A053B8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xdr:colOff>
      <xdr:row>24</xdr:row>
      <xdr:rowOff>28575</xdr:rowOff>
    </xdr:from>
    <xdr:to>
      <xdr:col>11</xdr:col>
      <xdr:colOff>528637</xdr:colOff>
      <xdr:row>39</xdr:row>
      <xdr:rowOff>57150</xdr:rowOff>
    </xdr:to>
    <xdr:graphicFrame macro="">
      <xdr:nvGraphicFramePr>
        <xdr:cNvPr id="3" name="Chart 2">
          <a:extLst>
            <a:ext uri="{FF2B5EF4-FFF2-40B4-BE49-F238E27FC236}">
              <a16:creationId xmlns:a16="http://schemas.microsoft.com/office/drawing/2014/main" id="{AF17C3E4-AFB5-4F19-8481-3BBFADC823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619125</xdr:colOff>
      <xdr:row>12</xdr:row>
      <xdr:rowOff>38100</xdr:rowOff>
    </xdr:from>
    <xdr:to>
      <xdr:col>18</xdr:col>
      <xdr:colOff>666750</xdr:colOff>
      <xdr:row>27</xdr:row>
      <xdr:rowOff>142875</xdr:rowOff>
    </xdr:to>
    <xdr:graphicFrame macro="">
      <xdr:nvGraphicFramePr>
        <xdr:cNvPr id="4" name="Chart 3">
          <a:extLst>
            <a:ext uri="{FF2B5EF4-FFF2-40B4-BE49-F238E27FC236}">
              <a16:creationId xmlns:a16="http://schemas.microsoft.com/office/drawing/2014/main" id="{8F577B86-2602-445E-9702-2089010A9B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642937</xdr:colOff>
      <xdr:row>38</xdr:row>
      <xdr:rowOff>147637</xdr:rowOff>
    </xdr:from>
    <xdr:to>
      <xdr:col>18</xdr:col>
      <xdr:colOff>690562</xdr:colOff>
      <xdr:row>53</xdr:row>
      <xdr:rowOff>176212</xdr:rowOff>
    </xdr:to>
    <xdr:graphicFrame macro="">
      <xdr:nvGraphicFramePr>
        <xdr:cNvPr id="5" name="Chart 4">
          <a:extLst>
            <a:ext uri="{FF2B5EF4-FFF2-40B4-BE49-F238E27FC236}">
              <a16:creationId xmlns:a16="http://schemas.microsoft.com/office/drawing/2014/main" id="{5CC677EF-9CF5-4B89-B80E-39CB7C74B7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474542</xdr:colOff>
      <xdr:row>24</xdr:row>
      <xdr:rowOff>118242</xdr:rowOff>
    </xdr:from>
    <xdr:to>
      <xdr:col>27</xdr:col>
      <xdr:colOff>108431</xdr:colOff>
      <xdr:row>39</xdr:row>
      <xdr:rowOff>120168</xdr:rowOff>
    </xdr:to>
    <xdr:graphicFrame macro="">
      <xdr:nvGraphicFramePr>
        <xdr:cNvPr id="6" name="Chart 5">
          <a:extLst>
            <a:ext uri="{FF2B5EF4-FFF2-40B4-BE49-F238E27FC236}">
              <a16:creationId xmlns:a16="http://schemas.microsoft.com/office/drawing/2014/main" id="{39B28126-90D5-EE7F-D23B-68F8745CE3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0</xdr:colOff>
      <xdr:row>17</xdr:row>
      <xdr:rowOff>0</xdr:rowOff>
    </xdr:from>
    <xdr:to>
      <xdr:col>23</xdr:col>
      <xdr:colOff>69061</xdr:colOff>
      <xdr:row>41</xdr:row>
      <xdr:rowOff>38484</xdr:rowOff>
    </xdr:to>
    <xdr:pic>
      <xdr:nvPicPr>
        <xdr:cNvPr id="2" name="Picture 1">
          <a:extLst>
            <a:ext uri="{FF2B5EF4-FFF2-40B4-BE49-F238E27FC236}">
              <a16:creationId xmlns:a16="http://schemas.microsoft.com/office/drawing/2014/main" id="{43E0D593-BD92-73F2-8AC5-551C1A6B91F2}"/>
            </a:ext>
          </a:extLst>
        </xdr:cNvPr>
        <xdr:cNvPicPr>
          <a:picLocks noChangeAspect="1"/>
        </xdr:cNvPicPr>
      </xdr:nvPicPr>
      <xdr:blipFill>
        <a:blip xmlns:r="http://schemas.openxmlformats.org/officeDocument/2006/relationships" r:embed="rId1"/>
        <a:stretch>
          <a:fillRect/>
        </a:stretch>
      </xdr:blipFill>
      <xdr:spPr>
        <a:xfrm>
          <a:off x="8534400" y="3108960"/>
          <a:ext cx="5555461" cy="4427604"/>
        </a:xfrm>
        <a:prstGeom prst="rect">
          <a:avLst/>
        </a:prstGeom>
      </xdr:spPr>
    </xdr:pic>
    <xdr:clientData/>
  </xdr:twoCellAnchor>
  <xdr:twoCellAnchor>
    <xdr:from>
      <xdr:col>19</xdr:col>
      <xdr:colOff>467360</xdr:colOff>
      <xdr:row>40</xdr:row>
      <xdr:rowOff>15240</xdr:rowOff>
    </xdr:from>
    <xdr:to>
      <xdr:col>27</xdr:col>
      <xdr:colOff>162560</xdr:colOff>
      <xdr:row>55</xdr:row>
      <xdr:rowOff>15240</xdr:rowOff>
    </xdr:to>
    <xdr:graphicFrame macro="">
      <xdr:nvGraphicFramePr>
        <xdr:cNvPr id="3" name="Chart 2">
          <a:extLst>
            <a:ext uri="{FF2B5EF4-FFF2-40B4-BE49-F238E27FC236}">
              <a16:creationId xmlns:a16="http://schemas.microsoft.com/office/drawing/2014/main" id="{FF96D315-ADB1-FEE8-0D79-BC1A5A7B19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138546</xdr:colOff>
      <xdr:row>58</xdr:row>
      <xdr:rowOff>9897</xdr:rowOff>
    </xdr:from>
    <xdr:to>
      <xdr:col>23</xdr:col>
      <xdr:colOff>133878</xdr:colOff>
      <xdr:row>70</xdr:row>
      <xdr:rowOff>82330</xdr:rowOff>
    </xdr:to>
    <xdr:pic>
      <xdr:nvPicPr>
        <xdr:cNvPr id="4" name="Picture 3">
          <a:extLst>
            <a:ext uri="{FF2B5EF4-FFF2-40B4-BE49-F238E27FC236}">
              <a16:creationId xmlns:a16="http://schemas.microsoft.com/office/drawing/2014/main" id="{63DF1CDC-2896-4E29-A035-613587BDA8EA}"/>
            </a:ext>
          </a:extLst>
        </xdr:cNvPr>
        <xdr:cNvPicPr>
          <a:picLocks noChangeAspect="1"/>
        </xdr:cNvPicPr>
      </xdr:nvPicPr>
      <xdr:blipFill>
        <a:blip xmlns:r="http://schemas.openxmlformats.org/officeDocument/2006/relationships" r:embed="rId3"/>
        <a:stretch>
          <a:fillRect/>
        </a:stretch>
      </xdr:blipFill>
      <xdr:spPr>
        <a:xfrm>
          <a:off x="8728364" y="10341429"/>
          <a:ext cx="5517358" cy="2209992"/>
        </a:xfrm>
        <a:prstGeom prst="rect">
          <a:avLst/>
        </a:prstGeom>
      </xdr:spPr>
    </xdr:pic>
    <xdr:clientData/>
  </xdr:twoCellAnchor>
  <xdr:twoCellAnchor>
    <xdr:from>
      <xdr:col>22</xdr:col>
      <xdr:colOff>148441</xdr:colOff>
      <xdr:row>55</xdr:row>
      <xdr:rowOff>127660</xdr:rowOff>
    </xdr:from>
    <xdr:to>
      <xdr:col>29</xdr:col>
      <xdr:colOff>425532</xdr:colOff>
      <xdr:row>71</xdr:row>
      <xdr:rowOff>20782</xdr:rowOff>
    </xdr:to>
    <xdr:graphicFrame macro="">
      <xdr:nvGraphicFramePr>
        <xdr:cNvPr id="5" name="Chart 4">
          <a:extLst>
            <a:ext uri="{FF2B5EF4-FFF2-40B4-BE49-F238E27FC236}">
              <a16:creationId xmlns:a16="http://schemas.microsoft.com/office/drawing/2014/main" id="{BC1CD901-AC16-3FB2-6C8B-680EB87DA2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119062</xdr:colOff>
      <xdr:row>21</xdr:row>
      <xdr:rowOff>38100</xdr:rowOff>
    </xdr:from>
    <xdr:to>
      <xdr:col>6</xdr:col>
      <xdr:colOff>62845</xdr:colOff>
      <xdr:row>36</xdr:row>
      <xdr:rowOff>66675</xdr:rowOff>
    </xdr:to>
    <xdr:graphicFrame macro="">
      <xdr:nvGraphicFramePr>
        <xdr:cNvPr id="2" name="Chart 1">
          <a:extLst>
            <a:ext uri="{FF2B5EF4-FFF2-40B4-BE49-F238E27FC236}">
              <a16:creationId xmlns:a16="http://schemas.microsoft.com/office/drawing/2014/main" id="{9835CFEC-3B62-45E7-990F-A35087206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91441</xdr:colOff>
      <xdr:row>16</xdr:row>
      <xdr:rowOff>0</xdr:rowOff>
    </xdr:from>
    <xdr:to>
      <xdr:col>14</xdr:col>
      <xdr:colOff>313766</xdr:colOff>
      <xdr:row>41</xdr:row>
      <xdr:rowOff>107575</xdr:rowOff>
    </xdr:to>
    <xdr:graphicFrame macro="">
      <xdr:nvGraphicFramePr>
        <xdr:cNvPr id="3" name="Chart 2">
          <a:extLst>
            <a:ext uri="{FF2B5EF4-FFF2-40B4-BE49-F238E27FC236}">
              <a16:creationId xmlns:a16="http://schemas.microsoft.com/office/drawing/2014/main" id="{044A7C02-AC71-45A2-65F7-E7C4C3807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167640</xdr:colOff>
      <xdr:row>17</xdr:row>
      <xdr:rowOff>49530</xdr:rowOff>
    </xdr:from>
    <xdr:to>
      <xdr:col>19</xdr:col>
      <xdr:colOff>45720</xdr:colOff>
      <xdr:row>31</xdr:row>
      <xdr:rowOff>102870</xdr:rowOff>
    </xdr:to>
    <xdr:graphicFrame macro="">
      <xdr:nvGraphicFramePr>
        <xdr:cNvPr id="2" name="Chart 1">
          <a:extLst>
            <a:ext uri="{FF2B5EF4-FFF2-40B4-BE49-F238E27FC236}">
              <a16:creationId xmlns:a16="http://schemas.microsoft.com/office/drawing/2014/main" id="{492315E4-6F4C-2334-9BC5-2C072FE4E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579120</xdr:colOff>
      <xdr:row>7</xdr:row>
      <xdr:rowOff>133350</xdr:rowOff>
    </xdr:from>
    <xdr:to>
      <xdr:col>27</xdr:col>
      <xdr:colOff>274320</xdr:colOff>
      <xdr:row>22</xdr:row>
      <xdr:rowOff>30480</xdr:rowOff>
    </xdr:to>
    <xdr:graphicFrame macro="">
      <xdr:nvGraphicFramePr>
        <xdr:cNvPr id="3" name="Chart 2">
          <a:extLst>
            <a:ext uri="{FF2B5EF4-FFF2-40B4-BE49-F238E27FC236}">
              <a16:creationId xmlns:a16="http://schemas.microsoft.com/office/drawing/2014/main" id="{C3C8631D-69D7-F128-B23B-EA464829D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309562</xdr:colOff>
      <xdr:row>12</xdr:row>
      <xdr:rowOff>57150</xdr:rowOff>
    </xdr:from>
    <xdr:to>
      <xdr:col>23</xdr:col>
      <xdr:colOff>200025</xdr:colOff>
      <xdr:row>26</xdr:row>
      <xdr:rowOff>133350</xdr:rowOff>
    </xdr:to>
    <xdr:graphicFrame macro="">
      <xdr:nvGraphicFramePr>
        <xdr:cNvPr id="2" name="Chart 1">
          <a:extLst>
            <a:ext uri="{FF2B5EF4-FFF2-40B4-BE49-F238E27FC236}">
              <a16:creationId xmlns:a16="http://schemas.microsoft.com/office/drawing/2014/main" id="{F5F26931-6D9C-4B63-934F-2D08017EEA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33337</xdr:colOff>
      <xdr:row>11</xdr:row>
      <xdr:rowOff>152400</xdr:rowOff>
    </xdr:from>
    <xdr:to>
      <xdr:col>27</xdr:col>
      <xdr:colOff>133350</xdr:colOff>
      <xdr:row>24</xdr:row>
      <xdr:rowOff>19050</xdr:rowOff>
    </xdr:to>
    <xdr:graphicFrame macro="">
      <xdr:nvGraphicFramePr>
        <xdr:cNvPr id="3" name="Chart 2">
          <a:extLst>
            <a:ext uri="{FF2B5EF4-FFF2-40B4-BE49-F238E27FC236}">
              <a16:creationId xmlns:a16="http://schemas.microsoft.com/office/drawing/2014/main" id="{DD110797-B3E3-4311-A4D8-2BDA99625E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119062</xdr:colOff>
      <xdr:row>12</xdr:row>
      <xdr:rowOff>0</xdr:rowOff>
    </xdr:from>
    <xdr:to>
      <xdr:col>22</xdr:col>
      <xdr:colOff>576262</xdr:colOff>
      <xdr:row>26</xdr:row>
      <xdr:rowOff>76200</xdr:rowOff>
    </xdr:to>
    <xdr:graphicFrame macro="">
      <xdr:nvGraphicFramePr>
        <xdr:cNvPr id="4" name="Chart 3">
          <a:extLst>
            <a:ext uri="{FF2B5EF4-FFF2-40B4-BE49-F238E27FC236}">
              <a16:creationId xmlns:a16="http://schemas.microsoft.com/office/drawing/2014/main" id="{4C196437-98A7-45AE-A8FD-0DD82BFEFC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0</xdr:colOff>
      <xdr:row>40</xdr:row>
      <xdr:rowOff>0</xdr:rowOff>
    </xdr:from>
    <xdr:to>
      <xdr:col>34</xdr:col>
      <xdr:colOff>68694</xdr:colOff>
      <xdr:row>48</xdr:row>
      <xdr:rowOff>305134</xdr:rowOff>
    </xdr:to>
    <xdr:pic>
      <xdr:nvPicPr>
        <xdr:cNvPr id="2" name="Picture 1">
          <a:extLst>
            <a:ext uri="{FF2B5EF4-FFF2-40B4-BE49-F238E27FC236}">
              <a16:creationId xmlns:a16="http://schemas.microsoft.com/office/drawing/2014/main" id="{AC19769A-FD6E-4672-8066-9FD85BECBF05}"/>
            </a:ext>
          </a:extLst>
        </xdr:cNvPr>
        <xdr:cNvPicPr>
          <a:picLocks noChangeAspect="1"/>
        </xdr:cNvPicPr>
      </xdr:nvPicPr>
      <xdr:blipFill>
        <a:blip xmlns:r="http://schemas.openxmlformats.org/officeDocument/2006/relationships" r:embed="rId1"/>
        <a:stretch>
          <a:fillRect/>
        </a:stretch>
      </xdr:blipFill>
      <xdr:spPr>
        <a:xfrm>
          <a:off x="23060025" y="8734425"/>
          <a:ext cx="14470494" cy="2391109"/>
        </a:xfrm>
        <a:prstGeom prst="rect">
          <a:avLst/>
        </a:prstGeom>
      </xdr:spPr>
    </xdr:pic>
    <xdr:clientData/>
  </xdr:twoCellAnchor>
  <xdr:twoCellAnchor editAs="oneCell">
    <xdr:from>
      <xdr:col>13</xdr:col>
      <xdr:colOff>0</xdr:colOff>
      <xdr:row>51</xdr:row>
      <xdr:rowOff>0</xdr:rowOff>
    </xdr:from>
    <xdr:to>
      <xdr:col>34</xdr:col>
      <xdr:colOff>306853</xdr:colOff>
      <xdr:row>62</xdr:row>
      <xdr:rowOff>47924</xdr:rowOff>
    </xdr:to>
    <xdr:pic>
      <xdr:nvPicPr>
        <xdr:cNvPr id="3" name="Picture 2">
          <a:extLst>
            <a:ext uri="{FF2B5EF4-FFF2-40B4-BE49-F238E27FC236}">
              <a16:creationId xmlns:a16="http://schemas.microsoft.com/office/drawing/2014/main" id="{7337F915-B0FC-4B43-9157-1D87DBC71E06}"/>
            </a:ext>
          </a:extLst>
        </xdr:cNvPr>
        <xdr:cNvPicPr>
          <a:picLocks noChangeAspect="1"/>
        </xdr:cNvPicPr>
      </xdr:nvPicPr>
      <xdr:blipFill>
        <a:blip xmlns:r="http://schemas.openxmlformats.org/officeDocument/2006/relationships" r:embed="rId2"/>
        <a:stretch>
          <a:fillRect/>
        </a:stretch>
      </xdr:blipFill>
      <xdr:spPr>
        <a:xfrm>
          <a:off x="23060025" y="11772900"/>
          <a:ext cx="14708653" cy="2143424"/>
        </a:xfrm>
        <a:prstGeom prst="rect">
          <a:avLst/>
        </a:prstGeom>
      </xdr:spPr>
    </xdr:pic>
    <xdr:clientData/>
  </xdr:twoCellAnchor>
  <xdr:twoCellAnchor editAs="oneCell">
    <xdr:from>
      <xdr:col>13</xdr:col>
      <xdr:colOff>403860</xdr:colOff>
      <xdr:row>63</xdr:row>
      <xdr:rowOff>99060</xdr:rowOff>
    </xdr:from>
    <xdr:to>
      <xdr:col>37</xdr:col>
      <xdr:colOff>449962</xdr:colOff>
      <xdr:row>75</xdr:row>
      <xdr:rowOff>368102</xdr:rowOff>
    </xdr:to>
    <xdr:pic>
      <xdr:nvPicPr>
        <xdr:cNvPr id="4" name="Picture 3">
          <a:extLst>
            <a:ext uri="{FF2B5EF4-FFF2-40B4-BE49-F238E27FC236}">
              <a16:creationId xmlns:a16="http://schemas.microsoft.com/office/drawing/2014/main" id="{7597463E-FB1A-418E-9641-249612F08C6C}"/>
            </a:ext>
          </a:extLst>
        </xdr:cNvPr>
        <xdr:cNvPicPr>
          <a:picLocks noChangeAspect="1"/>
        </xdr:cNvPicPr>
      </xdr:nvPicPr>
      <xdr:blipFill>
        <a:blip xmlns:r="http://schemas.openxmlformats.org/officeDocument/2006/relationships" r:embed="rId3"/>
        <a:stretch>
          <a:fillRect/>
        </a:stretch>
      </xdr:blipFill>
      <xdr:spPr>
        <a:xfrm>
          <a:off x="21115020" y="13632180"/>
          <a:ext cx="14676502" cy="3012242"/>
        </a:xfrm>
        <a:prstGeom prst="rect">
          <a:avLst/>
        </a:prstGeom>
      </xdr:spPr>
    </xdr:pic>
    <xdr:clientData/>
  </xdr:twoCellAnchor>
  <xdr:twoCellAnchor editAs="oneCell">
    <xdr:from>
      <xdr:col>0</xdr:col>
      <xdr:colOff>0</xdr:colOff>
      <xdr:row>54</xdr:row>
      <xdr:rowOff>0</xdr:rowOff>
    </xdr:from>
    <xdr:to>
      <xdr:col>2</xdr:col>
      <xdr:colOff>458285</xdr:colOff>
      <xdr:row>68</xdr:row>
      <xdr:rowOff>171846</xdr:rowOff>
    </xdr:to>
    <xdr:pic>
      <xdr:nvPicPr>
        <xdr:cNvPr id="5" name="Picture 4">
          <a:extLst>
            <a:ext uri="{FF2B5EF4-FFF2-40B4-BE49-F238E27FC236}">
              <a16:creationId xmlns:a16="http://schemas.microsoft.com/office/drawing/2014/main" id="{D5324D03-18CF-49A2-AB14-5ACBFF1A800A}"/>
            </a:ext>
          </a:extLst>
        </xdr:cNvPr>
        <xdr:cNvPicPr>
          <a:picLocks noChangeAspect="1"/>
        </xdr:cNvPicPr>
      </xdr:nvPicPr>
      <xdr:blipFill>
        <a:blip xmlns:r="http://schemas.openxmlformats.org/officeDocument/2006/relationships" r:embed="rId4"/>
        <a:stretch>
          <a:fillRect/>
        </a:stretch>
      </xdr:blipFill>
      <xdr:spPr>
        <a:xfrm>
          <a:off x="0" y="12344400"/>
          <a:ext cx="7773485" cy="2838846"/>
        </a:xfrm>
        <a:prstGeom prst="rect">
          <a:avLst/>
        </a:prstGeom>
      </xdr:spPr>
    </xdr:pic>
    <xdr:clientData/>
  </xdr:twoCellAnchor>
  <xdr:twoCellAnchor editAs="oneCell">
    <xdr:from>
      <xdr:col>0</xdr:col>
      <xdr:colOff>0</xdr:colOff>
      <xdr:row>41</xdr:row>
      <xdr:rowOff>114300</xdr:rowOff>
    </xdr:from>
    <xdr:to>
      <xdr:col>2</xdr:col>
      <xdr:colOff>258232</xdr:colOff>
      <xdr:row>52</xdr:row>
      <xdr:rowOff>57540</xdr:rowOff>
    </xdr:to>
    <xdr:pic>
      <xdr:nvPicPr>
        <xdr:cNvPr id="6" name="Picture 5">
          <a:extLst>
            <a:ext uri="{FF2B5EF4-FFF2-40B4-BE49-F238E27FC236}">
              <a16:creationId xmlns:a16="http://schemas.microsoft.com/office/drawing/2014/main" id="{519D0EA1-2090-4E96-8A84-42EFBFFC2754}"/>
            </a:ext>
          </a:extLst>
        </xdr:cNvPr>
        <xdr:cNvPicPr>
          <a:picLocks noChangeAspect="1"/>
        </xdr:cNvPicPr>
      </xdr:nvPicPr>
      <xdr:blipFill>
        <a:blip xmlns:r="http://schemas.openxmlformats.org/officeDocument/2006/relationships" r:embed="rId5"/>
        <a:stretch>
          <a:fillRect/>
        </a:stretch>
      </xdr:blipFill>
      <xdr:spPr>
        <a:xfrm>
          <a:off x="0" y="9229725"/>
          <a:ext cx="7573432" cy="2791215"/>
        </a:xfrm>
        <a:prstGeom prst="rect">
          <a:avLst/>
        </a:prstGeom>
      </xdr:spPr>
    </xdr:pic>
    <xdr:clientData/>
  </xdr:twoCellAnchor>
  <xdr:twoCellAnchor editAs="oneCell">
    <xdr:from>
      <xdr:col>0</xdr:col>
      <xdr:colOff>0</xdr:colOff>
      <xdr:row>29</xdr:row>
      <xdr:rowOff>43815</xdr:rowOff>
    </xdr:from>
    <xdr:to>
      <xdr:col>2</xdr:col>
      <xdr:colOff>725022</xdr:colOff>
      <xdr:row>40</xdr:row>
      <xdr:rowOff>122304</xdr:rowOff>
    </xdr:to>
    <xdr:pic>
      <xdr:nvPicPr>
        <xdr:cNvPr id="7" name="Picture 6">
          <a:extLst>
            <a:ext uri="{FF2B5EF4-FFF2-40B4-BE49-F238E27FC236}">
              <a16:creationId xmlns:a16="http://schemas.microsoft.com/office/drawing/2014/main" id="{D7778D61-5903-4285-ACF1-399C1AF658D7}"/>
            </a:ext>
          </a:extLst>
        </xdr:cNvPr>
        <xdr:cNvPicPr>
          <a:picLocks noChangeAspect="1"/>
        </xdr:cNvPicPr>
      </xdr:nvPicPr>
      <xdr:blipFill>
        <a:blip xmlns:r="http://schemas.openxmlformats.org/officeDocument/2006/relationships" r:embed="rId6"/>
        <a:stretch>
          <a:fillRect/>
        </a:stretch>
      </xdr:blipFill>
      <xdr:spPr>
        <a:xfrm>
          <a:off x="0" y="5895975"/>
          <a:ext cx="7308702" cy="2638809"/>
        </a:xfrm>
        <a:prstGeom prst="rect">
          <a:avLst/>
        </a:prstGeom>
      </xdr:spPr>
    </xdr:pic>
    <xdr:clientData/>
  </xdr:twoCellAnchor>
  <xdr:twoCellAnchor editAs="oneCell">
    <xdr:from>
      <xdr:col>37</xdr:col>
      <xdr:colOff>243840</xdr:colOff>
      <xdr:row>48</xdr:row>
      <xdr:rowOff>160020</xdr:rowOff>
    </xdr:from>
    <xdr:to>
      <xdr:col>57</xdr:col>
      <xdr:colOff>92483</xdr:colOff>
      <xdr:row>63</xdr:row>
      <xdr:rowOff>114565</xdr:rowOff>
    </xdr:to>
    <xdr:pic>
      <xdr:nvPicPr>
        <xdr:cNvPr id="8" name="Picture 7">
          <a:extLst>
            <a:ext uri="{FF2B5EF4-FFF2-40B4-BE49-F238E27FC236}">
              <a16:creationId xmlns:a16="http://schemas.microsoft.com/office/drawing/2014/main" id="{3B5FDF57-6CC9-CCA8-B98D-46E23D0DE1E7}"/>
            </a:ext>
          </a:extLst>
        </xdr:cNvPr>
        <xdr:cNvPicPr>
          <a:picLocks noChangeAspect="1"/>
        </xdr:cNvPicPr>
      </xdr:nvPicPr>
      <xdr:blipFill>
        <a:blip xmlns:r="http://schemas.openxmlformats.org/officeDocument/2006/relationships" r:embed="rId7"/>
        <a:stretch>
          <a:fillRect/>
        </a:stretch>
      </xdr:blipFill>
      <xdr:spPr>
        <a:xfrm>
          <a:off x="35585400" y="10584180"/>
          <a:ext cx="12040643" cy="3063505"/>
        </a:xfrm>
        <a:prstGeom prst="rect">
          <a:avLst/>
        </a:prstGeom>
      </xdr:spPr>
    </xdr:pic>
    <xdr:clientData/>
  </xdr:twoCellAnchor>
  <xdr:twoCellAnchor>
    <xdr:from>
      <xdr:col>43</xdr:col>
      <xdr:colOff>83820</xdr:colOff>
      <xdr:row>65</xdr:row>
      <xdr:rowOff>163830</xdr:rowOff>
    </xdr:from>
    <xdr:to>
      <xdr:col>50</xdr:col>
      <xdr:colOff>388620</xdr:colOff>
      <xdr:row>75</xdr:row>
      <xdr:rowOff>529590</xdr:rowOff>
    </xdr:to>
    <xdr:graphicFrame macro="">
      <xdr:nvGraphicFramePr>
        <xdr:cNvPr id="9" name="Chart 8">
          <a:extLst>
            <a:ext uri="{FF2B5EF4-FFF2-40B4-BE49-F238E27FC236}">
              <a16:creationId xmlns:a16="http://schemas.microsoft.com/office/drawing/2014/main" id="{6DA27AD2-43CB-F6AC-85EE-355F6FB93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776287</xdr:colOff>
      <xdr:row>65</xdr:row>
      <xdr:rowOff>0</xdr:rowOff>
    </xdr:from>
    <xdr:to>
      <xdr:col>17</xdr:col>
      <xdr:colOff>204787</xdr:colOff>
      <xdr:row>75</xdr:row>
      <xdr:rowOff>457200</xdr:rowOff>
    </xdr:to>
    <xdr:graphicFrame macro="">
      <xdr:nvGraphicFramePr>
        <xdr:cNvPr id="10" name="Chart 9">
          <a:extLst>
            <a:ext uri="{FF2B5EF4-FFF2-40B4-BE49-F238E27FC236}">
              <a16:creationId xmlns:a16="http://schemas.microsoft.com/office/drawing/2014/main" id="{0CCC0D1D-7B31-4333-9175-CA2FB8F6EE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1057275</xdr:colOff>
      <xdr:row>77</xdr:row>
      <xdr:rowOff>152400</xdr:rowOff>
    </xdr:from>
    <xdr:to>
      <xdr:col>14</xdr:col>
      <xdr:colOff>247650</xdr:colOff>
      <xdr:row>93</xdr:row>
      <xdr:rowOff>0</xdr:rowOff>
    </xdr:to>
    <xdr:graphicFrame macro="">
      <xdr:nvGraphicFramePr>
        <xdr:cNvPr id="11" name="Chart 10">
          <a:extLst>
            <a:ext uri="{FF2B5EF4-FFF2-40B4-BE49-F238E27FC236}">
              <a16:creationId xmlns:a16="http://schemas.microsoft.com/office/drawing/2014/main" id="{38794CE2-C93C-4E3A-9893-6AC7E7B582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376237</xdr:colOff>
      <xdr:row>12</xdr:row>
      <xdr:rowOff>114300</xdr:rowOff>
    </xdr:from>
    <xdr:to>
      <xdr:col>16</xdr:col>
      <xdr:colOff>147637</xdr:colOff>
      <xdr:row>27</xdr:row>
      <xdr:rowOff>142875</xdr:rowOff>
    </xdr:to>
    <xdr:graphicFrame macro="">
      <xdr:nvGraphicFramePr>
        <xdr:cNvPr id="2" name="Chart 1">
          <a:extLst>
            <a:ext uri="{FF2B5EF4-FFF2-40B4-BE49-F238E27FC236}">
              <a16:creationId xmlns:a16="http://schemas.microsoft.com/office/drawing/2014/main" id="{E464494A-7DA4-48AC-8C6D-597C64BD6E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144780</xdr:colOff>
      <xdr:row>7</xdr:row>
      <xdr:rowOff>95250</xdr:rowOff>
    </xdr:from>
    <xdr:to>
      <xdr:col>22</xdr:col>
      <xdr:colOff>220980</xdr:colOff>
      <xdr:row>24</xdr:row>
      <xdr:rowOff>68580</xdr:rowOff>
    </xdr:to>
    <xdr:graphicFrame macro="">
      <xdr:nvGraphicFramePr>
        <xdr:cNvPr id="2" name="Chart 1">
          <a:extLst>
            <a:ext uri="{FF2B5EF4-FFF2-40B4-BE49-F238E27FC236}">
              <a16:creationId xmlns:a16="http://schemas.microsoft.com/office/drawing/2014/main" id="{1F0340DF-5111-7DF2-E4D5-AB52FEB162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68580</xdr:colOff>
      <xdr:row>4</xdr:row>
      <xdr:rowOff>76200</xdr:rowOff>
    </xdr:from>
    <xdr:to>
      <xdr:col>14</xdr:col>
      <xdr:colOff>267196</xdr:colOff>
      <xdr:row>18</xdr:row>
      <xdr:rowOff>105480</xdr:rowOff>
    </xdr:to>
    <xdr:pic>
      <xdr:nvPicPr>
        <xdr:cNvPr id="2" name="Picture 1">
          <a:extLst>
            <a:ext uri="{FF2B5EF4-FFF2-40B4-BE49-F238E27FC236}">
              <a16:creationId xmlns:a16="http://schemas.microsoft.com/office/drawing/2014/main" id="{844B8E39-48D2-23F6-8FDC-5BF160A6BF79}"/>
            </a:ext>
          </a:extLst>
        </xdr:cNvPr>
        <xdr:cNvPicPr>
          <a:picLocks noChangeAspect="1"/>
        </xdr:cNvPicPr>
      </xdr:nvPicPr>
      <xdr:blipFill>
        <a:blip xmlns:r="http://schemas.openxmlformats.org/officeDocument/2006/relationships" r:embed="rId1"/>
        <a:stretch>
          <a:fillRect/>
        </a:stretch>
      </xdr:blipFill>
      <xdr:spPr>
        <a:xfrm>
          <a:off x="4945380" y="807720"/>
          <a:ext cx="3856216" cy="2589600"/>
        </a:xfrm>
        <a:prstGeom prst="rect">
          <a:avLst/>
        </a:prstGeom>
      </xdr:spPr>
    </xdr:pic>
    <xdr:clientData/>
  </xdr:twoCellAnchor>
  <xdr:twoCellAnchor>
    <xdr:from>
      <xdr:col>7</xdr:col>
      <xdr:colOff>533400</xdr:colOff>
      <xdr:row>6</xdr:row>
      <xdr:rowOff>41910</xdr:rowOff>
    </xdr:from>
    <xdr:to>
      <xdr:col>15</xdr:col>
      <xdr:colOff>228600</xdr:colOff>
      <xdr:row>21</xdr:row>
      <xdr:rowOff>41910</xdr:rowOff>
    </xdr:to>
    <xdr:graphicFrame macro="">
      <xdr:nvGraphicFramePr>
        <xdr:cNvPr id="3" name="Chart 2">
          <a:extLst>
            <a:ext uri="{FF2B5EF4-FFF2-40B4-BE49-F238E27FC236}">
              <a16:creationId xmlns:a16="http://schemas.microsoft.com/office/drawing/2014/main" id="{6249CEC1-E376-6FCF-C5D6-933631A50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0</xdr:colOff>
      <xdr:row>15</xdr:row>
      <xdr:rowOff>0</xdr:rowOff>
    </xdr:from>
    <xdr:to>
      <xdr:col>27</xdr:col>
      <xdr:colOff>605055</xdr:colOff>
      <xdr:row>34</xdr:row>
      <xdr:rowOff>35243</xdr:rowOff>
    </xdr:to>
    <xdr:pic>
      <xdr:nvPicPr>
        <xdr:cNvPr id="4" name="Picture 3">
          <a:extLst>
            <a:ext uri="{FF2B5EF4-FFF2-40B4-BE49-F238E27FC236}">
              <a16:creationId xmlns:a16="http://schemas.microsoft.com/office/drawing/2014/main" id="{4E1F1057-E08C-4EF7-BC15-3F2E19A7FAAA}"/>
            </a:ext>
          </a:extLst>
        </xdr:cNvPr>
        <xdr:cNvPicPr>
          <a:picLocks noChangeAspect="1"/>
        </xdr:cNvPicPr>
      </xdr:nvPicPr>
      <xdr:blipFill>
        <a:blip xmlns:r="http://schemas.openxmlformats.org/officeDocument/2006/relationships" r:embed="rId3"/>
        <a:stretch>
          <a:fillRect/>
        </a:stretch>
      </xdr:blipFill>
      <xdr:spPr>
        <a:xfrm>
          <a:off x="12192000" y="2743200"/>
          <a:ext cx="4872255" cy="3509963"/>
        </a:xfrm>
        <a:prstGeom prst="rect">
          <a:avLst/>
        </a:prstGeom>
      </xdr:spPr>
    </xdr:pic>
    <xdr:clientData/>
  </xdr:twoCellAnchor>
  <xdr:twoCellAnchor editAs="oneCell">
    <xdr:from>
      <xdr:col>20</xdr:col>
      <xdr:colOff>0</xdr:colOff>
      <xdr:row>14</xdr:row>
      <xdr:rowOff>152400</xdr:rowOff>
    </xdr:from>
    <xdr:to>
      <xdr:col>30</xdr:col>
      <xdr:colOff>579698</xdr:colOff>
      <xdr:row>35</xdr:row>
      <xdr:rowOff>114633</xdr:rowOff>
    </xdr:to>
    <xdr:pic>
      <xdr:nvPicPr>
        <xdr:cNvPr id="5" name="Picture 4">
          <a:extLst>
            <a:ext uri="{FF2B5EF4-FFF2-40B4-BE49-F238E27FC236}">
              <a16:creationId xmlns:a16="http://schemas.microsoft.com/office/drawing/2014/main" id="{3A5B0602-2840-FB7A-5CD9-EBC75C3F2017}"/>
            </a:ext>
          </a:extLst>
        </xdr:cNvPr>
        <xdr:cNvPicPr>
          <a:picLocks noChangeAspect="1"/>
        </xdr:cNvPicPr>
      </xdr:nvPicPr>
      <xdr:blipFill>
        <a:blip xmlns:r="http://schemas.openxmlformats.org/officeDocument/2006/relationships" r:embed="rId4"/>
        <a:stretch>
          <a:fillRect/>
        </a:stretch>
      </xdr:blipFill>
      <xdr:spPr>
        <a:xfrm>
          <a:off x="12192000" y="2743200"/>
          <a:ext cx="6675698" cy="3848433"/>
        </a:xfrm>
        <a:prstGeom prst="rect">
          <a:avLst/>
        </a:prstGeom>
      </xdr:spPr>
    </xdr:pic>
    <xdr:clientData/>
  </xdr:twoCellAnchor>
  <xdr:twoCellAnchor>
    <xdr:from>
      <xdr:col>22</xdr:col>
      <xdr:colOff>462644</xdr:colOff>
      <xdr:row>36</xdr:row>
      <xdr:rowOff>60553</xdr:rowOff>
    </xdr:from>
    <xdr:to>
      <xdr:col>30</xdr:col>
      <xdr:colOff>136072</xdr:colOff>
      <xdr:row>51</xdr:row>
      <xdr:rowOff>48306</xdr:rowOff>
    </xdr:to>
    <xdr:graphicFrame macro="">
      <xdr:nvGraphicFramePr>
        <xdr:cNvPr id="6" name="Chart 5">
          <a:extLst>
            <a:ext uri="{FF2B5EF4-FFF2-40B4-BE49-F238E27FC236}">
              <a16:creationId xmlns:a16="http://schemas.microsoft.com/office/drawing/2014/main" id="{814081F4-5F84-50A7-8671-7365B299F8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18</xdr:col>
      <xdr:colOff>562189</xdr:colOff>
      <xdr:row>29</xdr:row>
      <xdr:rowOff>114722</xdr:rowOff>
    </xdr:to>
    <xdr:pic>
      <xdr:nvPicPr>
        <xdr:cNvPr id="2" name="Picture 1">
          <a:extLst>
            <a:ext uri="{FF2B5EF4-FFF2-40B4-BE49-F238E27FC236}">
              <a16:creationId xmlns:a16="http://schemas.microsoft.com/office/drawing/2014/main" id="{604B01DB-7A22-297C-B400-9F923F9014B5}"/>
            </a:ext>
          </a:extLst>
        </xdr:cNvPr>
        <xdr:cNvPicPr>
          <a:picLocks noChangeAspect="1"/>
        </xdr:cNvPicPr>
      </xdr:nvPicPr>
      <xdr:blipFill>
        <a:blip xmlns:r="http://schemas.openxmlformats.org/officeDocument/2006/relationships" r:embed="rId1"/>
        <a:stretch>
          <a:fillRect/>
        </a:stretch>
      </xdr:blipFill>
      <xdr:spPr>
        <a:xfrm>
          <a:off x="609600" y="548640"/>
          <a:ext cx="11552921" cy="4869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ncoln%20%20C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ions"/>
      <sheetName val="DCF"/>
      <sheetName val="Balance Sheet"/>
      <sheetName val="Debt Schedule"/>
      <sheetName val="LBO"/>
      <sheetName val="Cash Flow Statement"/>
      <sheetName val="Comps"/>
      <sheetName val="Precedents"/>
      <sheetName val="WACC Comps"/>
      <sheetName val="Sheet1"/>
      <sheetName val="Graphs"/>
      <sheetName val="Sheet3"/>
      <sheetName val="Sheet2"/>
    </sheetNames>
    <sheetDataSet>
      <sheetData sheetId="0"/>
      <sheetData sheetId="1">
        <row r="14">
          <cell r="T14">
            <v>102860.26535658205</v>
          </cell>
        </row>
        <row r="15">
          <cell r="S15">
            <v>94248.357609642509</v>
          </cell>
        </row>
      </sheetData>
      <sheetData sheetId="2"/>
      <sheetData sheetId="3"/>
      <sheetData sheetId="4"/>
      <sheetData sheetId="5"/>
      <sheetData sheetId="6">
        <row r="26">
          <cell r="M26"/>
          <cell r="N26">
            <v>103155.57663526664</v>
          </cell>
        </row>
        <row r="27">
          <cell r="M27"/>
          <cell r="N27">
            <v>56216.67581297076</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lvcva.com/stats-and-facts/"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AED3-484B-452F-AFFB-978F46ADEC7D}">
  <dimension ref="A1:S64"/>
  <sheetViews>
    <sheetView showGridLines="0" zoomScale="64" zoomScaleNormal="55" workbookViewId="0">
      <selection activeCell="M46" sqref="M46"/>
    </sheetView>
  </sheetViews>
  <sheetFormatPr defaultRowHeight="14.4"/>
  <cols>
    <col min="1" max="1" width="80" style="11" customWidth="1"/>
    <col min="2" max="2" width="12.21875" style="11" bestFit="1" customWidth="1"/>
    <col min="3" max="3" width="14" style="11" customWidth="1"/>
    <col min="4" max="4" width="14.44140625" style="11" bestFit="1" customWidth="1"/>
    <col min="5" max="7" width="14" style="11" bestFit="1" customWidth="1"/>
    <col min="8" max="8" width="10.33203125" style="12" bestFit="1" customWidth="1"/>
    <col min="9" max="9" width="15.109375" style="11" bestFit="1" customWidth="1"/>
    <col min="10" max="10" width="15.44140625" style="11" bestFit="1" customWidth="1"/>
    <col min="11" max="14" width="15.44140625" bestFit="1" customWidth="1"/>
    <col min="19" max="19" width="12.5546875" bestFit="1" customWidth="1"/>
  </cols>
  <sheetData>
    <row r="1" spans="1:14" ht="18">
      <c r="A1" s="402" t="s">
        <v>132</v>
      </c>
      <c r="B1" s="404"/>
      <c r="C1" s="404"/>
      <c r="D1" s="404"/>
      <c r="E1" s="24"/>
      <c r="F1" s="24"/>
      <c r="G1" s="24"/>
      <c r="H1" s="25"/>
      <c r="I1" s="24"/>
      <c r="J1" s="24"/>
      <c r="K1" s="24"/>
      <c r="L1" s="24"/>
      <c r="M1" s="24"/>
      <c r="N1" s="461"/>
    </row>
    <row r="2" spans="1:14" ht="18">
      <c r="A2" s="403"/>
      <c r="B2" s="462" t="s">
        <v>133</v>
      </c>
      <c r="C2" s="462" t="s">
        <v>134</v>
      </c>
      <c r="D2" s="462" t="s">
        <v>135</v>
      </c>
      <c r="E2" s="462" t="s">
        <v>124</v>
      </c>
      <c r="F2" s="462" t="s">
        <v>136</v>
      </c>
      <c r="G2" s="462" t="s">
        <v>137</v>
      </c>
      <c r="H2" s="463" t="s">
        <v>138</v>
      </c>
      <c r="I2" s="462" t="s">
        <v>152</v>
      </c>
      <c r="J2" s="462" t="s">
        <v>170</v>
      </c>
      <c r="K2" s="462" t="s">
        <v>171</v>
      </c>
      <c r="L2" s="462" t="s">
        <v>172</v>
      </c>
      <c r="M2" s="462" t="s">
        <v>173</v>
      </c>
      <c r="N2" s="464" t="s">
        <v>174</v>
      </c>
    </row>
    <row r="3" spans="1:14">
      <c r="A3" s="27" t="s">
        <v>31</v>
      </c>
      <c r="B3" s="465" t="s">
        <v>4</v>
      </c>
      <c r="C3" s="465" t="s">
        <v>4</v>
      </c>
      <c r="D3" s="465" t="s">
        <v>4</v>
      </c>
      <c r="E3" s="465" t="s">
        <v>4</v>
      </c>
      <c r="F3" s="466"/>
      <c r="G3" s="466"/>
      <c r="H3" s="467"/>
      <c r="I3" s="466"/>
      <c r="J3" s="466"/>
      <c r="K3" s="466"/>
      <c r="L3" s="466"/>
      <c r="M3" s="466"/>
      <c r="N3" s="468"/>
    </row>
    <row r="4" spans="1:14">
      <c r="A4" s="31" t="s">
        <v>30</v>
      </c>
      <c r="B4" s="469">
        <v>1007508</v>
      </c>
      <c r="C4" s="469">
        <v>1167972</v>
      </c>
      <c r="D4" s="469">
        <v>1464245</v>
      </c>
      <c r="E4" s="470">
        <v>478394</v>
      </c>
      <c r="F4" s="470">
        <v>495355</v>
      </c>
      <c r="G4" s="470">
        <v>500212</v>
      </c>
      <c r="H4" s="470">
        <f>(1+H5)*G4</f>
        <v>511531.57978140685</v>
      </c>
      <c r="I4" s="471">
        <f>SUM(E4:H4)</f>
        <v>1985492.5797814068</v>
      </c>
      <c r="J4" s="472">
        <f>'Rev Build'!G6</f>
        <v>2035129.8942759419</v>
      </c>
      <c r="K4" s="472">
        <f>'Rev Build'!H6</f>
        <v>2086008.1416328403</v>
      </c>
      <c r="L4" s="472">
        <f>'Rev Build'!I6</f>
        <v>2138158.3451736611</v>
      </c>
      <c r="M4" s="472">
        <f>'Rev Build'!J6</f>
        <v>2191612.3038030025</v>
      </c>
      <c r="N4" s="473">
        <f>'Rev Build'!K6</f>
        <v>2246402.6113980771</v>
      </c>
    </row>
    <row r="5" spans="1:14" hidden="1">
      <c r="A5" s="31"/>
      <c r="B5" s="469"/>
      <c r="C5" s="469"/>
      <c r="D5" s="469"/>
      <c r="E5" s="470"/>
      <c r="F5" s="34">
        <f t="shared" ref="F5:G5" si="0">(F4-E4)/E4</f>
        <v>3.5454039975417753E-2</v>
      </c>
      <c r="G5" s="34">
        <f t="shared" si="0"/>
        <v>9.8050892794056786E-3</v>
      </c>
      <c r="H5" s="34">
        <f>AVERAGE(F5:G5)</f>
        <v>2.2629564627411718E-2</v>
      </c>
      <c r="I5" s="471"/>
      <c r="J5" s="472">
        <f>'Rev Build'!G7</f>
        <v>0</v>
      </c>
      <c r="K5" s="472">
        <f>'Rev Build'!H7</f>
        <v>0</v>
      </c>
      <c r="L5" s="472">
        <f>'Rev Build'!I7</f>
        <v>0</v>
      </c>
      <c r="M5" s="472">
        <f>'Rev Build'!J7</f>
        <v>0</v>
      </c>
      <c r="N5" s="473">
        <f>'Rev Build'!K7</f>
        <v>0</v>
      </c>
    </row>
    <row r="6" spans="1:14">
      <c r="A6" s="31" t="s">
        <v>29</v>
      </c>
      <c r="B6" s="469">
        <v>25464</v>
      </c>
      <c r="C6" s="469">
        <v>0</v>
      </c>
      <c r="D6" s="469">
        <v>0</v>
      </c>
      <c r="E6" s="470">
        <v>0</v>
      </c>
      <c r="F6" s="470">
        <v>0</v>
      </c>
      <c r="G6" s="470">
        <v>0</v>
      </c>
      <c r="H6" s="470">
        <v>0</v>
      </c>
      <c r="I6" s="471">
        <f t="shared" ref="I6:I10" si="1">SUM(E6:H6)</f>
        <v>0</v>
      </c>
      <c r="J6" s="472">
        <f>'Rev Build'!G7</f>
        <v>0</v>
      </c>
      <c r="K6" s="472">
        <f>'Rev Build'!H7</f>
        <v>0</v>
      </c>
      <c r="L6" s="472">
        <f>'Rev Build'!I7</f>
        <v>0</v>
      </c>
      <c r="M6" s="472">
        <f>'Rev Build'!J7</f>
        <v>0</v>
      </c>
      <c r="N6" s="473">
        <f>'Rev Build'!K7</f>
        <v>0</v>
      </c>
    </row>
    <row r="7" spans="1:14">
      <c r="A7" s="31" t="s">
        <v>28</v>
      </c>
      <c r="B7" s="469">
        <v>153017</v>
      </c>
      <c r="C7" s="469">
        <v>283242</v>
      </c>
      <c r="D7" s="469">
        <v>1041229</v>
      </c>
      <c r="E7" s="470">
        <v>371069</v>
      </c>
      <c r="F7" s="470">
        <v>373132</v>
      </c>
      <c r="G7" s="470">
        <v>378502</v>
      </c>
      <c r="H7" s="470">
        <f>AVERAGE(E7:G7)</f>
        <v>374234.33333333331</v>
      </c>
      <c r="I7" s="471">
        <f t="shared" si="1"/>
        <v>1496937.3333333333</v>
      </c>
      <c r="J7" s="472">
        <f>'Rev Build'!G8</f>
        <v>1534360.7666666664</v>
      </c>
      <c r="K7" s="472">
        <f>'Rev Build'!H8</f>
        <v>1572719.7858333329</v>
      </c>
      <c r="L7" s="472">
        <f>'Rev Build'!I8</f>
        <v>1612037.7804791662</v>
      </c>
      <c r="M7" s="472">
        <f>'Rev Build'!J8</f>
        <v>1652338.7249911453</v>
      </c>
      <c r="N7" s="473">
        <f>'Rev Build'!K8</f>
        <v>1693647.1931159238</v>
      </c>
    </row>
    <row r="8" spans="1:14">
      <c r="A8" s="31" t="s">
        <v>27</v>
      </c>
      <c r="B8" s="469">
        <v>15793</v>
      </c>
      <c r="C8" s="469">
        <v>27808</v>
      </c>
      <c r="D8" s="469">
        <v>59629</v>
      </c>
      <c r="E8" s="470">
        <v>18339</v>
      </c>
      <c r="F8" s="470">
        <v>18525</v>
      </c>
      <c r="G8" s="470">
        <v>18179</v>
      </c>
      <c r="H8" s="470">
        <f>AVERAGE(E8:G8)</f>
        <v>18347.666666666668</v>
      </c>
      <c r="I8" s="471">
        <f t="shared" si="1"/>
        <v>73390.666666666672</v>
      </c>
      <c r="J8" s="472">
        <f>'Rev Build'!G9</f>
        <v>80729.733333333352</v>
      </c>
      <c r="K8" s="472">
        <f>'Rev Build'!H9</f>
        <v>88802.706666666694</v>
      </c>
      <c r="L8" s="472">
        <f>'Rev Build'!I9</f>
        <v>97682.977333333372</v>
      </c>
      <c r="M8" s="472">
        <f>'Rev Build'!J9</f>
        <v>107451.27506666671</v>
      </c>
      <c r="N8" s="473">
        <f>'Rev Build'!K9</f>
        <v>118196.4025733334</v>
      </c>
    </row>
    <row r="9" spans="1:14">
      <c r="A9" s="31" t="s">
        <v>104</v>
      </c>
      <c r="B9" s="469">
        <v>23792</v>
      </c>
      <c r="C9" s="469">
        <v>30546</v>
      </c>
      <c r="D9" s="469">
        <v>35594</v>
      </c>
      <c r="E9" s="470">
        <v>9845</v>
      </c>
      <c r="F9" s="470">
        <v>11146</v>
      </c>
      <c r="G9" s="470">
        <v>7425</v>
      </c>
      <c r="H9" s="470">
        <f>AVERAGE(E9:G9)</f>
        <v>9472</v>
      </c>
      <c r="I9" s="471">
        <f t="shared" si="1"/>
        <v>37888</v>
      </c>
      <c r="J9" s="472">
        <f>'Rev Build'!G10</f>
        <v>42239.588695989398</v>
      </c>
      <c r="K9" s="472">
        <f>'Rev Build'!H10</f>
        <v>46026.432734867856</v>
      </c>
      <c r="L9" s="472">
        <f>'Rev Build'!I10</f>
        <v>50732.763109697611</v>
      </c>
      <c r="M9" s="472">
        <f>'Rev Build'!J10</f>
        <v>55600.681051204658</v>
      </c>
      <c r="N9" s="473">
        <f>'Rev Build'!K10</f>
        <v>61110.845536908622</v>
      </c>
    </row>
    <row r="10" spans="1:14" ht="15" thickBot="1">
      <c r="A10" s="35" t="s">
        <v>26</v>
      </c>
      <c r="B10" s="20">
        <f>SUM(B4:B9)</f>
        <v>1225574</v>
      </c>
      <c r="C10" s="20">
        <f t="shared" ref="C10:D10" si="2">SUM(C4:C9)</f>
        <v>1509568</v>
      </c>
      <c r="D10" s="20">
        <f t="shared" si="2"/>
        <v>2600697</v>
      </c>
      <c r="E10" s="20">
        <f>SUM(E4:E9)</f>
        <v>877647</v>
      </c>
      <c r="F10" s="20">
        <f>F4+F6+F7+F8+F9</f>
        <v>898158</v>
      </c>
      <c r="G10" s="20">
        <f>G4+G6+G7+G8+G9</f>
        <v>904318</v>
      </c>
      <c r="H10" s="20">
        <f>H4+H6+H7+H8+H9</f>
        <v>913585.57978140679</v>
      </c>
      <c r="I10" s="21">
        <f t="shared" si="1"/>
        <v>3593708.5797814066</v>
      </c>
      <c r="J10" s="73">
        <f>'Rev Build'!G11</f>
        <v>3692459.9829719313</v>
      </c>
      <c r="K10" s="73">
        <f>'Rev Build'!H11</f>
        <v>3793557.0668677078</v>
      </c>
      <c r="L10" s="73">
        <f>'Rev Build'!I11</f>
        <v>3898611.8660958582</v>
      </c>
      <c r="M10" s="73">
        <f>'Rev Build'!J11</f>
        <v>4007002.9849120192</v>
      </c>
      <c r="N10" s="474">
        <f>'Rev Build'!K11</f>
        <v>4119357.0526242433</v>
      </c>
    </row>
    <row r="11" spans="1:14">
      <c r="A11" s="36" t="s">
        <v>131</v>
      </c>
      <c r="B11" s="475"/>
      <c r="C11" s="63">
        <f>(C10-B10)/B10</f>
        <v>0.23172325783673609</v>
      </c>
      <c r="D11" s="63">
        <f t="shared" ref="D11:F11" si="3">(D10-C10)/C10</f>
        <v>0.72280877708059521</v>
      </c>
      <c r="E11" s="63"/>
      <c r="F11" s="63">
        <f t="shared" si="3"/>
        <v>2.3370443925632971E-2</v>
      </c>
      <c r="G11" s="63">
        <f>(G10-F10)/F10</f>
        <v>6.8584814698527431E-3</v>
      </c>
      <c r="H11" s="63">
        <f>(H10-G10)/G10</f>
        <v>1.0248142557603401E-2</v>
      </c>
      <c r="I11" s="63">
        <f>(I10-D10)/D10</f>
        <v>0.38182517216784828</v>
      </c>
      <c r="J11" s="63">
        <f>(J10-I10)/I10</f>
        <v>2.7478968034890437E-2</v>
      </c>
      <c r="K11" s="63">
        <f t="shared" ref="K11:N11" si="4">(K10-J10)/J10</f>
        <v>2.7379330950638204E-2</v>
      </c>
      <c r="L11" s="63">
        <f t="shared" si="4"/>
        <v>2.7692953440896256E-2</v>
      </c>
      <c r="M11" s="63">
        <f t="shared" si="4"/>
        <v>2.7802490357858048E-2</v>
      </c>
      <c r="N11" s="71">
        <f t="shared" si="4"/>
        <v>2.8039427006988121E-2</v>
      </c>
    </row>
    <row r="12" spans="1:14">
      <c r="A12" s="27" t="s">
        <v>142</v>
      </c>
      <c r="B12" s="465" t="s">
        <v>4</v>
      </c>
      <c r="C12" s="465" t="s">
        <v>4</v>
      </c>
      <c r="D12" s="465" t="s">
        <v>4</v>
      </c>
      <c r="E12" s="465" t="s">
        <v>4</v>
      </c>
      <c r="F12" s="466"/>
      <c r="G12" s="466"/>
      <c r="H12" s="467"/>
      <c r="I12" s="466"/>
      <c r="J12" s="466"/>
      <c r="K12" s="466"/>
      <c r="L12" s="466"/>
      <c r="M12" s="466"/>
      <c r="N12" s="468"/>
    </row>
    <row r="13" spans="1:14">
      <c r="A13" s="31" t="s">
        <v>25</v>
      </c>
      <c r="B13" s="469">
        <v>30661</v>
      </c>
      <c r="C13" s="469">
        <v>33122</v>
      </c>
      <c r="D13" s="469">
        <v>48340</v>
      </c>
      <c r="E13" s="475">
        <v>15005</v>
      </c>
      <c r="F13" s="475">
        <v>14920</v>
      </c>
      <c r="G13" s="475">
        <v>14422</v>
      </c>
      <c r="H13" s="476">
        <f>AVERAGE(E13:G13)</f>
        <v>14782.333333333334</v>
      </c>
      <c r="I13" s="471">
        <f>SUM(E13:H13)</f>
        <v>59129.333333333336</v>
      </c>
      <c r="J13" s="477">
        <f>J10*J14</f>
        <v>64786.529215487375</v>
      </c>
      <c r="K13" s="477">
        <f t="shared" ref="K13:N13" si="5">K10*K14</f>
        <v>66560.341040021391</v>
      </c>
      <c r="L13" s="477">
        <f t="shared" si="5"/>
        <v>66276.401723629591</v>
      </c>
      <c r="M13" s="477">
        <f t="shared" si="5"/>
        <v>68119.050743504326</v>
      </c>
      <c r="N13" s="478">
        <f t="shared" si="5"/>
        <v>70029.069894612141</v>
      </c>
    </row>
    <row r="14" spans="1:14">
      <c r="A14" s="36" t="s">
        <v>175</v>
      </c>
      <c r="B14" s="63">
        <f>B13/B10</f>
        <v>2.501766519198351E-2</v>
      </c>
      <c r="C14" s="63">
        <f t="shared" ref="C14:I14" si="6">C13/C10</f>
        <v>2.1941376605757408E-2</v>
      </c>
      <c r="D14" s="63">
        <f t="shared" si="6"/>
        <v>1.8587324859451141E-2</v>
      </c>
      <c r="E14" s="63">
        <f t="shared" si="6"/>
        <v>1.7096851011853285E-2</v>
      </c>
      <c r="F14" s="63">
        <f t="shared" si="6"/>
        <v>1.6611776547110865E-2</v>
      </c>
      <c r="G14" s="63">
        <f t="shared" si="6"/>
        <v>1.5947929821146987E-2</v>
      </c>
      <c r="H14" s="63">
        <f t="shared" si="6"/>
        <v>1.618056771087641E-2</v>
      </c>
      <c r="I14" s="63">
        <f t="shared" si="6"/>
        <v>1.6453569347832309E-2</v>
      </c>
      <c r="J14" s="63">
        <f>AVERAGE(C14:I14)</f>
        <v>1.7545627986289773E-2</v>
      </c>
      <c r="K14" s="63">
        <v>1.7545627986289773E-2</v>
      </c>
      <c r="L14" s="63">
        <v>1.7000000000000001E-2</v>
      </c>
      <c r="M14" s="63">
        <v>1.7000000000000001E-2</v>
      </c>
      <c r="N14" s="71">
        <v>1.7000000000000001E-2</v>
      </c>
    </row>
    <row r="15" spans="1:14">
      <c r="A15" s="31" t="s">
        <v>24</v>
      </c>
      <c r="B15" s="469">
        <v>3731</v>
      </c>
      <c r="C15" s="469">
        <v>3091</v>
      </c>
      <c r="D15" s="469">
        <v>3182</v>
      </c>
      <c r="E15" s="475">
        <v>814</v>
      </c>
      <c r="F15" s="475">
        <v>887</v>
      </c>
      <c r="G15" s="475">
        <v>1011</v>
      </c>
      <c r="H15" s="476">
        <f t="shared" ref="H15:H23" si="7">AVERAGE(E15:G15)</f>
        <v>904</v>
      </c>
      <c r="I15" s="471">
        <f t="shared" ref="I15:I41" si="8">SUM(E15:H15)</f>
        <v>3616</v>
      </c>
      <c r="J15" s="477">
        <f>'CF Simpler'!F9</f>
        <v>3489.3746839084752</v>
      </c>
      <c r="K15" s="477">
        <f>'CF Simpler'!G9</f>
        <v>3452.1369308496141</v>
      </c>
      <c r="L15" s="477">
        <f>'CF Simpler'!H9</f>
        <v>3274.8339675205207</v>
      </c>
      <c r="M15" s="477">
        <f>'CF Simpler'!I9</f>
        <v>3085.3922983822549</v>
      </c>
      <c r="N15" s="478">
        <f>'CF Simpler'!J9</f>
        <v>2854.7144374686004</v>
      </c>
    </row>
    <row r="16" spans="1:14" hidden="1">
      <c r="A16" s="36" t="s">
        <v>176</v>
      </c>
      <c r="B16" s="63">
        <f>B15/B10</f>
        <v>3.0442878194217567E-3</v>
      </c>
      <c r="C16" s="63">
        <f t="shared" ref="C16:I16" si="9">C15/C10</f>
        <v>2.0476056726162718E-3</v>
      </c>
      <c r="D16" s="63">
        <f t="shared" si="9"/>
        <v>1.2235181568633331E-3</v>
      </c>
      <c r="E16" s="63">
        <f t="shared" si="9"/>
        <v>9.2747995492492997E-4</v>
      </c>
      <c r="F16" s="63">
        <f t="shared" si="9"/>
        <v>9.8757679606483492E-4</v>
      </c>
      <c r="G16" s="63">
        <f t="shared" si="9"/>
        <v>1.117969563803883E-3</v>
      </c>
      <c r="H16" s="63">
        <f t="shared" si="9"/>
        <v>9.8950773743199799E-4</v>
      </c>
      <c r="I16" s="63">
        <f t="shared" si="9"/>
        <v>1.0062029014661922E-3</v>
      </c>
      <c r="J16" s="63">
        <v>1E-3</v>
      </c>
      <c r="K16" s="63">
        <f t="shared" ref="K16:N16" si="10">AVERAGE(D16:J16)</f>
        <v>1.0360364443650243E-3</v>
      </c>
      <c r="L16" s="63">
        <f t="shared" si="10"/>
        <v>1.0092533425795519E-3</v>
      </c>
      <c r="M16" s="63">
        <f t="shared" si="10"/>
        <v>1.0209352551016405E-3</v>
      </c>
      <c r="N16" s="71">
        <f t="shared" si="10"/>
        <v>1.0257007492497556E-3</v>
      </c>
    </row>
    <row r="17" spans="1:19">
      <c r="A17" s="31" t="s">
        <v>23</v>
      </c>
      <c r="B17" s="469">
        <v>15793</v>
      </c>
      <c r="C17" s="469">
        <v>27808</v>
      </c>
      <c r="D17" s="469">
        <v>59629</v>
      </c>
      <c r="E17" s="475">
        <v>18339</v>
      </c>
      <c r="F17" s="475">
        <v>18525</v>
      </c>
      <c r="G17" s="475">
        <v>18179</v>
      </c>
      <c r="H17" s="476">
        <f t="shared" si="7"/>
        <v>18347.666666666668</v>
      </c>
      <c r="I17" s="471">
        <f t="shared" si="8"/>
        <v>73390.666666666672</v>
      </c>
      <c r="J17" s="477">
        <f>J10*J18</f>
        <v>75683.828854389445</v>
      </c>
      <c r="K17" s="477">
        <f t="shared" ref="K17:N17" si="11">K10*K18</f>
        <v>77767.919870788013</v>
      </c>
      <c r="L17" s="477">
        <f t="shared" si="11"/>
        <v>79713.032959965887</v>
      </c>
      <c r="M17" s="477">
        <f t="shared" si="11"/>
        <v>81672.15987253857</v>
      </c>
      <c r="N17" s="478">
        <f t="shared" si="11"/>
        <v>83819.087314029064</v>
      </c>
    </row>
    <row r="18" spans="1:19">
      <c r="A18" s="36" t="s">
        <v>175</v>
      </c>
      <c r="B18" s="63">
        <f>B17/B10</f>
        <v>1.2886206789634898E-2</v>
      </c>
      <c r="C18" s="63">
        <f t="shared" ref="C18:I18" si="12">C17/C10</f>
        <v>1.8421164200618984E-2</v>
      </c>
      <c r="D18" s="63">
        <f t="shared" si="12"/>
        <v>2.2928084278945222E-2</v>
      </c>
      <c r="E18" s="63">
        <f t="shared" si="12"/>
        <v>2.0895644832147776E-2</v>
      </c>
      <c r="F18" s="63">
        <f t="shared" si="12"/>
        <v>2.0625546952763321E-2</v>
      </c>
      <c r="G18" s="63">
        <f t="shared" si="12"/>
        <v>2.010244184014915E-2</v>
      </c>
      <c r="H18" s="63">
        <f t="shared" si="12"/>
        <v>2.0083139524878123E-2</v>
      </c>
      <c r="I18" s="63">
        <f t="shared" si="12"/>
        <v>2.0421986100812545E-2</v>
      </c>
      <c r="J18" s="63">
        <f>AVERAGE(C18:I18)</f>
        <v>2.0496858247187878E-2</v>
      </c>
      <c r="K18" s="63">
        <v>2.0500000000000001E-2</v>
      </c>
      <c r="L18" s="63">
        <f t="shared" ref="L18:N18" si="13">AVERAGE(E18:K18)</f>
        <v>2.0446516785419828E-2</v>
      </c>
      <c r="M18" s="63">
        <f t="shared" si="13"/>
        <v>2.0382355635887261E-2</v>
      </c>
      <c r="N18" s="71">
        <f t="shared" si="13"/>
        <v>2.0347614019190684E-2</v>
      </c>
    </row>
    <row r="19" spans="1:19">
      <c r="A19" s="31" t="s">
        <v>105</v>
      </c>
      <c r="B19" s="469">
        <v>17632</v>
      </c>
      <c r="C19" s="469">
        <v>20762</v>
      </c>
      <c r="D19" s="469">
        <v>22602</v>
      </c>
      <c r="E19" s="475">
        <v>5952</v>
      </c>
      <c r="F19" s="475">
        <v>6590</v>
      </c>
      <c r="G19" s="475">
        <v>6332</v>
      </c>
      <c r="H19" s="476">
        <f t="shared" si="7"/>
        <v>6291.333333333333</v>
      </c>
      <c r="I19" s="471">
        <f>SUM(E19:H19)</f>
        <v>25165.333333333332</v>
      </c>
      <c r="J19" s="477">
        <f>J20*J10</f>
        <v>30306.840656108376</v>
      </c>
      <c r="K19" s="477">
        <f t="shared" ref="K19:N19" si="14">K20*K10</f>
        <v>28131.12756812368</v>
      </c>
      <c r="L19" s="477">
        <f t="shared" si="14"/>
        <v>28199.920384248511</v>
      </c>
      <c r="M19" s="477">
        <f t="shared" si="14"/>
        <v>29242.430713172311</v>
      </c>
      <c r="N19" s="478">
        <f t="shared" si="14"/>
        <v>30039.18086623316</v>
      </c>
    </row>
    <row r="20" spans="1:19">
      <c r="A20" s="36" t="s">
        <v>175</v>
      </c>
      <c r="B20" s="63">
        <f>B19/B10</f>
        <v>1.4386728177980278E-2</v>
      </c>
      <c r="C20" s="63">
        <f t="shared" ref="C20:H20" si="15">C19/C10</f>
        <v>1.3753603679993216E-2</v>
      </c>
      <c r="D20" s="63">
        <f t="shared" si="15"/>
        <v>8.6907471343259136E-3</v>
      </c>
      <c r="E20" s="63">
        <f t="shared" si="15"/>
        <v>6.7817698915395366E-3</v>
      </c>
      <c r="F20" s="63">
        <f t="shared" si="15"/>
        <v>7.3372391049236329E-3</v>
      </c>
      <c r="G20" s="63">
        <f t="shared" si="15"/>
        <v>7.0019616993137372E-3</v>
      </c>
      <c r="H20" s="63">
        <f t="shared" si="15"/>
        <v>6.8864192611694432E-3</v>
      </c>
      <c r="I20" s="63">
        <f>I19/I10</f>
        <v>7.0026082456758516E-3</v>
      </c>
      <c r="J20" s="63">
        <f>AVERAGE(C20:I20)</f>
        <v>8.2077641452773346E-3</v>
      </c>
      <c r="K20" s="63">
        <f t="shared" ref="K20:N20" si="16">AVERAGE(D20:J20)</f>
        <v>7.4155013546036352E-3</v>
      </c>
      <c r="L20" s="63">
        <f t="shared" si="16"/>
        <v>7.2333233860718818E-3</v>
      </c>
      <c r="M20" s="63">
        <f t="shared" si="16"/>
        <v>7.2978310281479313E-3</v>
      </c>
      <c r="N20" s="71">
        <f t="shared" si="16"/>
        <v>7.292201302894259E-3</v>
      </c>
    </row>
    <row r="21" spans="1:19">
      <c r="A21" s="31" t="s">
        <v>22</v>
      </c>
      <c r="B21" s="469">
        <v>244517</v>
      </c>
      <c r="C21" s="469">
        <v>-19554</v>
      </c>
      <c r="D21" s="469">
        <v>834494</v>
      </c>
      <c r="E21" s="475">
        <v>111477</v>
      </c>
      <c r="F21" s="475">
        <v>-41355</v>
      </c>
      <c r="G21" s="475">
        <v>95997</v>
      </c>
      <c r="H21" s="476">
        <f t="shared" si="7"/>
        <v>55373</v>
      </c>
      <c r="I21" s="471">
        <f t="shared" si="8"/>
        <v>221492</v>
      </c>
      <c r="J21" s="479">
        <v>200000</v>
      </c>
      <c r="K21" s="479">
        <v>200000</v>
      </c>
      <c r="L21" s="479">
        <v>200000</v>
      </c>
      <c r="M21" s="479">
        <v>200000</v>
      </c>
      <c r="N21" s="480">
        <v>200000</v>
      </c>
      <c r="O21" t="s">
        <v>494</v>
      </c>
    </row>
    <row r="22" spans="1:19" hidden="1">
      <c r="A22" s="36" t="s">
        <v>175</v>
      </c>
      <c r="B22" s="63">
        <f>B21/B10</f>
        <v>0.19951222855576245</v>
      </c>
      <c r="C22" s="63">
        <f t="shared" ref="C22:I22" si="17">C21/C10</f>
        <v>-1.295337474032306E-2</v>
      </c>
      <c r="D22" s="63">
        <f t="shared" si="17"/>
        <v>0.32087321206584235</v>
      </c>
      <c r="E22" s="63">
        <f t="shared" si="17"/>
        <v>0.12701803800388994</v>
      </c>
      <c r="F22" s="63">
        <f t="shared" si="17"/>
        <v>-4.6044237205480551E-2</v>
      </c>
      <c r="G22" s="63">
        <f t="shared" si="17"/>
        <v>0.10615402988771649</v>
      </c>
      <c r="H22" s="63">
        <f t="shared" si="17"/>
        <v>6.0610632682325256E-2</v>
      </c>
      <c r="I22" s="63">
        <f t="shared" si="17"/>
        <v>6.1633266883725064E-2</v>
      </c>
      <c r="J22" s="63"/>
      <c r="K22" s="63"/>
      <c r="L22" s="63"/>
      <c r="M22" s="63"/>
      <c r="N22" s="71"/>
    </row>
    <row r="23" spans="1:19">
      <c r="A23" s="31" t="s">
        <v>21</v>
      </c>
      <c r="B23" s="469">
        <v>8684</v>
      </c>
      <c r="C23" s="469">
        <v>10402</v>
      </c>
      <c r="D23" s="469">
        <v>22653</v>
      </c>
      <c r="E23" s="475">
        <v>-958</v>
      </c>
      <c r="F23" s="475">
        <v>777</v>
      </c>
      <c r="G23" s="475">
        <v>3566</v>
      </c>
      <c r="H23" s="476">
        <f t="shared" si="7"/>
        <v>1128.3333333333333</v>
      </c>
      <c r="I23" s="471">
        <f>SUM(E23:H23)</f>
        <v>4513.333333333333</v>
      </c>
      <c r="J23" s="477">
        <f>J10*J24</f>
        <v>11504.060193386125</v>
      </c>
      <c r="K23" s="477">
        <f t="shared" ref="K23:N23" si="18">K10*K24</f>
        <v>9773.1365605103638</v>
      </c>
      <c r="L23" s="477">
        <f t="shared" si="18"/>
        <v>6627.4237758237969</v>
      </c>
      <c r="M23" s="477">
        <f t="shared" si="18"/>
        <v>8409.6179381141665</v>
      </c>
      <c r="N23" s="478">
        <f t="shared" si="18"/>
        <v>9371.3826496633792</v>
      </c>
    </row>
    <row r="24" spans="1:19">
      <c r="A24" s="36" t="s">
        <v>175</v>
      </c>
      <c r="B24" s="63">
        <f>B23/B10</f>
        <v>7.0856594542638793E-3</v>
      </c>
      <c r="C24" s="63">
        <f t="shared" ref="C24:I24" si="19">C23/C10</f>
        <v>6.8907131046763046E-3</v>
      </c>
      <c r="D24" s="63">
        <f t="shared" si="19"/>
        <v>8.710357261918631E-3</v>
      </c>
      <c r="E24" s="63">
        <f t="shared" si="19"/>
        <v>-1.0915550329460477E-3</v>
      </c>
      <c r="F24" s="63">
        <f t="shared" si="19"/>
        <v>8.6510391267460732E-4</v>
      </c>
      <c r="G24" s="63">
        <f t="shared" si="19"/>
        <v>3.9433031300936177E-3</v>
      </c>
      <c r="H24" s="63">
        <f t="shared" si="19"/>
        <v>1.2350603581147909E-3</v>
      </c>
      <c r="I24" s="63">
        <f t="shared" si="19"/>
        <v>1.255898532987854E-3</v>
      </c>
      <c r="J24" s="63">
        <f>AVERAGE(C24:I24)</f>
        <v>3.1155544667885371E-3</v>
      </c>
      <c r="K24" s="63">
        <f t="shared" ref="K24:N24" si="20">AVERAGE(D24:J24)</f>
        <v>2.5762460899474275E-3</v>
      </c>
      <c r="L24" s="63">
        <f t="shared" si="20"/>
        <v>1.699944493951541E-3</v>
      </c>
      <c r="M24" s="63">
        <f t="shared" si="20"/>
        <v>2.0987301406511965E-3</v>
      </c>
      <c r="N24" s="71">
        <f t="shared" si="20"/>
        <v>2.2749624589335667E-3</v>
      </c>
    </row>
    <row r="25" spans="1:19" ht="15" thickBot="1">
      <c r="A25" s="35" t="s">
        <v>20</v>
      </c>
      <c r="B25" s="20">
        <f>B13+B15+B17+B19+B21+B23</f>
        <v>321018</v>
      </c>
      <c r="C25" s="20">
        <f t="shared" ref="C25:H25" si="21">C13+C15+C17+C19+C21+C23</f>
        <v>75631</v>
      </c>
      <c r="D25" s="20">
        <f>D13+D15+D17+D19+D21+D23</f>
        <v>990900</v>
      </c>
      <c r="E25" s="20">
        <f t="shared" si="21"/>
        <v>150629</v>
      </c>
      <c r="F25" s="20">
        <f>F13+F15+F17+F19+F21+F23</f>
        <v>344</v>
      </c>
      <c r="G25" s="20">
        <f t="shared" si="21"/>
        <v>139507</v>
      </c>
      <c r="H25" s="20">
        <f t="shared" si="21"/>
        <v>96826.666666666672</v>
      </c>
      <c r="I25" s="20">
        <f>I13+I15+I17+I19+I21+I23</f>
        <v>387306.66666666669</v>
      </c>
      <c r="J25" s="20">
        <f t="shared" ref="J25:N25" si="22">J13+J15+J17+J19+J21+J23</f>
        <v>385770.63360327977</v>
      </c>
      <c r="K25" s="20">
        <f t="shared" si="22"/>
        <v>385684.66197029309</v>
      </c>
      <c r="L25" s="20">
        <f t="shared" si="22"/>
        <v>384091.61281118833</v>
      </c>
      <c r="M25" s="20">
        <f t="shared" si="22"/>
        <v>390528.6515657116</v>
      </c>
      <c r="N25" s="481">
        <f t="shared" si="22"/>
        <v>396113.4351620063</v>
      </c>
    </row>
    <row r="26" spans="1:19">
      <c r="A26" s="31" t="s">
        <v>19</v>
      </c>
      <c r="B26" s="469">
        <v>0</v>
      </c>
      <c r="C26" s="469">
        <v>0</v>
      </c>
      <c r="D26" s="469">
        <v>59769</v>
      </c>
      <c r="E26" s="475">
        <v>1280</v>
      </c>
      <c r="F26" s="475">
        <v>0</v>
      </c>
      <c r="G26" s="475">
        <v>0</v>
      </c>
      <c r="H26" s="476">
        <v>0</v>
      </c>
      <c r="I26" s="477">
        <f t="shared" si="8"/>
        <v>1280</v>
      </c>
      <c r="J26" s="477">
        <v>0</v>
      </c>
      <c r="K26" s="477">
        <v>0</v>
      </c>
      <c r="L26" s="477">
        <v>0</v>
      </c>
      <c r="M26" s="477">
        <v>0</v>
      </c>
      <c r="N26" s="478">
        <v>0</v>
      </c>
    </row>
    <row r="27" spans="1:19">
      <c r="A27" s="31" t="s">
        <v>18</v>
      </c>
      <c r="B27" s="479">
        <v>-308605</v>
      </c>
      <c r="C27" s="479">
        <v>-392390</v>
      </c>
      <c r="D27" s="479">
        <v>-539953</v>
      </c>
      <c r="E27" s="477">
        <v>-204360</v>
      </c>
      <c r="F27" s="477">
        <v>-203594</v>
      </c>
      <c r="G27" s="477">
        <v>-204927</v>
      </c>
      <c r="H27" s="477">
        <f>AVERAGE(E27:G27)</f>
        <v>-204293.66666666666</v>
      </c>
      <c r="I27" s="477">
        <f t="shared" si="8"/>
        <v>-817174.66666666663</v>
      </c>
      <c r="J27" s="477">
        <f>-J28*J10</f>
        <v>-855351.24081314041</v>
      </c>
      <c r="K27" s="477">
        <f t="shared" ref="K27:N27" si="23">-K28*K10</f>
        <v>-849904.13470534072</v>
      </c>
      <c r="L27" s="477">
        <f t="shared" si="23"/>
        <v>-888322.38749627315</v>
      </c>
      <c r="M27" s="477">
        <f t="shared" si="23"/>
        <v>-909783.36300106987</v>
      </c>
      <c r="N27" s="478">
        <f t="shared" si="23"/>
        <v>-929979.48407866736</v>
      </c>
    </row>
    <row r="28" spans="1:19">
      <c r="A28" s="31" t="s">
        <v>175</v>
      </c>
      <c r="B28" s="482">
        <f>-B27/B10</f>
        <v>0.25180446060376604</v>
      </c>
      <c r="C28" s="482">
        <f>-C27/C10</f>
        <v>0.25993529274600413</v>
      </c>
      <c r="D28" s="482">
        <f t="shared" ref="D28:I28" si="24">-D27/D10</f>
        <v>0.20761857302100167</v>
      </c>
      <c r="E28" s="482">
        <f t="shared" si="24"/>
        <v>0.23284988155830305</v>
      </c>
      <c r="F28" s="482">
        <f t="shared" si="24"/>
        <v>0.22667949291772718</v>
      </c>
      <c r="G28" s="482">
        <f t="shared" si="24"/>
        <v>0.22660944490765417</v>
      </c>
      <c r="H28" s="482">
        <f t="shared" si="24"/>
        <v>0.22361743791484529</v>
      </c>
      <c r="I28" s="482">
        <f t="shared" si="24"/>
        <v>0.22739035414952113</v>
      </c>
      <c r="J28" s="482">
        <f>AVERAGE(I28,D28,C28)</f>
        <v>0.23164807330550899</v>
      </c>
      <c r="K28" s="482">
        <f>AVERAGE(J28,E28,D28)</f>
        <v>0.22403884262827126</v>
      </c>
      <c r="L28" s="482">
        <f t="shared" ref="L28:N28" si="25">AVERAGE(K28,F28,E28)</f>
        <v>0.22785607236810049</v>
      </c>
      <c r="M28" s="482">
        <f t="shared" si="25"/>
        <v>0.22704833673116062</v>
      </c>
      <c r="N28" s="483">
        <f t="shared" si="25"/>
        <v>0.22575840651788667</v>
      </c>
    </row>
    <row r="29" spans="1:19">
      <c r="A29" s="31" t="s">
        <v>17</v>
      </c>
      <c r="B29" s="479">
        <v>6795</v>
      </c>
      <c r="C29" s="479">
        <v>120</v>
      </c>
      <c r="D29" s="479">
        <v>9530</v>
      </c>
      <c r="E29" s="477">
        <v>3047</v>
      </c>
      <c r="F29" s="477">
        <v>5806</v>
      </c>
      <c r="G29" s="477">
        <v>7341</v>
      </c>
      <c r="H29" s="477">
        <f t="shared" ref="H29:H31" si="26">AVERAGE(E29:G29)</f>
        <v>5398</v>
      </c>
      <c r="I29" s="477">
        <f t="shared" si="8"/>
        <v>21592</v>
      </c>
      <c r="J29" s="477">
        <f>J10*J30</f>
        <v>14120.441470150156</v>
      </c>
      <c r="K29" s="477">
        <f t="shared" ref="K29:N29" si="27">K10*K30</f>
        <v>14507.049710330513</v>
      </c>
      <c r="L29" s="477">
        <f t="shared" si="27"/>
        <v>14908.792762523464</v>
      </c>
      <c r="M29" s="477">
        <f t="shared" si="27"/>
        <v>15323.294329550827</v>
      </c>
      <c r="N29" s="478">
        <f t="shared" si="27"/>
        <v>15752.950722410862</v>
      </c>
    </row>
    <row r="30" spans="1:19">
      <c r="A30" s="31" t="s">
        <v>175</v>
      </c>
      <c r="B30" s="484">
        <f>B29/B10</f>
        <v>5.5443408557949176E-3</v>
      </c>
      <c r="C30" s="484">
        <f t="shared" ref="C30:I30" si="28">C29/C10</f>
        <v>7.9492941026836821E-5</v>
      </c>
      <c r="D30" s="484">
        <f t="shared" si="28"/>
        <v>3.6644022736981663E-3</v>
      </c>
      <c r="E30" s="484">
        <f t="shared" si="28"/>
        <v>3.471783074516292E-3</v>
      </c>
      <c r="F30" s="484">
        <f t="shared" si="28"/>
        <v>6.4643414633060109E-3</v>
      </c>
      <c r="G30" s="484">
        <f t="shared" si="28"/>
        <v>8.1177196517154358E-3</v>
      </c>
      <c r="H30" s="484">
        <f t="shared" si="28"/>
        <v>5.9085871312587676E-3</v>
      </c>
      <c r="I30" s="484">
        <f t="shared" si="28"/>
        <v>6.0082779448169307E-3</v>
      </c>
      <c r="J30" s="55">
        <f>AVERAGE(I30,D30,C30,B30)</f>
        <v>3.8241285038342131E-3</v>
      </c>
      <c r="K30" s="55">
        <v>3.8241285038342131E-3</v>
      </c>
      <c r="L30" s="55">
        <v>3.8241285038342131E-3</v>
      </c>
      <c r="M30" s="55">
        <v>3.8241285038342131E-3</v>
      </c>
      <c r="N30" s="485">
        <v>3.8241285038342131E-3</v>
      </c>
    </row>
    <row r="31" spans="1:19">
      <c r="A31" s="31" t="s">
        <v>125</v>
      </c>
      <c r="B31" s="479">
        <v>294293</v>
      </c>
      <c r="C31" s="479">
        <v>-15622</v>
      </c>
      <c r="D31" s="479">
        <v>0</v>
      </c>
      <c r="E31" s="477">
        <v>1963</v>
      </c>
      <c r="F31" s="477">
        <v>3454</v>
      </c>
      <c r="G31" s="477">
        <v>-1122</v>
      </c>
      <c r="H31" s="477">
        <f t="shared" si="26"/>
        <v>1431.6666666666667</v>
      </c>
      <c r="I31" s="477">
        <f t="shared" si="8"/>
        <v>5726.666666666667</v>
      </c>
      <c r="J31" s="477">
        <f>J32*J10</f>
        <v>5884.0295569464733</v>
      </c>
      <c r="K31" s="477">
        <f t="shared" ref="K31:N31" si="29">K32*K10</f>
        <v>6045.130349509448</v>
      </c>
      <c r="L31" s="477">
        <f t="shared" si="29"/>
        <v>6212.5378628225617</v>
      </c>
      <c r="M31" s="477">
        <f t="shared" si="29"/>
        <v>6385.2618868515137</v>
      </c>
      <c r="N31" s="478">
        <f t="shared" si="29"/>
        <v>6564.3009714483906</v>
      </c>
    </row>
    <row r="32" spans="1:19">
      <c r="A32" s="31" t="s">
        <v>175</v>
      </c>
      <c r="B32" s="484">
        <f>B31/B10</f>
        <v>0.24012666717799169</v>
      </c>
      <c r="C32" s="484">
        <f t="shared" ref="C32:I32" si="30">C31/C10</f>
        <v>-1.0348656039343707E-2</v>
      </c>
      <c r="D32" s="484">
        <f t="shared" si="30"/>
        <v>0</v>
      </c>
      <c r="E32" s="484">
        <f t="shared" si="30"/>
        <v>2.2366623483017658E-3</v>
      </c>
      <c r="F32" s="484">
        <f t="shared" si="30"/>
        <v>3.845648538453145E-3</v>
      </c>
      <c r="G32" s="484">
        <f t="shared" si="30"/>
        <v>-1.2407139966250809E-3</v>
      </c>
      <c r="H32" s="484">
        <f t="shared" si="30"/>
        <v>1.5670854470023717E-3</v>
      </c>
      <c r="I32" s="484">
        <f t="shared" si="30"/>
        <v>1.5935256127571149E-3</v>
      </c>
      <c r="J32" s="484">
        <v>1.5935256127571149E-3</v>
      </c>
      <c r="K32" s="484">
        <v>1.5935256127571149E-3</v>
      </c>
      <c r="L32" s="484">
        <v>1.5935256127571149E-3</v>
      </c>
      <c r="M32" s="484">
        <v>1.5935256127571149E-3</v>
      </c>
      <c r="N32" s="486">
        <v>1.5935256127571149E-3</v>
      </c>
      <c r="S32" s="199"/>
    </row>
    <row r="33" spans="1:19" s="10" customFormat="1" ht="15" thickBot="1">
      <c r="A33" s="35" t="s">
        <v>15</v>
      </c>
      <c r="B33" s="20">
        <f>B10-B25+B27+B29+B31</f>
        <v>897039</v>
      </c>
      <c r="C33" s="20">
        <f>C10-C25+C27+C29+C31</f>
        <v>1026045</v>
      </c>
      <c r="D33" s="20">
        <f>D10-D25+D26+D27+D29+D31</f>
        <v>1139143</v>
      </c>
      <c r="E33" s="20">
        <f>E10-E25+E26+E27+E29+E31</f>
        <v>528948</v>
      </c>
      <c r="F33" s="20">
        <f>F10-F25+F26+F27+F29+F31</f>
        <v>703480</v>
      </c>
      <c r="G33" s="20">
        <f>G10-G25+G26+G27+G29+G31</f>
        <v>566103</v>
      </c>
      <c r="H33" s="20">
        <f>H10-H25+H26+H27+H29+H31</f>
        <v>619294.91311474016</v>
      </c>
      <c r="I33" s="21">
        <f>SUM(E33:H33)</f>
        <v>2417825.91311474</v>
      </c>
      <c r="J33" s="20">
        <f>J10-J25+J26+J27+J29+J31</f>
        <v>2471342.5795826078</v>
      </c>
      <c r="K33" s="20">
        <f>K10-K25+K26+K27+K29+K31</f>
        <v>2578520.4502519136</v>
      </c>
      <c r="L33" s="20">
        <f t="shared" ref="L33:N33" si="31">L10-L25+L26+L27+L29+L31</f>
        <v>2647319.1964137428</v>
      </c>
      <c r="M33" s="20">
        <f t="shared" si="31"/>
        <v>2728399.5265616402</v>
      </c>
      <c r="N33" s="481">
        <f t="shared" si="31"/>
        <v>2815581.3850774285</v>
      </c>
      <c r="S33" s="198"/>
    </row>
    <row r="34" spans="1:19" s="10" customFormat="1">
      <c r="A34" s="36" t="s">
        <v>139</v>
      </c>
      <c r="B34" s="345">
        <f>B33/B10</f>
        <v>0.73193377144097382</v>
      </c>
      <c r="C34" s="345">
        <f t="shared" ref="C34:D34" si="32">C33/C10</f>
        <v>0.67969445563233988</v>
      </c>
      <c r="D34" s="345">
        <f t="shared" si="32"/>
        <v>0.43801450149709864</v>
      </c>
      <c r="E34" s="345">
        <f t="shared" ref="E34" si="33">E33/E10</f>
        <v>0.6026887803410711</v>
      </c>
      <c r="F34" s="345">
        <f t="shared" ref="F34" si="34">F33/F10</f>
        <v>0.78324749097597524</v>
      </c>
      <c r="G34" s="345">
        <f t="shared" ref="G34" si="35">G33/G10</f>
        <v>0.62599992480521227</v>
      </c>
      <c r="H34" s="345">
        <f t="shared" ref="H34" si="36">H33/H10</f>
        <v>0.67787290738861983</v>
      </c>
      <c r="I34" s="345">
        <f t="shared" ref="I34" si="37">I33/I10</f>
        <v>0.67279409541377122</v>
      </c>
      <c r="J34" s="345">
        <f t="shared" ref="J34" si="38">J33/J10</f>
        <v>0.6692943433319245</v>
      </c>
      <c r="K34" s="345">
        <f t="shared" ref="K34" si="39">K33/K10</f>
        <v>0.67971046824951697</v>
      </c>
      <c r="L34" s="345">
        <f t="shared" ref="L34" si="40">L33/L10</f>
        <v>0.67904148639059503</v>
      </c>
      <c r="M34" s="345">
        <f t="shared" ref="M34" si="41">M33/M10</f>
        <v>0.68090778490436965</v>
      </c>
      <c r="N34" s="487">
        <f t="shared" ref="N34" si="42">N33/N10</f>
        <v>0.68350020382034082</v>
      </c>
      <c r="S34" s="198"/>
    </row>
    <row r="35" spans="1:19" s="10" customFormat="1">
      <c r="A35" s="31" t="s">
        <v>14</v>
      </c>
      <c r="B35" s="475">
        <v>-831</v>
      </c>
      <c r="C35" s="475">
        <v>-2887</v>
      </c>
      <c r="D35" s="475">
        <v>-2876</v>
      </c>
      <c r="E35" s="475">
        <v>-1087</v>
      </c>
      <c r="F35" s="475">
        <v>-1899</v>
      </c>
      <c r="G35" s="475">
        <v>-644</v>
      </c>
      <c r="H35" s="476">
        <f>-H33*H36</f>
        <v>-1216.3079407968007</v>
      </c>
      <c r="I35" s="477">
        <f t="shared" si="8"/>
        <v>-4846.3079407968007</v>
      </c>
      <c r="J35" s="477">
        <f>-J33*J37</f>
        <v>-3116.9364068205218</v>
      </c>
      <c r="K35" s="477">
        <f t="shared" ref="K35:N35" si="43">-K33*K37</f>
        <v>-3352.0765853274875</v>
      </c>
      <c r="L35" s="477">
        <f t="shared" si="43"/>
        <v>-3441.5149553378656</v>
      </c>
      <c r="M35" s="477">
        <f t="shared" si="43"/>
        <v>-3546.919384530132</v>
      </c>
      <c r="N35" s="478">
        <f t="shared" si="43"/>
        <v>-3660.255800600657</v>
      </c>
      <c r="S35" s="198"/>
    </row>
    <row r="36" spans="1:19" s="10" customFormat="1" hidden="1">
      <c r="A36" s="36" t="s">
        <v>139</v>
      </c>
      <c r="B36" s="37">
        <f>-B35/B33</f>
        <v>9.2638112724195937E-4</v>
      </c>
      <c r="C36" s="37">
        <f>-C35/C33</f>
        <v>2.8137167473161508E-3</v>
      </c>
      <c r="D36" s="37">
        <f>-D35/D33</f>
        <v>2.5247049755825215E-3</v>
      </c>
      <c r="E36" s="37">
        <f t="shared" ref="E36:G36" si="44">-E35/E33</f>
        <v>2.0550224218637749E-3</v>
      </c>
      <c r="F36" s="37">
        <f t="shared" si="44"/>
        <v>2.6994370842099279E-3</v>
      </c>
      <c r="G36" s="37">
        <f t="shared" si="44"/>
        <v>1.1376021678033857E-3</v>
      </c>
      <c r="H36" s="37">
        <f>AVERAGE(E36:G36)</f>
        <v>1.9640205579590296E-3</v>
      </c>
      <c r="I36" s="477">
        <f t="shared" si="8"/>
        <v>7.8560822318361184E-3</v>
      </c>
      <c r="J36" s="477"/>
      <c r="K36" s="477"/>
      <c r="L36" s="477"/>
      <c r="M36" s="477"/>
      <c r="N36" s="478"/>
    </row>
    <row r="37" spans="1:19" s="10" customFormat="1" hidden="1">
      <c r="A37" s="36"/>
      <c r="B37" s="63">
        <f>-B35/B10</f>
        <v>6.7804963225394799E-4</v>
      </c>
      <c r="C37" s="63">
        <f t="shared" ref="C37:I37" si="45">-C35/C10</f>
        <v>1.9124676728706491E-3</v>
      </c>
      <c r="D37" s="63">
        <f t="shared" si="45"/>
        <v>1.1058573913070226E-3</v>
      </c>
      <c r="E37" s="63">
        <f t="shared" si="45"/>
        <v>1.2385389570066325E-3</v>
      </c>
      <c r="F37" s="63">
        <f t="shared" si="45"/>
        <v>2.1143273232549285E-3</v>
      </c>
      <c r="G37" s="63">
        <f t="shared" si="45"/>
        <v>7.1213887150316593E-4</v>
      </c>
      <c r="H37" s="63">
        <f t="shared" si="45"/>
        <v>1.3313563257947069E-3</v>
      </c>
      <c r="I37" s="63">
        <f t="shared" si="45"/>
        <v>1.348553404709178E-3</v>
      </c>
      <c r="J37" s="63">
        <f>AVERAGE(I37,D37,C37,B37)</f>
        <v>1.2612320252851994E-3</v>
      </c>
      <c r="K37" s="63">
        <v>1.2999999999999999E-3</v>
      </c>
      <c r="L37" s="63">
        <v>1.2999999999999999E-3</v>
      </c>
      <c r="M37" s="63">
        <v>1.2999999999999999E-3</v>
      </c>
      <c r="N37" s="71">
        <v>1.2999999999999999E-3</v>
      </c>
    </row>
    <row r="38" spans="1:19" s="10" customFormat="1" ht="15" thickBot="1">
      <c r="A38" s="38" t="s">
        <v>13</v>
      </c>
      <c r="B38" s="22">
        <f>B33+B35</f>
        <v>896208</v>
      </c>
      <c r="C38" s="22">
        <f t="shared" ref="C38:N38" si="46">C33+C35</f>
        <v>1023158</v>
      </c>
      <c r="D38" s="22">
        <f t="shared" si="46"/>
        <v>1136267</v>
      </c>
      <c r="E38" s="22">
        <f t="shared" si="46"/>
        <v>527861</v>
      </c>
      <c r="F38" s="22">
        <f t="shared" si="46"/>
        <v>701581</v>
      </c>
      <c r="G38" s="22">
        <f t="shared" si="46"/>
        <v>565459</v>
      </c>
      <c r="H38" s="22">
        <f t="shared" si="46"/>
        <v>618078.60517394333</v>
      </c>
      <c r="I38" s="23">
        <f>SUM(E38:H38)</f>
        <v>2412979.6051739436</v>
      </c>
      <c r="J38" s="22">
        <f t="shared" si="46"/>
        <v>2468225.6431757873</v>
      </c>
      <c r="K38" s="22">
        <f t="shared" si="46"/>
        <v>2575168.3736665864</v>
      </c>
      <c r="L38" s="22">
        <f t="shared" si="46"/>
        <v>2643877.6814584048</v>
      </c>
      <c r="M38" s="22">
        <f t="shared" si="46"/>
        <v>2724852.6071771099</v>
      </c>
      <c r="N38" s="488">
        <f t="shared" si="46"/>
        <v>2811921.1292768279</v>
      </c>
    </row>
    <row r="39" spans="1:19" s="10" customFormat="1">
      <c r="A39" s="39" t="s">
        <v>12</v>
      </c>
      <c r="B39" s="489">
        <v>-4534</v>
      </c>
      <c r="C39" s="489">
        <v>-9307</v>
      </c>
      <c r="D39" s="489">
        <v>-18632</v>
      </c>
      <c r="E39" s="490">
        <v>-9121</v>
      </c>
      <c r="F39" s="490">
        <v>-10879</v>
      </c>
      <c r="G39" s="490">
        <v>-9130</v>
      </c>
      <c r="H39" s="491">
        <f>AVERAGE(E39:G39)</f>
        <v>-9710</v>
      </c>
      <c r="I39" s="492">
        <f>SUM(E39:H39)</f>
        <v>-38840</v>
      </c>
      <c r="J39" s="492">
        <f>-J38*J40</f>
        <v>-40004.646661886247</v>
      </c>
      <c r="K39" s="492">
        <f t="shared" ref="K39:N39" si="47">-K38*K40</f>
        <v>-41615.832939073131</v>
      </c>
      <c r="L39" s="492">
        <f t="shared" si="47"/>
        <v>-42159.720528375619</v>
      </c>
      <c r="M39" s="492">
        <f t="shared" si="47"/>
        <v>-43807.385045791474</v>
      </c>
      <c r="N39" s="493">
        <f t="shared" si="47"/>
        <v>-45094.703222143944</v>
      </c>
    </row>
    <row r="40" spans="1:19" s="10" customFormat="1">
      <c r="A40" s="36" t="s">
        <v>140</v>
      </c>
      <c r="B40" s="41">
        <f>-B39/B38</f>
        <v>5.0590934247406851E-3</v>
      </c>
      <c r="C40" s="41">
        <f t="shared" ref="C40:H40" si="48">-C39/C38</f>
        <v>9.0963468007873669E-3</v>
      </c>
      <c r="D40" s="41">
        <f t="shared" si="48"/>
        <v>1.639755444803026E-2</v>
      </c>
      <c r="E40" s="41">
        <f t="shared" si="48"/>
        <v>1.7279170084548774E-2</v>
      </c>
      <c r="F40" s="41">
        <f t="shared" si="48"/>
        <v>1.5506406245323063E-2</v>
      </c>
      <c r="G40" s="41">
        <f t="shared" si="48"/>
        <v>1.6146175054247966E-2</v>
      </c>
      <c r="H40" s="41">
        <f t="shared" si="48"/>
        <v>1.5709975913609491E-2</v>
      </c>
      <c r="I40" s="45">
        <f>AVERAGE(E40:H40)</f>
        <v>1.6160431824432324E-2</v>
      </c>
      <c r="J40" s="45">
        <f>AVERAGE(D40:H40)</f>
        <v>1.6207856349151912E-2</v>
      </c>
      <c r="K40" s="45">
        <f t="shared" ref="K40:N40" si="49">AVERAGE(E40:I40)</f>
        <v>1.6160431824432324E-2</v>
      </c>
      <c r="L40" s="45">
        <f t="shared" si="49"/>
        <v>1.5946169077352947E-2</v>
      </c>
      <c r="M40" s="45">
        <f t="shared" si="49"/>
        <v>1.6076974193174803E-2</v>
      </c>
      <c r="N40" s="494">
        <f t="shared" si="49"/>
        <v>1.6036972997795794E-2</v>
      </c>
    </row>
    <row r="41" spans="1:19" s="10" customFormat="1" ht="15" thickBot="1">
      <c r="A41" s="35" t="s">
        <v>3</v>
      </c>
      <c r="B41" s="20">
        <f>B38+B39</f>
        <v>891674</v>
      </c>
      <c r="C41" s="20">
        <f t="shared" ref="C41:H41" si="50">C38+C39</f>
        <v>1013851</v>
      </c>
      <c r="D41" s="20">
        <f t="shared" si="50"/>
        <v>1117635</v>
      </c>
      <c r="E41" s="20">
        <f t="shared" si="50"/>
        <v>518740</v>
      </c>
      <c r="F41" s="20">
        <f t="shared" si="50"/>
        <v>690702</v>
      </c>
      <c r="G41" s="20">
        <f t="shared" si="50"/>
        <v>556329</v>
      </c>
      <c r="H41" s="20">
        <f t="shared" si="50"/>
        <v>608368.60517394333</v>
      </c>
      <c r="I41" s="21">
        <f t="shared" si="8"/>
        <v>2374139.6051739436</v>
      </c>
      <c r="J41" s="21">
        <f>J38+J39</f>
        <v>2428220.9965139013</v>
      </c>
      <c r="K41" s="21">
        <f t="shared" ref="K41:N41" si="51">K38+K39</f>
        <v>2533552.5407275134</v>
      </c>
      <c r="L41" s="21">
        <f t="shared" si="51"/>
        <v>2601717.9609300289</v>
      </c>
      <c r="M41" s="21">
        <f t="shared" si="51"/>
        <v>2681045.2221313184</v>
      </c>
      <c r="N41" s="70">
        <f t="shared" si="51"/>
        <v>2766826.426054684</v>
      </c>
    </row>
    <row r="42" spans="1:19" s="10" customFormat="1" ht="15" thickBot="1">
      <c r="A42" s="42" t="s">
        <v>141</v>
      </c>
      <c r="B42" s="43">
        <f>B41/B10</f>
        <v>0.72755623079471332</v>
      </c>
      <c r="C42" s="43">
        <f t="shared" ref="B42:I42" si="52">C41/C10</f>
        <v>0.67161664794166276</v>
      </c>
      <c r="D42" s="43">
        <f t="shared" si="52"/>
        <v>0.42974441082525183</v>
      </c>
      <c r="E42" s="43">
        <f t="shared" si="52"/>
        <v>0.59105768036579631</v>
      </c>
      <c r="F42" s="43">
        <f t="shared" si="52"/>
        <v>0.76902059548542689</v>
      </c>
      <c r="G42" s="43">
        <f t="shared" si="52"/>
        <v>0.61519177988274032</v>
      </c>
      <c r="H42" s="43">
        <f t="shared" si="52"/>
        <v>0.66591309959107214</v>
      </c>
      <c r="I42" s="43">
        <f t="shared" si="52"/>
        <v>0.66063776526875606</v>
      </c>
      <c r="J42" s="43">
        <f t="shared" ref="J42:N42" si="53">J41/J10</f>
        <v>0.6576160629260257</v>
      </c>
      <c r="K42" s="43">
        <f t="shared" si="53"/>
        <v>0.66785670969738065</v>
      </c>
      <c r="L42" s="43">
        <f t="shared" si="53"/>
        <v>0.66734469864922386</v>
      </c>
      <c r="M42" s="43">
        <f t="shared" si="53"/>
        <v>0.66908989891610615</v>
      </c>
      <c r="N42" s="495">
        <f t="shared" si="53"/>
        <v>0.6716646288993261</v>
      </c>
    </row>
    <row r="43" spans="1:19" s="10" customFormat="1">
      <c r="A43" s="13"/>
      <c r="B43" s="17"/>
      <c r="C43" s="17"/>
      <c r="D43" s="17"/>
      <c r="E43" s="17"/>
      <c r="F43" s="17"/>
      <c r="G43" s="17"/>
      <c r="H43" s="17"/>
      <c r="I43" s="19"/>
      <c r="J43" s="16"/>
    </row>
    <row r="44" spans="1:19">
      <c r="A44" s="13" t="s">
        <v>11</v>
      </c>
      <c r="B44" s="14" t="s">
        <v>4</v>
      </c>
      <c r="C44" s="14" t="s">
        <v>4</v>
      </c>
      <c r="D44" s="14" t="s">
        <v>4</v>
      </c>
      <c r="E44" s="14" t="s">
        <v>4</v>
      </c>
      <c r="F44" s="14" t="s">
        <v>4</v>
      </c>
      <c r="G44" s="14" t="s">
        <v>4</v>
      </c>
    </row>
    <row r="45" spans="1:19">
      <c r="A45" s="14" t="s">
        <v>10</v>
      </c>
      <c r="B45" s="18">
        <v>1.76</v>
      </c>
      <c r="C45" s="18">
        <v>1.8</v>
      </c>
      <c r="D45" s="18">
        <v>1.27</v>
      </c>
      <c r="E45" s="18">
        <v>0.52</v>
      </c>
      <c r="F45" s="18">
        <v>0.69</v>
      </c>
      <c r="G45" s="18">
        <v>0.55000000000000004</v>
      </c>
      <c r="H45" s="18">
        <f>SUM(E45:G45)+(SUM(E45:G45)/3)</f>
        <v>2.3466666666666667</v>
      </c>
      <c r="I45" s="460">
        <f>H41/(G48/1000)</f>
        <v>0.6005691434311381</v>
      </c>
    </row>
    <row r="46" spans="1:19">
      <c r="A46" s="14" t="s">
        <v>9</v>
      </c>
      <c r="B46" s="18">
        <v>1.75</v>
      </c>
      <c r="C46" s="18">
        <v>1.76</v>
      </c>
      <c r="D46" s="18">
        <v>1.27</v>
      </c>
      <c r="E46" s="18">
        <v>0.52</v>
      </c>
      <c r="F46" s="18">
        <v>0.69</v>
      </c>
      <c r="G46" s="18">
        <v>0.55000000000000004</v>
      </c>
      <c r="I46" s="460">
        <f>I41/(G48/1000)</f>
        <v>2.3437024477250668</v>
      </c>
    </row>
    <row r="47" spans="1:19">
      <c r="A47" s="13" t="s">
        <v>8</v>
      </c>
      <c r="B47" s="14" t="s">
        <v>4</v>
      </c>
      <c r="C47" s="14" t="s">
        <v>4</v>
      </c>
      <c r="D47" s="14" t="s">
        <v>4</v>
      </c>
      <c r="E47" s="14" t="s">
        <v>4</v>
      </c>
      <c r="F47" s="14" t="s">
        <v>4</v>
      </c>
      <c r="G47" s="14" t="s">
        <v>4</v>
      </c>
    </row>
    <row r="48" spans="1:19">
      <c r="A48" s="14" t="s">
        <v>7</v>
      </c>
      <c r="B48" s="15">
        <v>506140642</v>
      </c>
      <c r="C48" s="15">
        <v>564467362</v>
      </c>
      <c r="D48" s="15">
        <v>877508388</v>
      </c>
      <c r="E48" s="15">
        <v>1001526645</v>
      </c>
      <c r="F48" s="15" t="s">
        <v>126</v>
      </c>
      <c r="G48" s="15">
        <v>1012986784</v>
      </c>
    </row>
    <row r="49" spans="1:9">
      <c r="A49" s="14" t="s">
        <v>6</v>
      </c>
      <c r="B49" s="15">
        <v>510908755</v>
      </c>
      <c r="C49" s="15">
        <v>577066292</v>
      </c>
      <c r="D49" s="15">
        <v>879675845</v>
      </c>
      <c r="E49" s="15">
        <v>1003831325</v>
      </c>
      <c r="F49" s="15">
        <v>1007968422</v>
      </c>
      <c r="G49" s="15">
        <v>1013589640</v>
      </c>
    </row>
    <row r="50" spans="1:9">
      <c r="A50" s="13" t="s">
        <v>5</v>
      </c>
      <c r="B50" s="14" t="s">
        <v>4</v>
      </c>
      <c r="C50" s="14" t="s">
        <v>4</v>
      </c>
      <c r="D50" s="14" t="s">
        <v>4</v>
      </c>
      <c r="E50" s="14" t="s">
        <v>4</v>
      </c>
      <c r="F50" s="14" t="s">
        <v>4</v>
      </c>
      <c r="G50" s="14" t="s">
        <v>4</v>
      </c>
    </row>
    <row r="51" spans="1:9">
      <c r="A51" s="14" t="s">
        <v>13</v>
      </c>
      <c r="B51" s="12">
        <v>896208</v>
      </c>
      <c r="C51" s="12">
        <v>1023158</v>
      </c>
      <c r="D51" s="12">
        <v>1136267</v>
      </c>
      <c r="E51" s="12">
        <v>527861</v>
      </c>
      <c r="F51" s="12">
        <v>701581</v>
      </c>
      <c r="G51" s="12">
        <v>565459</v>
      </c>
    </row>
    <row r="52" spans="1:9">
      <c r="A52" s="14" t="s">
        <v>1</v>
      </c>
      <c r="B52" s="15">
        <v>0</v>
      </c>
      <c r="C52" s="15">
        <v>64239</v>
      </c>
      <c r="D52" s="15">
        <v>-16233</v>
      </c>
      <c r="E52" s="15">
        <v>-6037</v>
      </c>
      <c r="F52" s="15">
        <v>-6037</v>
      </c>
      <c r="G52" s="15">
        <v>-6037</v>
      </c>
    </row>
    <row r="53" spans="1:9">
      <c r="A53" s="14" t="s">
        <v>2</v>
      </c>
      <c r="B53" s="15">
        <v>-27443</v>
      </c>
      <c r="C53" s="15">
        <v>29166</v>
      </c>
      <c r="D53" s="15">
        <v>200550</v>
      </c>
      <c r="E53" s="15">
        <v>-9057</v>
      </c>
      <c r="F53" s="15">
        <v>7573</v>
      </c>
      <c r="G53" s="15">
        <v>20109</v>
      </c>
    </row>
    <row r="54" spans="1:9">
      <c r="A54" s="14" t="s">
        <v>108</v>
      </c>
      <c r="B54" s="15">
        <v>0</v>
      </c>
      <c r="C54" s="15">
        <v>0</v>
      </c>
      <c r="D54" s="15">
        <v>0</v>
      </c>
      <c r="E54" s="15">
        <v>0</v>
      </c>
      <c r="F54" s="15">
        <v>1732</v>
      </c>
      <c r="G54" s="15">
        <v>-1348</v>
      </c>
    </row>
    <row r="55" spans="1:9">
      <c r="A55" s="14" t="s">
        <v>106</v>
      </c>
      <c r="B55" s="15">
        <v>868765</v>
      </c>
      <c r="C55" s="15">
        <v>1116563</v>
      </c>
      <c r="D55" s="15">
        <v>1320584</v>
      </c>
      <c r="E55" s="15">
        <v>512767</v>
      </c>
      <c r="F55" s="15">
        <v>704849</v>
      </c>
      <c r="G55" s="15">
        <v>578183</v>
      </c>
    </row>
    <row r="56" spans="1:9">
      <c r="A56" s="14" t="s">
        <v>107</v>
      </c>
      <c r="B56" s="15">
        <v>-4534</v>
      </c>
      <c r="C56" s="15">
        <v>-9307</v>
      </c>
      <c r="D56" s="15">
        <v>-18428</v>
      </c>
      <c r="E56" s="15">
        <v>-8939</v>
      </c>
      <c r="F56" s="15">
        <v>-10918</v>
      </c>
      <c r="G56" s="15">
        <v>-9283</v>
      </c>
    </row>
    <row r="57" spans="1:9">
      <c r="A57" s="14" t="s">
        <v>0</v>
      </c>
      <c r="B57" s="12">
        <v>864231</v>
      </c>
      <c r="C57" s="12">
        <v>1107256</v>
      </c>
      <c r="D57" s="12">
        <v>1302156</v>
      </c>
      <c r="E57" s="12">
        <v>503828</v>
      </c>
      <c r="F57" s="12">
        <v>693931</v>
      </c>
      <c r="G57" s="12">
        <v>568900</v>
      </c>
    </row>
    <row r="59" spans="1:9">
      <c r="G59" s="458">
        <f>H41+H15-H29</f>
        <v>603874.60517394333</v>
      </c>
    </row>
    <row r="60" spans="1:9">
      <c r="G60" s="460">
        <f>G59/(G49/1000)</f>
        <v>0.59577819399766485</v>
      </c>
    </row>
    <row r="63" spans="1:9">
      <c r="B63" s="458">
        <f>B10-B25</f>
        <v>904556</v>
      </c>
      <c r="C63" s="458">
        <f t="shared" ref="C63:D63" si="54">C10-C25</f>
        <v>1433937</v>
      </c>
      <c r="D63" s="458">
        <f t="shared" si="54"/>
        <v>1609797</v>
      </c>
      <c r="E63" s="458">
        <f t="shared" ref="E63:I63" si="55">E10-E25</f>
        <v>727018</v>
      </c>
      <c r="F63" s="458">
        <f t="shared" si="55"/>
        <v>897814</v>
      </c>
      <c r="G63" s="458">
        <f t="shared" si="55"/>
        <v>764811</v>
      </c>
      <c r="H63" s="458">
        <f t="shared" si="55"/>
        <v>816758.91311474016</v>
      </c>
      <c r="I63" s="458">
        <f t="shared" si="55"/>
        <v>3206401.91311474</v>
      </c>
    </row>
    <row r="64" spans="1:9">
      <c r="B64" s="459">
        <f>B63/B27</f>
        <v>-2.9311125872879571</v>
      </c>
      <c r="C64" s="459">
        <f t="shared" ref="C64:D64" si="56">C63/C27</f>
        <v>-3.6543668289202071</v>
      </c>
      <c r="D64" s="459">
        <f t="shared" si="56"/>
        <v>-2.9813650447353752</v>
      </c>
      <c r="E64" s="459">
        <f t="shared" ref="E64" si="57">E63/E27</f>
        <v>-3.5575357212761793</v>
      </c>
      <c r="F64" s="459">
        <f t="shared" ref="F64" si="58">F63/F27</f>
        <v>-4.4098254368989265</v>
      </c>
      <c r="G64" s="459">
        <f t="shared" ref="G64" si="59">G63/G27</f>
        <v>-3.7321143626754893</v>
      </c>
      <c r="H64" s="459">
        <f t="shared" ref="H64" si="60">H63/H27</f>
        <v>-3.9979649219737938</v>
      </c>
      <c r="I64" s="459">
        <f t="shared" ref="I64" si="61">I63/I27</f>
        <v>-3.9237656818143409</v>
      </c>
    </row>
  </sheetData>
  <mergeCells count="2">
    <mergeCell ref="A1:A2"/>
    <mergeCell ref="B1:D1"/>
  </mergeCells>
  <phoneticPr fontId="17" type="noConversion"/>
  <pageMargins left="0.75" right="0.75" top="1" bottom="1" header="0.5" footer="0.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3C08-BA5A-40F0-9548-D15A68BB1807}">
  <dimension ref="B2:C23"/>
  <sheetViews>
    <sheetView showGridLines="0" showRowColHeaders="0" workbookViewId="0">
      <selection activeCell="H16" sqref="H16"/>
    </sheetView>
  </sheetViews>
  <sheetFormatPr defaultRowHeight="14.4"/>
  <cols>
    <col min="2" max="2" width="33.88671875" bestFit="1" customWidth="1"/>
    <col min="3" max="3" width="15.44140625" bestFit="1" customWidth="1"/>
  </cols>
  <sheetData>
    <row r="2" spans="2:3" ht="15" thickBot="1"/>
    <row r="3" spans="2:3" ht="20.399999999999999">
      <c r="B3" s="74" t="s">
        <v>194</v>
      </c>
      <c r="C3" s="75"/>
    </row>
    <row r="4" spans="2:3" ht="16.8">
      <c r="B4" s="76" t="s">
        <v>177</v>
      </c>
      <c r="C4" s="77"/>
    </row>
    <row r="5" spans="2:3">
      <c r="B5" s="78"/>
      <c r="C5" s="79"/>
    </row>
    <row r="6" spans="2:3">
      <c r="B6" s="80" t="s">
        <v>178</v>
      </c>
      <c r="C6" s="81"/>
    </row>
    <row r="7" spans="2:3">
      <c r="B7" s="82" t="s">
        <v>179</v>
      </c>
      <c r="C7" s="83">
        <v>4.0800000000000003E-2</v>
      </c>
    </row>
    <row r="8" spans="2:3">
      <c r="B8" s="82" t="s">
        <v>180</v>
      </c>
      <c r="C8" s="83">
        <f>10%-C7</f>
        <v>5.9200000000000003E-2</v>
      </c>
    </row>
    <row r="9" spans="2:3">
      <c r="B9" s="82" t="s">
        <v>181</v>
      </c>
      <c r="C9" s="84">
        <f>BETA!K3</f>
        <v>0.77874520655307489</v>
      </c>
    </row>
    <row r="10" spans="2:3">
      <c r="B10" s="85" t="s">
        <v>182</v>
      </c>
      <c r="C10" s="86">
        <f>C7+(C9*C8)</f>
        <v>8.6901716227942044E-2</v>
      </c>
    </row>
    <row r="11" spans="2:3">
      <c r="B11" s="82"/>
      <c r="C11" s="84"/>
    </row>
    <row r="12" spans="2:3">
      <c r="B12" s="82" t="s">
        <v>183</v>
      </c>
      <c r="C12" s="83">
        <v>0.02</v>
      </c>
    </row>
    <row r="13" spans="2:3">
      <c r="B13" s="82" t="s">
        <v>184</v>
      </c>
      <c r="C13" s="83">
        <f>C12+C7</f>
        <v>6.0800000000000007E-2</v>
      </c>
    </row>
    <row r="14" spans="2:3">
      <c r="B14" s="82" t="s">
        <v>185</v>
      </c>
      <c r="C14" s="87">
        <v>0.21</v>
      </c>
    </row>
    <row r="15" spans="2:3">
      <c r="B15" s="85" t="s">
        <v>186</v>
      </c>
      <c r="C15" s="86">
        <f>C13*(1-C14)</f>
        <v>4.8032000000000005E-2</v>
      </c>
    </row>
    <row r="16" spans="2:3">
      <c r="B16" s="82"/>
      <c r="C16" s="84"/>
    </row>
    <row r="17" spans="2:3">
      <c r="B17" s="82" t="s">
        <v>187</v>
      </c>
      <c r="C17" s="88">
        <v>30.43</v>
      </c>
    </row>
    <row r="18" spans="2:3">
      <c r="B18" s="82" t="s">
        <v>188</v>
      </c>
      <c r="C18" s="89">
        <v>1012986784</v>
      </c>
    </row>
    <row r="19" spans="2:3">
      <c r="B19" s="82" t="s">
        <v>189</v>
      </c>
      <c r="C19" s="90">
        <f>C18*C17</f>
        <v>30825187837.119999</v>
      </c>
    </row>
    <row r="20" spans="2:3">
      <c r="B20" s="82" t="s">
        <v>190</v>
      </c>
      <c r="C20" s="90">
        <f>'Balannce Sheet'!E26*1000</f>
        <v>16692728000</v>
      </c>
    </row>
    <row r="21" spans="2:3">
      <c r="B21" s="82" t="s">
        <v>191</v>
      </c>
      <c r="C21" s="83">
        <f>C19/(C20+C19)</f>
        <v>0.6487066466210627</v>
      </c>
    </row>
    <row r="22" spans="2:3">
      <c r="B22" s="82" t="s">
        <v>192</v>
      </c>
      <c r="C22" s="83">
        <f>1-C21</f>
        <v>0.3512933533789373</v>
      </c>
    </row>
    <row r="23" spans="2:3" ht="15" thickBot="1">
      <c r="B23" s="91" t="s">
        <v>193</v>
      </c>
      <c r="C23" s="92">
        <f>(C21*C10)+(C22*C15)</f>
        <v>7.3247043269340589E-2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6B7B3-5B69-44F5-8637-A1B5240DCADA}">
  <dimension ref="B3:Q36"/>
  <sheetViews>
    <sheetView showGridLines="0" topLeftCell="A3" workbookViewId="0">
      <selection activeCell="Z21" sqref="Z21"/>
    </sheetView>
  </sheetViews>
  <sheetFormatPr defaultRowHeight="14.4"/>
  <cols>
    <col min="2" max="2" width="22.44140625" bestFit="1" customWidth="1"/>
    <col min="3" max="3" width="8.21875" bestFit="1" customWidth="1"/>
    <col min="10" max="10" width="27.21875" bestFit="1" customWidth="1"/>
    <col min="11" max="11" width="6.77734375" bestFit="1" customWidth="1"/>
    <col min="12" max="12" width="7.21875" bestFit="1" customWidth="1"/>
    <col min="13" max="16" width="6.77734375" bestFit="1" customWidth="1"/>
    <col min="17" max="17" width="10" bestFit="1" customWidth="1"/>
  </cols>
  <sheetData>
    <row r="3" spans="2:17" ht="15" thickBot="1"/>
    <row r="4" spans="2:17" ht="15.6">
      <c r="B4" s="292" t="s">
        <v>366</v>
      </c>
      <c r="C4" s="156"/>
      <c r="D4" s="156"/>
      <c r="E4" s="156"/>
      <c r="F4" s="156"/>
      <c r="G4" s="156"/>
      <c r="H4" s="157"/>
    </row>
    <row r="5" spans="2:17" ht="15.6">
      <c r="B5" s="293" t="s">
        <v>342</v>
      </c>
      <c r="C5" s="288"/>
      <c r="D5" s="288"/>
      <c r="E5" s="288"/>
      <c r="F5" s="288"/>
      <c r="G5" s="288"/>
      <c r="H5" s="294"/>
    </row>
    <row r="6" spans="2:17" ht="15.6">
      <c r="B6" s="169" t="s">
        <v>343</v>
      </c>
      <c r="C6" s="295">
        <f>0.42*4</f>
        <v>1.68</v>
      </c>
      <c r="D6" s="11"/>
      <c r="E6" s="11"/>
      <c r="F6" s="11"/>
      <c r="G6" s="11"/>
      <c r="H6" s="296"/>
    </row>
    <row r="7" spans="2:17" ht="15.6">
      <c r="B7" s="169" t="s">
        <v>344</v>
      </c>
      <c r="C7" s="67">
        <v>0.1</v>
      </c>
      <c r="D7" s="11"/>
      <c r="E7" s="11"/>
      <c r="F7" s="11"/>
      <c r="G7" s="11"/>
      <c r="H7" s="296"/>
    </row>
    <row r="8" spans="2:17" ht="16.2" thickBot="1">
      <c r="B8" s="169" t="s">
        <v>345</v>
      </c>
      <c r="C8" s="67">
        <v>4.0800000000000003E-2</v>
      </c>
      <c r="D8" s="11"/>
      <c r="E8" s="11"/>
      <c r="F8" s="11"/>
      <c r="G8" s="11"/>
      <c r="H8" s="296"/>
    </row>
    <row r="9" spans="2:17" ht="15.6">
      <c r="B9" s="169" t="s">
        <v>346</v>
      </c>
      <c r="C9" s="11">
        <f>WACC!C9</f>
        <v>0.77874520655307489</v>
      </c>
      <c r="D9" s="11"/>
      <c r="E9" s="11"/>
      <c r="F9" s="11"/>
      <c r="G9" s="11"/>
      <c r="H9" s="296"/>
      <c r="J9" s="292" t="s">
        <v>323</v>
      </c>
      <c r="K9" s="305">
        <v>2018</v>
      </c>
      <c r="L9" s="305">
        <v>2019</v>
      </c>
      <c r="M9" s="305">
        <v>2020</v>
      </c>
      <c r="N9" s="305">
        <v>2021</v>
      </c>
      <c r="O9" s="305">
        <v>2022</v>
      </c>
      <c r="P9" s="305">
        <v>2023</v>
      </c>
      <c r="Q9" s="306" t="s">
        <v>435</v>
      </c>
    </row>
    <row r="10" spans="2:17" ht="15.6">
      <c r="B10" s="169" t="s">
        <v>182</v>
      </c>
      <c r="C10" s="67">
        <f>WACC!C10</f>
        <v>8.6901716227942044E-2</v>
      </c>
      <c r="D10" s="11"/>
      <c r="E10" s="11"/>
      <c r="F10" s="11"/>
      <c r="G10" s="11"/>
      <c r="H10" s="296"/>
      <c r="J10" s="307" t="s">
        <v>393</v>
      </c>
      <c r="K10" s="326">
        <v>0.99750000000000005</v>
      </c>
      <c r="L10" s="326">
        <v>1.17</v>
      </c>
      <c r="M10" s="326">
        <v>1.2549999999999999</v>
      </c>
      <c r="N10" s="326">
        <v>1.38</v>
      </c>
      <c r="O10" s="326">
        <v>1.5</v>
      </c>
      <c r="P10" s="326">
        <v>1.66</v>
      </c>
      <c r="Q10" s="170"/>
    </row>
    <row r="11" spans="2:17" ht="16.2" thickBot="1">
      <c r="B11" s="169"/>
      <c r="C11" s="11"/>
      <c r="D11" s="11"/>
      <c r="E11" s="11"/>
      <c r="F11" s="11"/>
      <c r="G11" s="11"/>
      <c r="H11" s="296"/>
      <c r="J11" s="308" t="s">
        <v>323</v>
      </c>
      <c r="K11" s="308" t="s">
        <v>323</v>
      </c>
      <c r="L11" s="309">
        <f>(L10-K10)/K10</f>
        <v>0.17293233082706755</v>
      </c>
      <c r="M11" s="309">
        <f t="shared" ref="M11:P11" si="0">(M10-L10)/L10</f>
        <v>7.2649572649572627E-2</v>
      </c>
      <c r="N11" s="309">
        <f t="shared" si="0"/>
        <v>9.9601593625498017E-2</v>
      </c>
      <c r="O11" s="309">
        <f t="shared" si="0"/>
        <v>8.6956521739130516E-2</v>
      </c>
      <c r="P11" s="309">
        <f t="shared" si="0"/>
        <v>0.10666666666666662</v>
      </c>
      <c r="Q11" s="310">
        <f>AVERAGE(L11:P11)</f>
        <v>0.10776133710158706</v>
      </c>
    </row>
    <row r="12" spans="2:17" ht="16.2" thickBot="1">
      <c r="B12" s="169" t="s">
        <v>214</v>
      </c>
      <c r="C12" s="11">
        <v>1</v>
      </c>
      <c r="D12" s="11">
        <v>2</v>
      </c>
      <c r="E12" s="11"/>
      <c r="F12" s="11"/>
      <c r="G12" s="11"/>
      <c r="H12" s="296"/>
      <c r="J12" t="s">
        <v>324</v>
      </c>
      <c r="K12" t="s">
        <v>324</v>
      </c>
      <c r="L12" s="309">
        <v>6.6100000000000006E-2</v>
      </c>
      <c r="M12" s="309">
        <v>-8.7599999999999997E-2</v>
      </c>
      <c r="N12" s="309">
        <v>6.4000000000000001E-2</v>
      </c>
      <c r="O12" s="309">
        <v>5.2600000000000001E-2</v>
      </c>
      <c r="P12" s="309">
        <v>3.5700000000000003E-2</v>
      </c>
      <c r="Q12" s="314">
        <f>AVERAGE(L12:P12)</f>
        <v>2.6160000000000006E-2</v>
      </c>
    </row>
    <row r="13" spans="2:17" ht="15.6">
      <c r="B13" s="169" t="s">
        <v>347</v>
      </c>
      <c r="C13" s="311">
        <f>Q11</f>
        <v>0.10776133710158706</v>
      </c>
      <c r="D13" s="311">
        <v>0.02</v>
      </c>
      <c r="E13" s="67"/>
      <c r="F13" s="67"/>
      <c r="G13" s="67"/>
      <c r="H13" s="56"/>
      <c r="K13">
        <f>L9</f>
        <v>2019</v>
      </c>
      <c r="L13">
        <f t="shared" ref="L13:O13" si="1">M9</f>
        <v>2020</v>
      </c>
      <c r="M13">
        <f t="shared" si="1"/>
        <v>2021</v>
      </c>
      <c r="N13">
        <f t="shared" si="1"/>
        <v>2022</v>
      </c>
      <c r="O13">
        <f t="shared" si="1"/>
        <v>2023</v>
      </c>
    </row>
    <row r="14" spans="2:17" ht="15.6">
      <c r="B14" s="169" t="s">
        <v>348</v>
      </c>
      <c r="C14" s="11" t="s">
        <v>385</v>
      </c>
      <c r="D14" s="11" t="s">
        <v>349</v>
      </c>
      <c r="E14" s="11"/>
      <c r="F14" s="11"/>
      <c r="G14" s="11"/>
      <c r="H14" s="296"/>
      <c r="K14" s="314">
        <f>L11</f>
        <v>0.17293233082706755</v>
      </c>
      <c r="L14" s="314">
        <f t="shared" ref="L14:O14" si="2">M11</f>
        <v>7.2649572649572627E-2</v>
      </c>
      <c r="M14" s="314">
        <f t="shared" si="2"/>
        <v>9.9601593625498017E-2</v>
      </c>
      <c r="N14" s="314">
        <f t="shared" si="2"/>
        <v>8.6956521739130516E-2</v>
      </c>
      <c r="O14" s="314">
        <f t="shared" si="2"/>
        <v>0.10666666666666662</v>
      </c>
    </row>
    <row r="15" spans="2:17" ht="15.6">
      <c r="B15" s="169"/>
      <c r="C15" s="11"/>
      <c r="D15" s="11"/>
      <c r="E15" s="11"/>
      <c r="F15" s="11"/>
      <c r="G15" s="11"/>
      <c r="H15" s="296"/>
    </row>
    <row r="16" spans="2:17" ht="15.6">
      <c r="B16" s="169" t="s">
        <v>350</v>
      </c>
      <c r="C16" s="11">
        <v>1</v>
      </c>
      <c r="D16" s="11">
        <f>C16+1</f>
        <v>2</v>
      </c>
      <c r="E16" s="11">
        <f t="shared" ref="E16:G16" si="3">D16+1</f>
        <v>3</v>
      </c>
      <c r="F16" s="11">
        <f t="shared" si="3"/>
        <v>4</v>
      </c>
      <c r="G16" s="11">
        <f t="shared" si="3"/>
        <v>5</v>
      </c>
      <c r="H16" s="296">
        <f>G16+1</f>
        <v>6</v>
      </c>
    </row>
    <row r="17" spans="2:8" ht="15.6">
      <c r="B17" s="169" t="s">
        <v>351</v>
      </c>
      <c r="C17" s="11">
        <f>C6*C13+C6</f>
        <v>1.8610390463306663</v>
      </c>
      <c r="D17" s="11">
        <f>C17*$C$13+C17</f>
        <v>2.0615871023615213</v>
      </c>
      <c r="E17" s="11">
        <f t="shared" ref="E17:G17" si="4">D17*$C$13+D17</f>
        <v>2.2837464850633853</v>
      </c>
      <c r="F17" s="11">
        <f t="shared" si="4"/>
        <v>2.5298460598948651</v>
      </c>
      <c r="G17" s="11">
        <f t="shared" si="4"/>
        <v>2.8024656539703177</v>
      </c>
      <c r="H17" s="296">
        <f>G17*$C$13+G17</f>
        <v>3.1044631000234326</v>
      </c>
    </row>
    <row r="18" spans="2:8" ht="15.6">
      <c r="B18" s="169" t="s">
        <v>352</v>
      </c>
      <c r="C18" s="11">
        <f>(C17/(1+$C$8)^C16)</f>
        <v>1.7880851713399946</v>
      </c>
      <c r="D18" s="11">
        <f>(D17/(1+$C$8)^D16)</f>
        <v>1.9031241547416535</v>
      </c>
      <c r="E18" s="11">
        <f>(E17/(1+$C$8)^E16)</f>
        <v>2.0255643335193523</v>
      </c>
      <c r="F18" s="11">
        <f t="shared" ref="F18:G18" si="5">(F17/(1+$C$8)^F16)</f>
        <v>2.1558818740244838</v>
      </c>
      <c r="G18" s="11">
        <f t="shared" si="5"/>
        <v>2.2945835774427725</v>
      </c>
      <c r="H18" s="296">
        <f>(H17/(1+$C$8)^H16)</f>
        <v>2.4422088507295818</v>
      </c>
    </row>
    <row r="19" spans="2:8" ht="15.6">
      <c r="B19" s="169"/>
      <c r="C19" s="11"/>
      <c r="D19" s="11"/>
      <c r="E19" s="11"/>
      <c r="F19" s="11"/>
      <c r="G19" s="11"/>
      <c r="H19" s="296"/>
    </row>
    <row r="20" spans="2:8" ht="15.6">
      <c r="B20" s="169"/>
      <c r="C20" s="11"/>
      <c r="D20" s="11"/>
      <c r="E20" s="11"/>
      <c r="F20" s="11"/>
      <c r="G20" s="11"/>
      <c r="H20" s="296"/>
    </row>
    <row r="21" spans="2:8" ht="15.6">
      <c r="B21" s="169" t="s">
        <v>353</v>
      </c>
      <c r="C21" s="11">
        <f>SUM(C18:G18)</f>
        <v>10.167239111068257</v>
      </c>
      <c r="D21" s="11"/>
      <c r="E21" s="11"/>
      <c r="F21" s="11"/>
      <c r="G21" s="11"/>
      <c r="H21" s="296"/>
    </row>
    <row r="22" spans="2:8" ht="15.6">
      <c r="B22" s="169" t="s">
        <v>354</v>
      </c>
      <c r="C22" s="11">
        <f>G18*(1+D13)</f>
        <v>2.3404752489916278</v>
      </c>
      <c r="D22" s="11"/>
      <c r="E22" s="11"/>
      <c r="F22" s="11"/>
      <c r="G22" s="11"/>
      <c r="H22" s="296"/>
    </row>
    <row r="23" spans="2:8" ht="15.6">
      <c r="B23" s="169" t="s">
        <v>208</v>
      </c>
      <c r="C23" s="11">
        <f>(C22*(1+D13))/(C10-D13)</f>
        <v>35.68346058324871</v>
      </c>
      <c r="D23" s="11"/>
      <c r="E23" s="11"/>
      <c r="F23" s="11"/>
      <c r="G23" s="11"/>
      <c r="H23" s="296"/>
    </row>
    <row r="24" spans="2:8" ht="15.6">
      <c r="B24" s="169" t="s">
        <v>355</v>
      </c>
      <c r="C24" s="11">
        <f>(C23/(1+C10)^G16)</f>
        <v>23.524239542909779</v>
      </c>
      <c r="D24" s="11"/>
      <c r="E24" s="11"/>
      <c r="F24" s="11"/>
      <c r="G24" s="11"/>
      <c r="H24" s="296"/>
    </row>
    <row r="25" spans="2:8" ht="15.6">
      <c r="B25" s="169" t="s">
        <v>356</v>
      </c>
      <c r="C25" s="11">
        <f>C24+SUM(C18:G18)</f>
        <v>33.691478653978038</v>
      </c>
      <c r="D25" s="11"/>
      <c r="E25" s="11"/>
      <c r="F25" s="11"/>
      <c r="G25" s="11"/>
      <c r="H25" s="296"/>
    </row>
    <row r="26" spans="2:8" ht="15" thickBot="1">
      <c r="B26" s="57"/>
      <c r="C26" s="297"/>
      <c r="D26" s="297"/>
      <c r="E26" s="297"/>
      <c r="F26" s="297"/>
      <c r="G26" s="297"/>
      <c r="H26" s="298"/>
    </row>
    <row r="29" spans="2:8">
      <c r="B29" s="289"/>
      <c r="C29" s="289"/>
      <c r="D29" s="289"/>
      <c r="E29" s="289"/>
      <c r="F29" s="290"/>
      <c r="G29" s="289"/>
      <c r="H29" s="289"/>
    </row>
    <row r="30" spans="2:8">
      <c r="B30" s="289"/>
      <c r="C30" s="416" t="s">
        <v>357</v>
      </c>
      <c r="D30" s="416"/>
      <c r="E30" s="416"/>
      <c r="F30" s="416"/>
      <c r="G30" s="416"/>
      <c r="H30" s="416"/>
    </row>
    <row r="31" spans="2:8">
      <c r="B31" s="289"/>
      <c r="C31" s="224">
        <f>C25</f>
        <v>33.691478653978038</v>
      </c>
      <c r="D31" s="291">
        <v>0.02</v>
      </c>
      <c r="E31" s="291">
        <f>D31+0.005</f>
        <v>2.5000000000000001E-2</v>
      </c>
      <c r="F31" s="291">
        <f t="shared" ref="F31:H31" si="6">E31+0.005</f>
        <v>3.0000000000000002E-2</v>
      </c>
      <c r="G31" s="291">
        <f t="shared" si="6"/>
        <v>3.5000000000000003E-2</v>
      </c>
      <c r="H31" s="291">
        <f t="shared" si="6"/>
        <v>0.04</v>
      </c>
    </row>
    <row r="32" spans="2:8">
      <c r="B32" s="289"/>
      <c r="C32" s="291">
        <v>7.6899999999999996E-2</v>
      </c>
      <c r="D32" s="225">
        <f t="dataTable" ref="D32:H36" dt2D="1" dtr="1" r1="D13" r2="C10"/>
        <v>39.135009758615531</v>
      </c>
      <c r="E32" s="226">
        <v>42.237860083166673</v>
      </c>
      <c r="F32" s="226">
        <v>46.003987941701446</v>
      </c>
      <c r="G32" s="226">
        <v>50.670843525383404</v>
      </c>
      <c r="H32" s="227">
        <v>56.604576315979749</v>
      </c>
    </row>
    <row r="33" spans="2:8">
      <c r="B33" s="289"/>
      <c r="C33" s="291">
        <f>C32+0.005</f>
        <v>8.1900000000000001E-2</v>
      </c>
      <c r="D33" s="228">
        <v>36.185482470506479</v>
      </c>
      <c r="E33" s="225">
        <v>38.749971383444482</v>
      </c>
      <c r="F33" s="226">
        <v>41.810072794491738</v>
      </c>
      <c r="G33" s="227">
        <v>45.524298163597848</v>
      </c>
      <c r="H33" s="229">
        <v>50.126820745437875</v>
      </c>
    </row>
    <row r="34" spans="2:8">
      <c r="B34" s="290" t="s">
        <v>182</v>
      </c>
      <c r="C34" s="291">
        <f t="shared" ref="C34:C36" si="7">C33+0.005</f>
        <v>8.6900000000000005E-2</v>
      </c>
      <c r="D34" s="312">
        <v>33.692267866760709</v>
      </c>
      <c r="E34" s="228">
        <v>35.842390851644964</v>
      </c>
      <c r="F34" s="232">
        <v>38.371720609710366</v>
      </c>
      <c r="G34" s="229">
        <v>41.389854474246214</v>
      </c>
      <c r="H34" s="229">
        <v>45.053126381223905</v>
      </c>
    </row>
    <row r="35" spans="2:8">
      <c r="B35" s="289"/>
      <c r="C35" s="291">
        <f t="shared" si="7"/>
        <v>9.1900000000000009E-2</v>
      </c>
      <c r="D35" s="228">
        <v>31.559712684063506</v>
      </c>
      <c r="E35" s="234">
        <v>33.384509757727415</v>
      </c>
      <c r="F35" s="235">
        <v>35.505298597589352</v>
      </c>
      <c r="G35" s="236">
        <v>38.000108667497628</v>
      </c>
      <c r="H35" s="229">
        <v>40.977038588852928</v>
      </c>
    </row>
    <row r="36" spans="2:8">
      <c r="B36" s="289"/>
      <c r="C36" s="291">
        <f t="shared" si="7"/>
        <v>9.6900000000000014E-2</v>
      </c>
      <c r="D36" s="234">
        <v>29.717056373522794</v>
      </c>
      <c r="E36" s="235">
        <v>31.282066669489247</v>
      </c>
      <c r="F36" s="235">
        <v>33.082089717343841</v>
      </c>
      <c r="G36" s="235">
        <v>35.174075295411626</v>
      </c>
      <c r="H36" s="236">
        <v>37.634990678792761</v>
      </c>
    </row>
  </sheetData>
  <mergeCells count="1">
    <mergeCell ref="C30:H30"/>
  </mergeCells>
  <conditionalFormatting sqref="D32:H36">
    <cfRule type="colorScale" priority="1">
      <colorScale>
        <cfvo type="min"/>
        <cfvo type="max"/>
        <color rgb="FF63BE7B"/>
        <color rgb="FFFFEF9C"/>
      </colorScale>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5448B-F406-4B09-873B-608F43C196AC}">
  <dimension ref="A1:AA501"/>
  <sheetViews>
    <sheetView zoomScale="58" workbookViewId="0">
      <selection activeCell="Z29" sqref="Z29:AA31"/>
    </sheetView>
  </sheetViews>
  <sheetFormatPr defaultRowHeight="14.4"/>
  <cols>
    <col min="1" max="1" width="9.88671875" style="11" bestFit="1" customWidth="1"/>
    <col min="2" max="2" width="8.77734375" style="11" bestFit="1" customWidth="1"/>
    <col min="3" max="3" width="9.6640625" style="11" bestFit="1" customWidth="1"/>
    <col min="4" max="4" width="11.88671875" bestFit="1" customWidth="1"/>
    <col min="5" max="5" width="11.88671875" customWidth="1"/>
    <col min="6" max="6" width="11.109375" style="11" bestFit="1" customWidth="1"/>
    <col min="7" max="7" width="11.88671875" style="11" bestFit="1" customWidth="1"/>
    <col min="8" max="8" width="9.109375" style="11" bestFit="1" customWidth="1"/>
    <col min="9" max="9" width="9" style="11"/>
    <col min="10" max="10" width="11.77734375" style="11" bestFit="1" customWidth="1"/>
    <col min="11" max="11" width="10.44140625" style="11" bestFit="1" customWidth="1"/>
    <col min="13" max="13" width="10.88671875" bestFit="1" customWidth="1"/>
    <col min="14" max="16" width="9" bestFit="1" customWidth="1"/>
    <col min="18" max="20" width="9" bestFit="1" customWidth="1"/>
    <col min="27" max="27" width="9" bestFit="1" customWidth="1"/>
  </cols>
  <sheetData>
    <row r="1" spans="1:23">
      <c r="A1" s="16" t="s">
        <v>159</v>
      </c>
      <c r="B1" s="16" t="s">
        <v>160</v>
      </c>
      <c r="C1" s="16" t="s">
        <v>160</v>
      </c>
      <c r="D1" t="s">
        <v>363</v>
      </c>
      <c r="F1" s="16" t="s">
        <v>161</v>
      </c>
      <c r="G1" s="16" t="s">
        <v>162</v>
      </c>
      <c r="H1" s="11" t="s">
        <v>364</v>
      </c>
      <c r="M1" t="s">
        <v>159</v>
      </c>
      <c r="N1" t="s">
        <v>164</v>
      </c>
      <c r="O1" t="s">
        <v>165</v>
      </c>
      <c r="P1" t="s">
        <v>160</v>
      </c>
    </row>
    <row r="2" spans="1:23">
      <c r="A2" s="65">
        <v>44592</v>
      </c>
      <c r="B2" s="11">
        <v>25.887211000000001</v>
      </c>
      <c r="C2" s="11">
        <v>436.09939600000001</v>
      </c>
      <c r="D2">
        <v>40.006824000000002</v>
      </c>
      <c r="J2" s="11" t="s">
        <v>167</v>
      </c>
      <c r="M2" s="64">
        <v>44585</v>
      </c>
      <c r="N2">
        <v>25.534451000000001</v>
      </c>
      <c r="O2">
        <v>428.38372800000002</v>
      </c>
      <c r="V2" t="s">
        <v>168</v>
      </c>
    </row>
    <row r="3" spans="1:23">
      <c r="A3" s="65">
        <v>44593</v>
      </c>
      <c r="B3" s="11">
        <v>25.968616000000001</v>
      </c>
      <c r="C3" s="11">
        <v>439.04605099999998</v>
      </c>
      <c r="D3">
        <v>39.856281000000003</v>
      </c>
      <c r="F3" s="11">
        <f>(B3-B2)/B2</f>
        <v>3.1446029469918628E-3</v>
      </c>
      <c r="G3" s="11">
        <f>(C3-C2)/C2</f>
        <v>6.756842653366033E-3</v>
      </c>
      <c r="H3" s="11">
        <f>(D3-D2)/D2</f>
        <v>-3.7629330436227326E-3</v>
      </c>
      <c r="J3" s="11" t="s">
        <v>163</v>
      </c>
      <c r="K3" s="16">
        <f>_xlfn.COVARIANCE.P(F3:F501,G3:G501)/_xlfn.VAR.P(G3:G501)</f>
        <v>0.77874520655307489</v>
      </c>
      <c r="M3" s="64">
        <v>44592</v>
      </c>
      <c r="N3">
        <v>25.453040999999999</v>
      </c>
      <c r="O3">
        <v>434.926514</v>
      </c>
      <c r="P3">
        <v>38.873382999999997</v>
      </c>
      <c r="R3" s="11">
        <f>(N3-N2)/N2</f>
        <v>-3.1882416426341712E-3</v>
      </c>
      <c r="S3" s="11">
        <f>(O3-O2)/O2</f>
        <v>1.5273189835072302E-2</v>
      </c>
      <c r="T3" s="11" t="e">
        <f>(P3-P2)/P2</f>
        <v>#DIV/0!</v>
      </c>
      <c r="V3" t="s">
        <v>166</v>
      </c>
      <c r="W3" s="16">
        <f>_xlfn.COVARIANCE.P(R3:R106,S3:S106)/_xlfn.VAR.P(S3:S106)</f>
        <v>0.70715751344431099</v>
      </c>
    </row>
    <row r="4" spans="1:23">
      <c r="A4" s="65">
        <v>44594</v>
      </c>
      <c r="B4" s="11">
        <v>26.02289</v>
      </c>
      <c r="C4" s="11">
        <v>443.31097399999999</v>
      </c>
      <c r="D4">
        <v>39.812012000000003</v>
      </c>
      <c r="F4" s="11">
        <f t="shared" ref="F4:F35" si="0">(B4-B3)/B3</f>
        <v>2.0899843102920651E-3</v>
      </c>
      <c r="G4" s="11">
        <f t="shared" ref="G4:G35" si="1">(C4-C3)/C3</f>
        <v>9.7140675568905422E-3</v>
      </c>
      <c r="H4" s="11">
        <f t="shared" ref="H4:H67" si="2">(D4-D3)/D3</f>
        <v>-1.1107157740081141E-3</v>
      </c>
      <c r="M4" s="64">
        <v>44599</v>
      </c>
      <c r="N4">
        <v>25.55254</v>
      </c>
      <c r="O4">
        <v>426.93942299999998</v>
      </c>
      <c r="P4">
        <v>38.899951999999999</v>
      </c>
      <c r="R4" s="11">
        <f t="shared" ref="R4:S67" si="3">(N4-N3)/N3</f>
        <v>3.9091203286869165E-3</v>
      </c>
      <c r="S4" s="11">
        <f t="shared" si="3"/>
        <v>-1.8364231066400383E-2</v>
      </c>
      <c r="T4" s="11">
        <f t="shared" ref="T4:T67" si="4">(P4-P3)/P3</f>
        <v>6.8347537439697665E-4</v>
      </c>
    </row>
    <row r="5" spans="1:23">
      <c r="A5" s="65">
        <v>44595</v>
      </c>
      <c r="B5" s="11">
        <v>25.615856000000001</v>
      </c>
      <c r="C5" s="11">
        <v>432.89102200000002</v>
      </c>
      <c r="D5">
        <v>39.103606999999997</v>
      </c>
      <c r="F5" s="11">
        <f t="shared" si="0"/>
        <v>-1.5641383412833835E-2</v>
      </c>
      <c r="G5" s="11">
        <f t="shared" si="1"/>
        <v>-2.3504836584532569E-2</v>
      </c>
      <c r="H5" s="11">
        <f t="shared" si="2"/>
        <v>-1.7793750288229746E-2</v>
      </c>
      <c r="J5" s="11" t="s">
        <v>365</v>
      </c>
      <c r="K5" s="16">
        <f>_xlfn.COVARIANCE.P(H3:H501,G3:G501)/_xlfn.VAR.P(G3:G501)</f>
        <v>0.72732869960177338</v>
      </c>
      <c r="M5" s="64">
        <v>44606</v>
      </c>
      <c r="N5">
        <v>25.254051</v>
      </c>
      <c r="O5">
        <v>420.90072600000002</v>
      </c>
      <c r="P5">
        <v>39.413536000000001</v>
      </c>
      <c r="R5" s="11">
        <f t="shared" si="3"/>
        <v>-1.1681382750990704E-2</v>
      </c>
      <c r="S5" s="11">
        <f t="shared" si="3"/>
        <v>-1.4144154122773424E-2</v>
      </c>
      <c r="T5" s="11">
        <f t="shared" si="4"/>
        <v>1.3202689813087729E-2</v>
      </c>
      <c r="W5" s="16">
        <f>_xlfn.COVARIANCE.P(T4:T502,S4:S502)/_xlfn.VAR.P(S4:S502)</f>
        <v>0.70868630603353022</v>
      </c>
    </row>
    <row r="6" spans="1:23">
      <c r="A6" s="65">
        <v>44596</v>
      </c>
      <c r="B6" s="11">
        <v>25.453043000000001</v>
      </c>
      <c r="C6" s="11">
        <v>434.926514</v>
      </c>
      <c r="D6">
        <v>38.873382999999997</v>
      </c>
      <c r="F6" s="11">
        <f t="shared" si="0"/>
        <v>-6.3559460983853072E-3</v>
      </c>
      <c r="G6" s="11">
        <f t="shared" si="1"/>
        <v>4.7020887395534307E-3</v>
      </c>
      <c r="H6" s="11">
        <f t="shared" si="2"/>
        <v>-5.8875387122216058E-3</v>
      </c>
      <c r="M6" s="64">
        <v>44613</v>
      </c>
      <c r="N6">
        <v>25.389728999999999</v>
      </c>
      <c r="O6">
        <v>424.31262199999998</v>
      </c>
      <c r="P6">
        <v>39.812012000000003</v>
      </c>
      <c r="R6" s="11">
        <f t="shared" si="3"/>
        <v>5.3725241942371394E-3</v>
      </c>
      <c r="S6" s="11">
        <f t="shared" si="3"/>
        <v>8.1061775122715177E-3</v>
      </c>
      <c r="T6" s="11">
        <f t="shared" si="4"/>
        <v>1.0110130692156173E-2</v>
      </c>
    </row>
    <row r="7" spans="1:23">
      <c r="A7" s="65">
        <v>44599</v>
      </c>
      <c r="B7" s="11">
        <v>25.489225000000001</v>
      </c>
      <c r="C7" s="11">
        <v>433.530731</v>
      </c>
      <c r="D7">
        <v>39.103606999999997</v>
      </c>
      <c r="F7" s="11">
        <f t="shared" si="0"/>
        <v>1.4215196194812603E-3</v>
      </c>
      <c r="G7" s="11">
        <f t="shared" si="1"/>
        <v>-3.209238699115029E-3</v>
      </c>
      <c r="H7" s="11">
        <f t="shared" si="2"/>
        <v>5.9224071133711148E-3</v>
      </c>
      <c r="M7" s="64">
        <v>44620</v>
      </c>
      <c r="N7">
        <v>25.208824</v>
      </c>
      <c r="O7">
        <v>418.903931</v>
      </c>
      <c r="P7">
        <v>41.078274</v>
      </c>
      <c r="R7" s="11">
        <f t="shared" si="3"/>
        <v>-7.125125281959457E-3</v>
      </c>
      <c r="S7" s="11">
        <f t="shared" si="3"/>
        <v>-1.2746948168796112E-2</v>
      </c>
      <c r="T7" s="11">
        <f t="shared" si="4"/>
        <v>3.1806028793520846E-2</v>
      </c>
      <c r="V7" s="11" t="s">
        <v>323</v>
      </c>
      <c r="W7" s="242">
        <f>W3</f>
        <v>0.70715751344431099</v>
      </c>
    </row>
    <row r="8" spans="1:23">
      <c r="A8" s="65">
        <v>44600</v>
      </c>
      <c r="B8" s="11">
        <v>25.471133999999999</v>
      </c>
      <c r="C8" s="11">
        <v>437.09774800000002</v>
      </c>
      <c r="D8">
        <v>38.917656000000001</v>
      </c>
      <c r="F8" s="11">
        <f t="shared" si="0"/>
        <v>-7.0975088493282373E-4</v>
      </c>
      <c r="G8" s="11">
        <f t="shared" si="1"/>
        <v>8.2278296437537229E-3</v>
      </c>
      <c r="H8" s="11">
        <f t="shared" si="2"/>
        <v>-4.7553413678691012E-3</v>
      </c>
      <c r="I8" s="11" t="s">
        <v>323</v>
      </c>
      <c r="J8" s="242">
        <f>K3</f>
        <v>0.77874520655307489</v>
      </c>
      <c r="M8" s="64">
        <v>44627</v>
      </c>
      <c r="N8">
        <v>24.539484000000002</v>
      </c>
      <c r="O8">
        <v>407.17535400000003</v>
      </c>
      <c r="P8">
        <v>39.395823999999998</v>
      </c>
      <c r="R8" s="11">
        <f t="shared" si="3"/>
        <v>-2.6551813761720826E-2</v>
      </c>
      <c r="S8" s="11">
        <f t="shared" si="3"/>
        <v>-2.7998250033132235E-2</v>
      </c>
      <c r="T8" s="11">
        <f t="shared" si="4"/>
        <v>-4.095717361445135E-2</v>
      </c>
      <c r="V8" s="11" t="s">
        <v>324</v>
      </c>
      <c r="W8" s="242">
        <f>W5</f>
        <v>0.70868630603353022</v>
      </c>
    </row>
    <row r="9" spans="1:23">
      <c r="A9" s="65">
        <v>44601</v>
      </c>
      <c r="B9" s="11">
        <v>26.104293999999999</v>
      </c>
      <c r="C9" s="11">
        <v>443.49520899999999</v>
      </c>
      <c r="D9">
        <v>39.900562000000001</v>
      </c>
      <c r="F9" s="11">
        <f t="shared" si="0"/>
        <v>2.4857943113172746E-2</v>
      </c>
      <c r="G9" s="11">
        <f t="shared" si="1"/>
        <v>1.4636225030379164E-2</v>
      </c>
      <c r="H9" s="11">
        <f t="shared" si="2"/>
        <v>2.5256043169711962E-2</v>
      </c>
      <c r="I9" s="11" t="s">
        <v>324</v>
      </c>
      <c r="J9" s="242">
        <f>K5</f>
        <v>0.72732869960177338</v>
      </c>
      <c r="M9" s="64">
        <v>44634</v>
      </c>
      <c r="N9">
        <v>24.910339</v>
      </c>
      <c r="O9">
        <v>430.87478599999997</v>
      </c>
      <c r="P9">
        <v>40.479412000000004</v>
      </c>
      <c r="R9" s="11">
        <f t="shared" si="3"/>
        <v>1.5112583459375054E-2</v>
      </c>
      <c r="S9" s="11">
        <f t="shared" si="3"/>
        <v>5.820448552983868E-2</v>
      </c>
      <c r="T9" s="11">
        <f t="shared" si="4"/>
        <v>2.7505148769067657E-2</v>
      </c>
    </row>
    <row r="10" spans="1:23">
      <c r="A10" s="65">
        <v>44602</v>
      </c>
      <c r="B10" s="11">
        <v>25.661085</v>
      </c>
      <c r="C10" s="11">
        <v>435.52749599999999</v>
      </c>
      <c r="D10">
        <v>39.413536000000001</v>
      </c>
      <c r="F10" s="11">
        <f t="shared" si="0"/>
        <v>-1.6978394435796636E-2</v>
      </c>
      <c r="G10" s="11">
        <f t="shared" si="1"/>
        <v>-1.7965725081823834E-2</v>
      </c>
      <c r="H10" s="11">
        <f t="shared" si="2"/>
        <v>-1.2205993489515265E-2</v>
      </c>
      <c r="M10" s="64">
        <v>44641</v>
      </c>
      <c r="N10">
        <v>24.711341999999998</v>
      </c>
      <c r="O10">
        <v>440.15722699999998</v>
      </c>
      <c r="P10">
        <v>40.524363999999998</v>
      </c>
      <c r="R10" s="11">
        <f t="shared" si="3"/>
        <v>-7.9885303849137543E-3</v>
      </c>
      <c r="S10" s="11">
        <f t="shared" si="3"/>
        <v>2.1543244816372258E-2</v>
      </c>
      <c r="T10" s="11">
        <f t="shared" si="4"/>
        <v>1.1104904389420229E-3</v>
      </c>
    </row>
    <row r="11" spans="1:23">
      <c r="A11" s="65">
        <v>44603</v>
      </c>
      <c r="B11" s="11">
        <v>25.552541999999999</v>
      </c>
      <c r="C11" s="11">
        <v>426.93942299999998</v>
      </c>
      <c r="D11">
        <v>38.899943999999998</v>
      </c>
      <c r="F11" s="11">
        <f t="shared" si="0"/>
        <v>-4.2298679108853324E-3</v>
      </c>
      <c r="G11" s="11">
        <f t="shared" si="1"/>
        <v>-1.9718784873228781E-2</v>
      </c>
      <c r="H11" s="11">
        <f t="shared" si="2"/>
        <v>-1.3030853156641483E-2</v>
      </c>
      <c r="M11" s="64">
        <v>44648</v>
      </c>
      <c r="N11">
        <v>26.504147</v>
      </c>
      <c r="O11">
        <v>440.38082900000001</v>
      </c>
      <c r="P11">
        <v>42.367610999999997</v>
      </c>
      <c r="R11" s="11">
        <f t="shared" si="3"/>
        <v>7.2549884178690155E-2</v>
      </c>
      <c r="S11" s="11">
        <f t="shared" si="3"/>
        <v>5.0800483619011004E-4</v>
      </c>
      <c r="T11" s="11">
        <f t="shared" si="4"/>
        <v>4.5484908782282139E-2</v>
      </c>
    </row>
    <row r="12" spans="1:23">
      <c r="A12" s="65">
        <v>44606</v>
      </c>
      <c r="B12" s="11">
        <v>25.471133999999999</v>
      </c>
      <c r="C12" s="11">
        <v>425.54363999999998</v>
      </c>
      <c r="D12">
        <v>38.395214000000003</v>
      </c>
      <c r="F12" s="11">
        <f t="shared" si="0"/>
        <v>-3.185906122373254E-3</v>
      </c>
      <c r="G12" s="11">
        <f t="shared" si="1"/>
        <v>-3.2692764472115627E-3</v>
      </c>
      <c r="H12" s="11">
        <f t="shared" si="2"/>
        <v>-1.2975082946134706E-2</v>
      </c>
      <c r="M12" s="64">
        <v>44655</v>
      </c>
      <c r="N12">
        <v>25.880949000000001</v>
      </c>
      <c r="O12">
        <v>435.17895499999997</v>
      </c>
      <c r="P12">
        <v>41.648296000000002</v>
      </c>
      <c r="R12" s="11">
        <f t="shared" si="3"/>
        <v>-2.3513226062321438E-2</v>
      </c>
      <c r="S12" s="11">
        <f t="shared" si="3"/>
        <v>-1.1812217193496477E-2</v>
      </c>
      <c r="T12" s="11">
        <f t="shared" si="4"/>
        <v>-1.6977945723680162E-2</v>
      </c>
    </row>
    <row r="13" spans="1:23">
      <c r="A13" s="65">
        <v>44607</v>
      </c>
      <c r="B13" s="11">
        <v>26.104293999999999</v>
      </c>
      <c r="C13" s="11">
        <v>432.406342</v>
      </c>
      <c r="D13">
        <v>39.094757000000001</v>
      </c>
      <c r="F13" s="11">
        <f t="shared" si="0"/>
        <v>2.4857943113172746E-2</v>
      </c>
      <c r="G13" s="11">
        <f t="shared" si="1"/>
        <v>1.6126905339250312E-2</v>
      </c>
      <c r="H13" s="11">
        <f t="shared" si="2"/>
        <v>1.82195364245137E-2</v>
      </c>
      <c r="M13" s="64">
        <v>44662</v>
      </c>
      <c r="N13">
        <v>26.659945</v>
      </c>
      <c r="O13">
        <v>425.669647</v>
      </c>
      <c r="P13">
        <v>42.007956999999998</v>
      </c>
      <c r="R13" s="11">
        <f t="shared" si="3"/>
        <v>3.0099205403944011E-2</v>
      </c>
      <c r="S13" s="11">
        <f t="shared" si="3"/>
        <v>-2.1851488659418231E-2</v>
      </c>
      <c r="T13" s="11">
        <f t="shared" si="4"/>
        <v>8.635671432992013E-3</v>
      </c>
    </row>
    <row r="14" spans="1:23">
      <c r="A14" s="65">
        <v>44608</v>
      </c>
      <c r="B14" s="11">
        <v>26.031935000000001</v>
      </c>
      <c r="C14" s="11">
        <v>432.89102200000002</v>
      </c>
      <c r="D14">
        <v>39.732318999999997</v>
      </c>
      <c r="F14" s="11">
        <f t="shared" si="0"/>
        <v>-2.7719194397672173E-3</v>
      </c>
      <c r="G14" s="11">
        <f t="shared" si="1"/>
        <v>1.120890127925149E-3</v>
      </c>
      <c r="H14" s="11">
        <f t="shared" si="2"/>
        <v>1.6308120293470438E-2</v>
      </c>
      <c r="M14" s="64">
        <v>44669</v>
      </c>
      <c r="N14">
        <v>27.200661</v>
      </c>
      <c r="O14">
        <v>414.24496499999998</v>
      </c>
      <c r="P14">
        <v>41.936024000000003</v>
      </c>
      <c r="R14" s="11">
        <f t="shared" si="3"/>
        <v>2.0281962322127811E-2</v>
      </c>
      <c r="S14" s="11">
        <f t="shared" si="3"/>
        <v>-2.6839315606639949E-2</v>
      </c>
      <c r="T14" s="11">
        <f t="shared" si="4"/>
        <v>-1.712366064362384E-3</v>
      </c>
    </row>
    <row r="15" spans="1:23">
      <c r="A15" s="65">
        <v>44609</v>
      </c>
      <c r="B15" s="11">
        <v>25.245007999999999</v>
      </c>
      <c r="C15" s="11">
        <v>423.64382899999998</v>
      </c>
      <c r="D15">
        <v>39.245292999999997</v>
      </c>
      <c r="F15" s="11">
        <f t="shared" si="0"/>
        <v>-3.0229293366013786E-2</v>
      </c>
      <c r="G15" s="11">
        <f t="shared" si="1"/>
        <v>-2.1361480211063464E-2</v>
      </c>
      <c r="H15" s="11">
        <f t="shared" si="2"/>
        <v>-1.2257678692250513E-2</v>
      </c>
      <c r="M15" s="64">
        <v>44676</v>
      </c>
      <c r="N15">
        <v>27.319799</v>
      </c>
      <c r="O15">
        <v>400.59371900000002</v>
      </c>
      <c r="P15">
        <v>39.903956999999998</v>
      </c>
      <c r="R15" s="11">
        <f t="shared" si="3"/>
        <v>4.3799670897703372E-3</v>
      </c>
      <c r="S15" s="11">
        <f t="shared" si="3"/>
        <v>-3.2954524866705283E-2</v>
      </c>
      <c r="T15" s="11">
        <f t="shared" si="4"/>
        <v>-4.8456358189798938E-2</v>
      </c>
    </row>
    <row r="16" spans="1:23">
      <c r="A16" s="65">
        <v>44610</v>
      </c>
      <c r="B16" s="11">
        <v>25.254052999999999</v>
      </c>
      <c r="C16" s="11">
        <v>420.900665</v>
      </c>
      <c r="D16">
        <v>39.413536000000001</v>
      </c>
      <c r="F16" s="11">
        <f t="shared" si="0"/>
        <v>3.5828865651381115E-4</v>
      </c>
      <c r="G16" s="11">
        <f t="shared" si="1"/>
        <v>-6.4751657222888023E-3</v>
      </c>
      <c r="H16" s="11">
        <f t="shared" si="2"/>
        <v>4.2869599674030699E-3</v>
      </c>
      <c r="M16" s="64">
        <v>44683</v>
      </c>
      <c r="N16">
        <v>26.504147</v>
      </c>
      <c r="O16">
        <v>399.95196499999997</v>
      </c>
      <c r="P16">
        <v>39.921944000000003</v>
      </c>
      <c r="R16" s="11">
        <f t="shared" si="3"/>
        <v>-2.9855710139009443E-2</v>
      </c>
      <c r="S16" s="11">
        <f t="shared" si="3"/>
        <v>-1.6020071448001123E-3</v>
      </c>
      <c r="T16" s="11">
        <f t="shared" si="4"/>
        <v>4.5075730208924097E-4</v>
      </c>
    </row>
    <row r="17" spans="1:27">
      <c r="A17" s="65">
        <v>44614</v>
      </c>
      <c r="B17" s="11">
        <v>24.702294999999999</v>
      </c>
      <c r="C17" s="11">
        <v>416.38372800000002</v>
      </c>
      <c r="D17">
        <v>39.103606999999997</v>
      </c>
      <c r="F17" s="11">
        <f t="shared" si="0"/>
        <v>-2.1848295004370171E-2</v>
      </c>
      <c r="G17" s="11">
        <f t="shared" si="1"/>
        <v>-1.0731598630284854E-2</v>
      </c>
      <c r="H17" s="11">
        <f t="shared" si="2"/>
        <v>-7.863516736991167E-3</v>
      </c>
      <c r="M17" s="64">
        <v>44690</v>
      </c>
      <c r="N17">
        <v>26.330017000000002</v>
      </c>
      <c r="O17">
        <v>390.59832799999998</v>
      </c>
      <c r="P17">
        <v>40.299579999999999</v>
      </c>
      <c r="R17" s="11">
        <f t="shared" si="3"/>
        <v>-6.5699152664674748E-3</v>
      </c>
      <c r="S17" s="11">
        <f t="shared" si="3"/>
        <v>-2.3386900974470753E-2</v>
      </c>
      <c r="T17" s="11">
        <f t="shared" si="4"/>
        <v>9.4593589931390963E-3</v>
      </c>
    </row>
    <row r="18" spans="1:27">
      <c r="A18" s="65">
        <v>44615</v>
      </c>
      <c r="B18" s="11">
        <v>24.394762</v>
      </c>
      <c r="C18" s="11">
        <v>408.99771099999998</v>
      </c>
      <c r="D18">
        <v>38.953074999999998</v>
      </c>
      <c r="F18" s="11">
        <f t="shared" si="0"/>
        <v>-1.2449571993209514E-2</v>
      </c>
      <c r="G18" s="11">
        <f t="shared" si="1"/>
        <v>-1.7738486168700707E-2</v>
      </c>
      <c r="H18" s="11">
        <f t="shared" si="2"/>
        <v>-3.8495681485341839E-3</v>
      </c>
      <c r="M18" s="64">
        <v>44697</v>
      </c>
      <c r="N18">
        <v>26.531641</v>
      </c>
      <c r="O18">
        <v>378.84301799999997</v>
      </c>
      <c r="P18">
        <v>39.975895000000001</v>
      </c>
      <c r="R18" s="11">
        <f t="shared" si="3"/>
        <v>7.6575719643477216E-3</v>
      </c>
      <c r="S18" s="11">
        <f t="shared" si="3"/>
        <v>-3.0095648540512977E-2</v>
      </c>
      <c r="T18" s="11">
        <f t="shared" si="4"/>
        <v>-8.0319695639507298E-3</v>
      </c>
    </row>
    <row r="19" spans="1:27">
      <c r="A19" s="65">
        <v>44616</v>
      </c>
      <c r="B19" s="11">
        <v>24.901291000000001</v>
      </c>
      <c r="C19" s="11">
        <v>415.15277099999997</v>
      </c>
      <c r="D19">
        <v>39.696899000000002</v>
      </c>
      <c r="F19" s="11">
        <f t="shared" si="0"/>
        <v>2.0763842664257206E-2</v>
      </c>
      <c r="G19" s="11">
        <f t="shared" si="1"/>
        <v>1.5049130678386589E-2</v>
      </c>
      <c r="H19" s="11">
        <f t="shared" si="2"/>
        <v>1.9095385922677573E-2</v>
      </c>
      <c r="M19" s="64">
        <v>44704</v>
      </c>
      <c r="N19">
        <v>28.291253999999999</v>
      </c>
      <c r="O19">
        <v>403.76345800000001</v>
      </c>
      <c r="P19">
        <v>42.835163000000001</v>
      </c>
      <c r="R19" s="11">
        <f t="shared" si="3"/>
        <v>6.6321302930338832E-2</v>
      </c>
      <c r="S19" s="11">
        <f t="shared" si="3"/>
        <v>6.5780386112329101E-2</v>
      </c>
      <c r="T19" s="11">
        <f t="shared" si="4"/>
        <v>7.1524802634187423E-2</v>
      </c>
    </row>
    <row r="20" spans="1:27">
      <c r="A20" s="65">
        <v>44617</v>
      </c>
      <c r="B20" s="11">
        <v>25.389727000000001</v>
      </c>
      <c r="C20" s="11">
        <v>424.31262199999998</v>
      </c>
      <c r="D20">
        <v>39.812012000000003</v>
      </c>
      <c r="F20" s="11">
        <f t="shared" si="0"/>
        <v>1.9614886633789391E-2</v>
      </c>
      <c r="G20" s="11">
        <f t="shared" si="1"/>
        <v>2.2063807927708626E-2</v>
      </c>
      <c r="H20" s="11">
        <f t="shared" si="2"/>
        <v>2.8997982940682822E-3</v>
      </c>
      <c r="M20" s="64">
        <v>44711</v>
      </c>
      <c r="N20">
        <v>28.767810999999998</v>
      </c>
      <c r="O20">
        <v>399.17416400000002</v>
      </c>
      <c r="P20">
        <v>42.358623999999999</v>
      </c>
      <c r="R20" s="11">
        <f t="shared" si="3"/>
        <v>1.6844675743252657E-2</v>
      </c>
      <c r="S20" s="11">
        <f t="shared" si="3"/>
        <v>-1.1366293578751734E-2</v>
      </c>
      <c r="T20" s="11">
        <f t="shared" si="4"/>
        <v>-1.1124948911715416E-2</v>
      </c>
    </row>
    <row r="21" spans="1:27">
      <c r="A21" s="65">
        <v>44620</v>
      </c>
      <c r="B21" s="11">
        <v>25.290230000000001</v>
      </c>
      <c r="C21" s="11">
        <v>423.22701999999998</v>
      </c>
      <c r="D21">
        <v>40.210487000000001</v>
      </c>
      <c r="F21" s="11">
        <f t="shared" si="0"/>
        <v>-3.9187896742646933E-3</v>
      </c>
      <c r="G21" s="11">
        <f t="shared" si="1"/>
        <v>-2.5584956555923391E-3</v>
      </c>
      <c r="H21" s="11">
        <f t="shared" si="2"/>
        <v>1.0008913892621093E-2</v>
      </c>
      <c r="M21" s="64">
        <v>44718</v>
      </c>
      <c r="N21">
        <v>27.438939999999999</v>
      </c>
      <c r="O21">
        <v>379.00830100000002</v>
      </c>
      <c r="P21">
        <v>41.378554999999999</v>
      </c>
      <c r="R21" s="11">
        <f t="shared" si="3"/>
        <v>-4.6192982844610583E-2</v>
      </c>
      <c r="S21" s="11">
        <f t="shared" si="3"/>
        <v>-5.0518958436398205E-2</v>
      </c>
      <c r="T21" s="11">
        <f t="shared" si="4"/>
        <v>-2.313741352882474E-2</v>
      </c>
    </row>
    <row r="22" spans="1:27">
      <c r="A22" s="65">
        <v>44621</v>
      </c>
      <c r="B22" s="11">
        <v>25.245007999999999</v>
      </c>
      <c r="C22" s="11">
        <v>416.78112800000002</v>
      </c>
      <c r="D22">
        <v>39.758884000000002</v>
      </c>
      <c r="F22" s="11">
        <f t="shared" si="0"/>
        <v>-1.7881213417198078E-3</v>
      </c>
      <c r="G22" s="11">
        <f t="shared" si="1"/>
        <v>-1.5230341389828934E-2</v>
      </c>
      <c r="H22" s="11">
        <f t="shared" si="2"/>
        <v>-1.1230975640757562E-2</v>
      </c>
      <c r="M22" s="64">
        <v>44725</v>
      </c>
      <c r="N22">
        <v>26.403335999999999</v>
      </c>
      <c r="O22">
        <v>355.73107900000002</v>
      </c>
      <c r="P22">
        <v>40.273547999999998</v>
      </c>
      <c r="R22" s="11">
        <f t="shared" si="3"/>
        <v>-3.774212852245748E-2</v>
      </c>
      <c r="S22" s="11">
        <f t="shared" si="3"/>
        <v>-6.1416127136487163E-2</v>
      </c>
      <c r="T22" s="11">
        <f t="shared" si="4"/>
        <v>-2.6704823307628807E-2</v>
      </c>
    </row>
    <row r="23" spans="1:27">
      <c r="A23" s="65">
        <v>44622</v>
      </c>
      <c r="B23" s="11">
        <v>26.059070999999999</v>
      </c>
      <c r="C23" s="11">
        <v>424.44833399999999</v>
      </c>
      <c r="D23">
        <v>40.918883999999998</v>
      </c>
      <c r="F23" s="11">
        <f t="shared" si="0"/>
        <v>3.2246494039534508E-2</v>
      </c>
      <c r="G23" s="11">
        <f t="shared" si="1"/>
        <v>1.8396240820193675E-2</v>
      </c>
      <c r="H23" s="11">
        <f t="shared" si="2"/>
        <v>2.9175869222083713E-2</v>
      </c>
      <c r="M23" s="64">
        <v>44732</v>
      </c>
      <c r="N23">
        <v>27.787195000000001</v>
      </c>
      <c r="O23">
        <v>380.91897599999999</v>
      </c>
      <c r="P23">
        <v>42.883606</v>
      </c>
      <c r="R23" s="11">
        <f t="shared" si="3"/>
        <v>5.2412278509049053E-2</v>
      </c>
      <c r="S23" s="11">
        <f t="shared" si="3"/>
        <v>7.0806006241585548E-2</v>
      </c>
      <c r="T23" s="11">
        <f t="shared" si="4"/>
        <v>6.480824584911174E-2</v>
      </c>
    </row>
    <row r="24" spans="1:27">
      <c r="A24" s="65">
        <v>44623</v>
      </c>
      <c r="B24" s="11">
        <v>25.814851999999998</v>
      </c>
      <c r="C24" s="11">
        <v>422.33520499999997</v>
      </c>
      <c r="D24">
        <v>40.883465000000001</v>
      </c>
      <c r="F24" s="11">
        <f t="shared" si="0"/>
        <v>-9.3717462145907308E-3</v>
      </c>
      <c r="G24" s="11">
        <f t="shared" si="1"/>
        <v>-4.9785305553820712E-3</v>
      </c>
      <c r="H24" s="11">
        <f t="shared" si="2"/>
        <v>-8.6559056693719767E-4</v>
      </c>
      <c r="M24" s="64">
        <v>44739</v>
      </c>
      <c r="N24">
        <v>28.497354999999999</v>
      </c>
      <c r="O24">
        <v>372.28656000000001</v>
      </c>
      <c r="P24">
        <v>42.728465999999997</v>
      </c>
      <c r="R24" s="11">
        <f t="shared" si="3"/>
        <v>2.5557095633438293E-2</v>
      </c>
      <c r="S24" s="11">
        <f t="shared" si="3"/>
        <v>-2.2662079192400167E-2</v>
      </c>
      <c r="T24" s="11">
        <f t="shared" si="4"/>
        <v>-3.6176995003639138E-3</v>
      </c>
    </row>
    <row r="25" spans="1:27">
      <c r="A25" s="65">
        <v>44624</v>
      </c>
      <c r="B25" s="11">
        <v>25.208822000000001</v>
      </c>
      <c r="C25" s="11">
        <v>418.90396099999998</v>
      </c>
      <c r="D25">
        <v>41.078274</v>
      </c>
      <c r="F25" s="11">
        <f t="shared" si="0"/>
        <v>-2.3476020703120708E-2</v>
      </c>
      <c r="G25" s="11">
        <f t="shared" si="1"/>
        <v>-8.124456496587806E-3</v>
      </c>
      <c r="H25" s="11">
        <f t="shared" si="2"/>
        <v>4.7649826158325708E-3</v>
      </c>
      <c r="M25" s="64">
        <v>44746</v>
      </c>
      <c r="N25">
        <v>29.053946</v>
      </c>
      <c r="O25">
        <v>379.54208399999999</v>
      </c>
      <c r="P25">
        <v>43.075256000000003</v>
      </c>
      <c r="R25" s="11">
        <f t="shared" si="3"/>
        <v>1.9531321415619134E-2</v>
      </c>
      <c r="S25" s="11">
        <f t="shared" si="3"/>
        <v>1.9489083892794787E-2</v>
      </c>
      <c r="T25" s="11">
        <f t="shared" si="4"/>
        <v>8.1161350374714062E-3</v>
      </c>
    </row>
    <row r="26" spans="1:27">
      <c r="A26" s="65">
        <v>44627</v>
      </c>
      <c r="B26" s="11">
        <v>24.222904</v>
      </c>
      <c r="C26" s="11">
        <v>406.55496199999999</v>
      </c>
      <c r="D26">
        <v>39.218735000000002</v>
      </c>
      <c r="F26" s="11">
        <f t="shared" si="0"/>
        <v>-3.9110038541269466E-2</v>
      </c>
      <c r="G26" s="11">
        <f t="shared" si="1"/>
        <v>-2.947930826560027E-2</v>
      </c>
      <c r="H26" s="11">
        <f t="shared" si="2"/>
        <v>-4.5268187266095897E-2</v>
      </c>
      <c r="M26" s="64">
        <v>44753</v>
      </c>
      <c r="N26">
        <v>30.139296000000002</v>
      </c>
      <c r="O26">
        <v>376.08520499999997</v>
      </c>
      <c r="P26">
        <v>45.475433000000002</v>
      </c>
      <c r="R26" s="11">
        <f t="shared" si="3"/>
        <v>3.7356371489091426E-2</v>
      </c>
      <c r="S26" s="11">
        <f t="shared" si="3"/>
        <v>-9.1080255542887699E-3</v>
      </c>
      <c r="T26" s="11">
        <f t="shared" si="4"/>
        <v>5.5720551028181915E-2</v>
      </c>
    </row>
    <row r="27" spans="1:27">
      <c r="A27" s="65">
        <v>44628</v>
      </c>
      <c r="B27" s="11">
        <v>24.295266999999999</v>
      </c>
      <c r="C27" s="11">
        <v>403.47259500000001</v>
      </c>
      <c r="D27">
        <v>39.448959000000002</v>
      </c>
      <c r="F27" s="11">
        <f t="shared" si="0"/>
        <v>2.9873792176197903E-3</v>
      </c>
      <c r="G27" s="11">
        <f t="shared" si="1"/>
        <v>-7.5816735450395922E-3</v>
      </c>
      <c r="H27" s="11">
        <f t="shared" si="2"/>
        <v>5.8702556316515501E-3</v>
      </c>
      <c r="M27" s="64">
        <v>44760</v>
      </c>
      <c r="N27">
        <v>30.668053</v>
      </c>
      <c r="O27">
        <v>385.81124899999998</v>
      </c>
      <c r="P27">
        <v>46.360657000000003</v>
      </c>
      <c r="R27" s="11">
        <f t="shared" si="3"/>
        <v>1.7543774081517988E-2</v>
      </c>
      <c r="S27" s="11">
        <f t="shared" si="3"/>
        <v>2.5861277898448578E-2</v>
      </c>
      <c r="T27" s="11">
        <f t="shared" si="4"/>
        <v>1.9465982874753516E-2</v>
      </c>
    </row>
    <row r="28" spans="1:27">
      <c r="A28" s="65">
        <v>44629</v>
      </c>
      <c r="B28" s="11">
        <v>24.847014999999999</v>
      </c>
      <c r="C28" s="11">
        <v>414.29007000000001</v>
      </c>
      <c r="D28">
        <v>40.263618000000001</v>
      </c>
      <c r="F28" s="11">
        <f t="shared" si="0"/>
        <v>2.2710102342155775E-2</v>
      </c>
      <c r="G28" s="11">
        <f t="shared" si="1"/>
        <v>2.6810928757131574E-2</v>
      </c>
      <c r="H28" s="11">
        <f t="shared" si="2"/>
        <v>2.0650963185112156E-2</v>
      </c>
      <c r="M28" s="64">
        <v>44767</v>
      </c>
      <c r="N28">
        <v>31.716290000000001</v>
      </c>
      <c r="O28">
        <v>402.31436200000002</v>
      </c>
      <c r="P28">
        <v>47.446671000000002</v>
      </c>
      <c r="R28" s="11">
        <f t="shared" si="3"/>
        <v>3.4180096141088585E-2</v>
      </c>
      <c r="S28" s="11">
        <f t="shared" si="3"/>
        <v>4.2775095445700816E-2</v>
      </c>
      <c r="T28" s="11">
        <f t="shared" si="4"/>
        <v>2.3425336703058342E-2</v>
      </c>
    </row>
    <row r="29" spans="1:27">
      <c r="A29" s="65">
        <v>44630</v>
      </c>
      <c r="B29" s="11">
        <v>24.738478000000001</v>
      </c>
      <c r="C29" s="11">
        <v>412.41924999999998</v>
      </c>
      <c r="D29">
        <v>40.515377000000001</v>
      </c>
      <c r="F29" s="11">
        <f t="shared" si="0"/>
        <v>-4.3682108293490521E-3</v>
      </c>
      <c r="G29" s="11">
        <f t="shared" si="1"/>
        <v>-4.5157249363955007E-3</v>
      </c>
      <c r="H29" s="11">
        <f t="shared" si="2"/>
        <v>6.252766455314568E-3</v>
      </c>
      <c r="M29" s="64">
        <v>44774</v>
      </c>
      <c r="N29">
        <v>31.957484999999998</v>
      </c>
      <c r="O29">
        <v>403.759613</v>
      </c>
      <c r="P29">
        <v>46.251143999999996</v>
      </c>
      <c r="R29" s="11">
        <f t="shared" si="3"/>
        <v>7.6047671401666969E-3</v>
      </c>
      <c r="S29" s="11">
        <f t="shared" si="3"/>
        <v>3.5923425472938614E-3</v>
      </c>
      <c r="T29" s="11">
        <f t="shared" si="4"/>
        <v>-2.5197278856508298E-2</v>
      </c>
      <c r="Z29" t="s">
        <v>378</v>
      </c>
    </row>
    <row r="30" spans="1:27">
      <c r="A30" s="65">
        <v>44631</v>
      </c>
      <c r="B30" s="11">
        <v>24.539484000000002</v>
      </c>
      <c r="C30" s="11">
        <v>407.17535400000003</v>
      </c>
      <c r="D30">
        <v>40.002868999999997</v>
      </c>
      <c r="F30" s="11">
        <f t="shared" si="0"/>
        <v>-8.0439063389428807E-3</v>
      </c>
      <c r="G30" s="11">
        <f t="shared" si="1"/>
        <v>-1.2714964202083075E-2</v>
      </c>
      <c r="H30" s="11">
        <f t="shared" si="2"/>
        <v>-1.2649715686960137E-2</v>
      </c>
      <c r="M30" s="64">
        <v>44781</v>
      </c>
      <c r="N30">
        <v>32.829467999999999</v>
      </c>
      <c r="O30">
        <v>417.06954999999999</v>
      </c>
      <c r="P30">
        <v>47.501423000000003</v>
      </c>
      <c r="R30" s="11">
        <f t="shared" si="3"/>
        <v>2.7285720387571183E-2</v>
      </c>
      <c r="S30" s="11">
        <f t="shared" si="3"/>
        <v>3.2965003362037573E-2</v>
      </c>
      <c r="T30" s="11">
        <f t="shared" si="4"/>
        <v>2.7032390809619892E-2</v>
      </c>
      <c r="Z30" t="s">
        <v>379</v>
      </c>
      <c r="AA30">
        <v>0.45</v>
      </c>
    </row>
    <row r="31" spans="1:27">
      <c r="A31" s="65">
        <v>44634</v>
      </c>
      <c r="B31" s="11">
        <v>24.21386</v>
      </c>
      <c r="C31" s="11">
        <v>404.19958500000001</v>
      </c>
      <c r="D31">
        <v>39.634219999999999</v>
      </c>
      <c r="F31" s="11">
        <f t="shared" si="0"/>
        <v>-1.3269390668524294E-2</v>
      </c>
      <c r="G31" s="11">
        <f t="shared" si="1"/>
        <v>-7.3083229885274777E-3</v>
      </c>
      <c r="H31" s="11">
        <f t="shared" si="2"/>
        <v>-9.215564013671065E-3</v>
      </c>
      <c r="M31" s="64">
        <v>44788</v>
      </c>
      <c r="N31">
        <v>32.115181</v>
      </c>
      <c r="O31">
        <v>412.22607399999998</v>
      </c>
      <c r="P31">
        <v>47.693069000000001</v>
      </c>
      <c r="R31" s="11">
        <f t="shared" si="3"/>
        <v>-2.1757495430629544E-2</v>
      </c>
      <c r="S31" s="11">
        <f t="shared" si="3"/>
        <v>-1.161311344834455E-2</v>
      </c>
      <c r="T31" s="11">
        <f t="shared" si="4"/>
        <v>4.0345317655009752E-3</v>
      </c>
      <c r="Z31" t="s">
        <v>380</v>
      </c>
      <c r="AA31">
        <v>0.55000000000000004</v>
      </c>
    </row>
    <row r="32" spans="1:27">
      <c r="A32" s="65">
        <v>44635</v>
      </c>
      <c r="B32" s="11">
        <v>24.403804999999998</v>
      </c>
      <c r="C32" s="11">
        <v>413.08813500000002</v>
      </c>
      <c r="D32">
        <v>40.038829999999997</v>
      </c>
      <c r="F32" s="11">
        <f t="shared" si="0"/>
        <v>7.8444741978353737E-3</v>
      </c>
      <c r="G32" s="11">
        <f t="shared" si="1"/>
        <v>2.1990497590441634E-2</v>
      </c>
      <c r="H32" s="11">
        <f t="shared" si="2"/>
        <v>1.020860256616626E-2</v>
      </c>
      <c r="M32" s="64">
        <v>44795</v>
      </c>
      <c r="N32">
        <v>31.206087</v>
      </c>
      <c r="O32">
        <v>395.79126000000002</v>
      </c>
      <c r="P32">
        <v>45.922600000000003</v>
      </c>
      <c r="R32" s="11">
        <f t="shared" si="3"/>
        <v>-2.8307298034533874E-2</v>
      </c>
      <c r="S32" s="11">
        <f t="shared" si="3"/>
        <v>-3.986844849605501E-2</v>
      </c>
      <c r="T32" s="11">
        <f t="shared" si="4"/>
        <v>-3.7122144519573658E-2</v>
      </c>
    </row>
    <row r="33" spans="1:20">
      <c r="A33" s="65">
        <v>44636</v>
      </c>
      <c r="B33" s="11">
        <v>24.684208000000002</v>
      </c>
      <c r="C33" s="11">
        <v>422.24801600000001</v>
      </c>
      <c r="D33">
        <v>40.173706000000003</v>
      </c>
      <c r="F33" s="11">
        <f t="shared" si="0"/>
        <v>1.1490134427807603E-2</v>
      </c>
      <c r="G33" s="11">
        <f t="shared" si="1"/>
        <v>2.2174156611881345E-2</v>
      </c>
      <c r="H33" s="11">
        <f t="shared" si="2"/>
        <v>3.3686299025222654E-3</v>
      </c>
      <c r="M33" s="64">
        <v>44802</v>
      </c>
      <c r="N33">
        <v>30.306266999999998</v>
      </c>
      <c r="O33">
        <v>383.02822900000001</v>
      </c>
      <c r="P33">
        <v>43.923985000000002</v>
      </c>
      <c r="R33" s="11">
        <f t="shared" si="3"/>
        <v>-2.8834759064794054E-2</v>
      </c>
      <c r="S33" s="11">
        <f t="shared" si="3"/>
        <v>-3.2246874274080767E-2</v>
      </c>
      <c r="T33" s="11">
        <f t="shared" si="4"/>
        <v>-4.3521381629088959E-2</v>
      </c>
    </row>
    <row r="34" spans="1:20">
      <c r="A34" s="65">
        <v>44637</v>
      </c>
      <c r="B34" s="11">
        <v>25.154551999999999</v>
      </c>
      <c r="C34" s="11">
        <v>427.53076199999998</v>
      </c>
      <c r="D34">
        <v>40.677227000000002</v>
      </c>
      <c r="F34" s="11">
        <f t="shared" si="0"/>
        <v>1.9054449711329493E-2</v>
      </c>
      <c r="G34" s="11">
        <f t="shared" si="1"/>
        <v>1.2511002538375395E-2</v>
      </c>
      <c r="H34" s="11">
        <f t="shared" si="2"/>
        <v>1.2533595979419951E-2</v>
      </c>
      <c r="M34" s="64">
        <v>44809</v>
      </c>
      <c r="N34">
        <v>31.280297999999998</v>
      </c>
      <c r="O34">
        <v>397.05102499999998</v>
      </c>
      <c r="P34">
        <v>45.612319999999997</v>
      </c>
      <c r="R34" s="11">
        <f t="shared" si="3"/>
        <v>3.213959013823775E-2</v>
      </c>
      <c r="S34" s="11">
        <f t="shared" si="3"/>
        <v>3.6610346022303154E-2</v>
      </c>
      <c r="T34" s="11">
        <f t="shared" si="4"/>
        <v>3.8437655417649264E-2</v>
      </c>
    </row>
    <row r="35" spans="1:20">
      <c r="A35" s="65">
        <v>44638</v>
      </c>
      <c r="B35" s="11">
        <v>24.910336000000001</v>
      </c>
      <c r="C35" s="11">
        <v>432.21340900000001</v>
      </c>
      <c r="D35">
        <v>40.479407999999999</v>
      </c>
      <c r="F35" s="11">
        <f t="shared" si="0"/>
        <v>-9.7086205311864831E-3</v>
      </c>
      <c r="G35" s="11">
        <f t="shared" si="1"/>
        <v>1.0952772095496678E-2</v>
      </c>
      <c r="H35" s="11">
        <f t="shared" si="2"/>
        <v>-4.8631387778720172E-3</v>
      </c>
      <c r="M35" s="64">
        <v>44816</v>
      </c>
      <c r="N35">
        <v>31.002001</v>
      </c>
      <c r="O35">
        <v>376.50512700000002</v>
      </c>
      <c r="P35">
        <v>44.435051000000001</v>
      </c>
      <c r="R35" s="11">
        <f t="shared" si="3"/>
        <v>-8.8968781563397662E-3</v>
      </c>
      <c r="S35" s="11">
        <f t="shared" si="3"/>
        <v>-5.1746240927094865E-2</v>
      </c>
      <c r="T35" s="11">
        <f t="shared" si="4"/>
        <v>-2.5810329314535974E-2</v>
      </c>
    </row>
    <row r="36" spans="1:20">
      <c r="A36" s="65">
        <v>44641</v>
      </c>
      <c r="B36" s="11">
        <v>24.304311999999999</v>
      </c>
      <c r="C36" s="11">
        <v>432.08700599999997</v>
      </c>
      <c r="D36">
        <v>39.616233999999999</v>
      </c>
      <c r="F36" s="11">
        <f t="shared" ref="F36:F67" si="5">(B36-B35)/B35</f>
        <v>-2.4328214601360712E-2</v>
      </c>
      <c r="G36" s="11">
        <f t="shared" ref="G36:G67" si="6">(C36-C35)/C35</f>
        <v>-2.9245506355874974E-4</v>
      </c>
      <c r="H36" s="11">
        <f t="shared" si="2"/>
        <v>-2.1323780229197047E-2</v>
      </c>
      <c r="M36" s="64">
        <v>44823</v>
      </c>
      <c r="N36">
        <v>28.645779000000001</v>
      </c>
      <c r="O36">
        <v>360.78463699999998</v>
      </c>
      <c r="P36">
        <v>42.310600000000001</v>
      </c>
      <c r="R36" s="11">
        <f t="shared" si="3"/>
        <v>-7.6002255467316412E-2</v>
      </c>
      <c r="S36" s="11">
        <f t="shared" si="3"/>
        <v>-4.1753720926089914E-2</v>
      </c>
      <c r="T36" s="11">
        <f t="shared" si="4"/>
        <v>-4.7810252316352705E-2</v>
      </c>
    </row>
    <row r="37" spans="1:20">
      <c r="A37" s="65">
        <v>44642</v>
      </c>
      <c r="B37" s="11">
        <v>24.973649999999999</v>
      </c>
      <c r="C37" s="11">
        <v>437.143036</v>
      </c>
      <c r="D37">
        <v>40.488402999999998</v>
      </c>
      <c r="F37" s="11">
        <f t="shared" si="5"/>
        <v>2.753988674931427E-2</v>
      </c>
      <c r="G37" s="11">
        <f t="shared" si="6"/>
        <v>1.1701416450371158E-2</v>
      </c>
      <c r="H37" s="11">
        <f t="shared" si="2"/>
        <v>2.2015444476625404E-2</v>
      </c>
      <c r="M37" s="64">
        <v>44830</v>
      </c>
      <c r="N37">
        <v>28.021666</v>
      </c>
      <c r="O37">
        <v>350.22436499999998</v>
      </c>
      <c r="P37">
        <v>40.967849999999999</v>
      </c>
      <c r="R37" s="11">
        <f t="shared" si="3"/>
        <v>-2.1787258779033421E-2</v>
      </c>
      <c r="S37" s="11">
        <f t="shared" si="3"/>
        <v>-2.927029290329787E-2</v>
      </c>
      <c r="T37" s="11">
        <f t="shared" si="4"/>
        <v>-3.1735546175190199E-2</v>
      </c>
    </row>
    <row r="38" spans="1:20">
      <c r="A38" s="65">
        <v>44643</v>
      </c>
      <c r="B38" s="11">
        <v>24.882003999999998</v>
      </c>
      <c r="C38" s="11">
        <v>431.513306</v>
      </c>
      <c r="D38">
        <v>39.841025999999999</v>
      </c>
      <c r="F38" s="11">
        <f t="shared" si="5"/>
        <v>-3.669707872097222E-3</v>
      </c>
      <c r="G38" s="11">
        <f t="shared" si="6"/>
        <v>-1.287846205103447E-2</v>
      </c>
      <c r="H38" s="11">
        <f t="shared" si="2"/>
        <v>-1.5989195721056195E-2</v>
      </c>
      <c r="M38" s="64">
        <v>44837</v>
      </c>
      <c r="N38">
        <v>28.763279000000001</v>
      </c>
      <c r="O38">
        <v>355.72515900000002</v>
      </c>
      <c r="P38">
        <v>42.921782999999998</v>
      </c>
      <c r="R38" s="11">
        <f t="shared" si="3"/>
        <v>2.6465699791011748E-2</v>
      </c>
      <c r="S38" s="11">
        <f t="shared" si="3"/>
        <v>1.5706485755210213E-2</v>
      </c>
      <c r="T38" s="11">
        <f t="shared" si="4"/>
        <v>4.7694301751251271E-2</v>
      </c>
    </row>
    <row r="39" spans="1:20">
      <c r="A39" s="65">
        <v>44644</v>
      </c>
      <c r="B39" s="11">
        <v>24.872838999999999</v>
      </c>
      <c r="C39" s="11">
        <v>438.01809700000001</v>
      </c>
      <c r="D39">
        <v>39.975887</v>
      </c>
      <c r="F39" s="11">
        <f t="shared" si="5"/>
        <v>-3.6833849878005904E-4</v>
      </c>
      <c r="G39" s="11">
        <f t="shared" si="6"/>
        <v>1.5074369456407936E-2</v>
      </c>
      <c r="H39" s="11">
        <f t="shared" si="2"/>
        <v>3.384978087662722E-3</v>
      </c>
      <c r="M39" s="64">
        <v>44844</v>
      </c>
      <c r="N39">
        <v>27.833915999999999</v>
      </c>
      <c r="O39">
        <v>350.66561899999999</v>
      </c>
      <c r="P39">
        <v>42.329121000000001</v>
      </c>
      <c r="R39" s="11">
        <f t="shared" si="3"/>
        <v>-3.2310745934078032E-2</v>
      </c>
      <c r="S39" s="11">
        <f t="shared" si="3"/>
        <v>-1.4223171659331598E-2</v>
      </c>
      <c r="T39" s="11">
        <f t="shared" si="4"/>
        <v>-1.3807953877405259E-2</v>
      </c>
    </row>
    <row r="40" spans="1:20">
      <c r="A40" s="65">
        <v>44645</v>
      </c>
      <c r="B40" s="11">
        <v>25.037804000000001</v>
      </c>
      <c r="C40" s="11">
        <v>440.157196</v>
      </c>
      <c r="D40">
        <v>40.524368000000003</v>
      </c>
      <c r="F40" s="11">
        <f t="shared" si="5"/>
        <v>6.6323349739047582E-3</v>
      </c>
      <c r="G40" s="11">
        <f t="shared" si="6"/>
        <v>4.8835858943973888E-3</v>
      </c>
      <c r="H40" s="11">
        <f t="shared" si="2"/>
        <v>1.3720295937398524E-2</v>
      </c>
      <c r="M40" s="64">
        <v>44851</v>
      </c>
      <c r="N40">
        <v>28.209413999999999</v>
      </c>
      <c r="O40">
        <v>367.00122099999999</v>
      </c>
      <c r="P40">
        <v>42.977347999999999</v>
      </c>
      <c r="R40" s="11">
        <f t="shared" si="3"/>
        <v>1.3490663692453492E-2</v>
      </c>
      <c r="S40" s="11">
        <f t="shared" si="3"/>
        <v>4.6584555527811794E-2</v>
      </c>
      <c r="T40" s="11">
        <f t="shared" si="4"/>
        <v>1.5313972619464471E-2</v>
      </c>
    </row>
    <row r="41" spans="1:20">
      <c r="A41" s="65">
        <v>44648</v>
      </c>
      <c r="B41" s="11">
        <v>25.532693999999999</v>
      </c>
      <c r="C41" s="11">
        <v>443.28805499999999</v>
      </c>
      <c r="D41">
        <v>40.686211</v>
      </c>
      <c r="F41" s="11">
        <f t="shared" si="5"/>
        <v>1.9765711082329666E-2</v>
      </c>
      <c r="G41" s="11">
        <f t="shared" si="6"/>
        <v>7.1130474031827181E-3</v>
      </c>
      <c r="H41" s="11">
        <f t="shared" si="2"/>
        <v>3.9937205189726219E-3</v>
      </c>
      <c r="M41" s="64">
        <v>44858</v>
      </c>
      <c r="N41">
        <v>30.162013999999999</v>
      </c>
      <c r="O41">
        <v>381.44433600000002</v>
      </c>
      <c r="P41">
        <v>46.255519999999997</v>
      </c>
      <c r="R41" s="11">
        <f t="shared" si="3"/>
        <v>6.9218027712309102E-2</v>
      </c>
      <c r="S41" s="11">
        <f t="shared" si="3"/>
        <v>3.9354405853598062E-2</v>
      </c>
      <c r="T41" s="11">
        <f t="shared" si="4"/>
        <v>7.6276740016624517E-2</v>
      </c>
    </row>
    <row r="42" spans="1:20">
      <c r="A42" s="65">
        <v>44649</v>
      </c>
      <c r="B42" s="11">
        <v>26.476652000000001</v>
      </c>
      <c r="C42" s="11">
        <v>448.77185100000003</v>
      </c>
      <c r="D42">
        <v>42.259712</v>
      </c>
      <c r="F42" s="11">
        <f t="shared" si="5"/>
        <v>3.6970560176689621E-2</v>
      </c>
      <c r="G42" s="11">
        <f t="shared" si="6"/>
        <v>1.2370728103648181E-2</v>
      </c>
      <c r="H42" s="11">
        <f t="shared" si="2"/>
        <v>3.8674060850738851E-2</v>
      </c>
      <c r="M42" s="64">
        <v>44865</v>
      </c>
      <c r="N42">
        <v>29.50489</v>
      </c>
      <c r="O42">
        <v>369.02108800000002</v>
      </c>
      <c r="P42">
        <v>46.292557000000002</v>
      </c>
      <c r="R42" s="11">
        <f t="shared" si="3"/>
        <v>-2.1786476194858857E-2</v>
      </c>
      <c r="S42" s="11">
        <f t="shared" si="3"/>
        <v>-3.2568967022228903E-2</v>
      </c>
      <c r="T42" s="11">
        <f t="shared" si="4"/>
        <v>8.0070443484377856E-4</v>
      </c>
    </row>
    <row r="43" spans="1:20">
      <c r="A43" s="65">
        <v>44650</v>
      </c>
      <c r="B43" s="11">
        <v>26.522473999999999</v>
      </c>
      <c r="C43" s="11">
        <v>446.00082400000002</v>
      </c>
      <c r="D43">
        <v>42.556435</v>
      </c>
      <c r="F43" s="11">
        <f t="shared" si="5"/>
        <v>1.7306568821464884E-3</v>
      </c>
      <c r="G43" s="11">
        <f t="shared" si="6"/>
        <v>-6.1746898648507333E-3</v>
      </c>
      <c r="H43" s="11">
        <f t="shared" si="2"/>
        <v>7.0214155742471711E-3</v>
      </c>
      <c r="M43" s="64">
        <v>44872</v>
      </c>
      <c r="N43">
        <v>30.162013999999999</v>
      </c>
      <c r="O43">
        <v>390.74954200000002</v>
      </c>
      <c r="P43">
        <v>46.764834999999998</v>
      </c>
      <c r="R43" s="11">
        <f t="shared" si="3"/>
        <v>2.2271698013447926E-2</v>
      </c>
      <c r="S43" s="11">
        <f t="shared" si="3"/>
        <v>5.8881334174593292E-2</v>
      </c>
      <c r="T43" s="11">
        <f t="shared" si="4"/>
        <v>1.0202028805624104E-2</v>
      </c>
    </row>
    <row r="44" spans="1:20">
      <c r="A44" s="65">
        <v>44651</v>
      </c>
      <c r="B44" s="11">
        <v>26.082573</v>
      </c>
      <c r="C44" s="11">
        <v>439.13626099999999</v>
      </c>
      <c r="D44">
        <v>42.196773999999998</v>
      </c>
      <c r="F44" s="11">
        <f t="shared" si="5"/>
        <v>-1.6585971580177588E-2</v>
      </c>
      <c r="G44" s="11">
        <f t="shared" si="6"/>
        <v>-1.5391368424915806E-2</v>
      </c>
      <c r="H44" s="11">
        <f t="shared" si="2"/>
        <v>-8.451389313978078E-3</v>
      </c>
      <c r="M44" s="64">
        <v>44879</v>
      </c>
      <c r="N44">
        <v>30.3216</v>
      </c>
      <c r="O44">
        <v>388.31784099999999</v>
      </c>
      <c r="P44">
        <v>46.431460999999999</v>
      </c>
      <c r="R44" s="11">
        <f t="shared" si="3"/>
        <v>5.2909596819363889E-3</v>
      </c>
      <c r="S44" s="11">
        <f t="shared" si="3"/>
        <v>-6.2231704420015214E-3</v>
      </c>
      <c r="T44" s="11">
        <f t="shared" si="4"/>
        <v>-7.1287325187825252E-3</v>
      </c>
    </row>
    <row r="45" spans="1:20">
      <c r="A45" s="65">
        <v>44652</v>
      </c>
      <c r="B45" s="11">
        <v>26.504147</v>
      </c>
      <c r="C45" s="11">
        <v>440.38085899999999</v>
      </c>
      <c r="D45">
        <v>42.367610999999997</v>
      </c>
      <c r="F45" s="11">
        <f t="shared" si="5"/>
        <v>1.6163052625214534E-2</v>
      </c>
      <c r="G45" s="11">
        <f t="shared" si="6"/>
        <v>2.8341954662678068E-3</v>
      </c>
      <c r="H45" s="11">
        <f t="shared" si="2"/>
        <v>4.0485796378651791E-3</v>
      </c>
      <c r="M45" s="64">
        <v>44886</v>
      </c>
      <c r="N45">
        <v>31.316676999999999</v>
      </c>
      <c r="O45">
        <v>394.49511699999999</v>
      </c>
      <c r="P45">
        <v>47.477885999999998</v>
      </c>
      <c r="R45" s="11">
        <f t="shared" si="3"/>
        <v>3.2817430478602659E-2</v>
      </c>
      <c r="S45" s="11">
        <f t="shared" si="3"/>
        <v>1.5907783129645095E-2</v>
      </c>
      <c r="T45" s="11">
        <f t="shared" si="4"/>
        <v>2.2536981982970539E-2</v>
      </c>
    </row>
    <row r="46" spans="1:20">
      <c r="A46" s="65">
        <v>44655</v>
      </c>
      <c r="B46" s="11">
        <v>26.064245</v>
      </c>
      <c r="C46" s="11">
        <v>444.153412</v>
      </c>
      <c r="D46">
        <v>42.259712</v>
      </c>
      <c r="F46" s="11">
        <f t="shared" si="5"/>
        <v>-1.6597478122951856E-2</v>
      </c>
      <c r="G46" s="11">
        <f t="shared" si="6"/>
        <v>8.5665689661593956E-3</v>
      </c>
      <c r="H46" s="11">
        <f t="shared" si="2"/>
        <v>-2.5467331636895032E-3</v>
      </c>
      <c r="M46" s="64">
        <v>44893</v>
      </c>
      <c r="N46">
        <v>31.945637000000001</v>
      </c>
      <c r="O46">
        <v>398.98596199999997</v>
      </c>
      <c r="P46">
        <v>49.172527000000002</v>
      </c>
      <c r="R46" s="11">
        <f t="shared" si="3"/>
        <v>2.0083867774349205E-2</v>
      </c>
      <c r="S46" s="11">
        <f t="shared" si="3"/>
        <v>1.1383778420760476E-2</v>
      </c>
      <c r="T46" s="11">
        <f t="shared" si="4"/>
        <v>3.5693269915177024E-2</v>
      </c>
    </row>
    <row r="47" spans="1:20">
      <c r="A47" s="65">
        <v>44656</v>
      </c>
      <c r="B47" s="11">
        <v>25.91761</v>
      </c>
      <c r="C47" s="11">
        <v>438.54315200000002</v>
      </c>
      <c r="D47">
        <v>41.810142999999997</v>
      </c>
      <c r="F47" s="11">
        <f t="shared" si="5"/>
        <v>-5.6259062942356419E-3</v>
      </c>
      <c r="G47" s="11">
        <f t="shared" si="6"/>
        <v>-1.2631356302628117E-2</v>
      </c>
      <c r="H47" s="11">
        <f t="shared" si="2"/>
        <v>-1.0638240979967016E-2</v>
      </c>
      <c r="M47" s="64">
        <v>44900</v>
      </c>
      <c r="N47">
        <v>31.851765</v>
      </c>
      <c r="O47">
        <v>385.62136800000002</v>
      </c>
      <c r="P47">
        <v>48.246493999999998</v>
      </c>
      <c r="R47" s="11">
        <f t="shared" si="3"/>
        <v>-2.9384920388346321E-3</v>
      </c>
      <c r="S47" s="11">
        <f t="shared" si="3"/>
        <v>-3.3496401560112923E-2</v>
      </c>
      <c r="T47" s="11">
        <f t="shared" si="4"/>
        <v>-1.8832324806085394E-2</v>
      </c>
    </row>
    <row r="48" spans="1:20">
      <c r="A48" s="65">
        <v>44657</v>
      </c>
      <c r="B48" s="11">
        <v>26.201713999999999</v>
      </c>
      <c r="C48" s="11">
        <v>434.15798999999998</v>
      </c>
      <c r="D48">
        <v>41.783172999999998</v>
      </c>
      <c r="F48" s="11">
        <f t="shared" si="5"/>
        <v>1.0961813222746976E-2</v>
      </c>
      <c r="G48" s="11">
        <f t="shared" si="6"/>
        <v>-9.9993854196588541E-3</v>
      </c>
      <c r="H48" s="11">
        <f t="shared" si="2"/>
        <v>-6.4505878394146145E-4</v>
      </c>
      <c r="M48" s="64">
        <v>44907</v>
      </c>
      <c r="N48">
        <v>31.297899000000001</v>
      </c>
      <c r="O48">
        <v>375.80633499999999</v>
      </c>
      <c r="P48">
        <v>49.116776000000002</v>
      </c>
      <c r="R48" s="11">
        <f t="shared" si="3"/>
        <v>-1.7388863694052726E-2</v>
      </c>
      <c r="S48" s="11">
        <f t="shared" si="3"/>
        <v>-2.5452513305746136E-2</v>
      </c>
      <c r="T48" s="11">
        <f t="shared" si="4"/>
        <v>1.8038243359196279E-2</v>
      </c>
    </row>
    <row r="49" spans="1:20">
      <c r="A49" s="65">
        <v>44658</v>
      </c>
      <c r="B49" s="11">
        <v>25.477706999999999</v>
      </c>
      <c r="C49" s="11">
        <v>436.34570300000001</v>
      </c>
      <c r="D49">
        <v>41.450488999999997</v>
      </c>
      <c r="F49" s="11">
        <f t="shared" si="5"/>
        <v>-2.7632047277517811E-2</v>
      </c>
      <c r="G49" s="11">
        <f t="shared" si="6"/>
        <v>5.0389790131468749E-3</v>
      </c>
      <c r="H49" s="11">
        <f t="shared" si="2"/>
        <v>-7.9621526110523113E-3</v>
      </c>
      <c r="M49" s="64">
        <v>44914</v>
      </c>
      <c r="N49">
        <v>30.668935999999999</v>
      </c>
      <c r="O49">
        <v>377.17739899999998</v>
      </c>
      <c r="P49">
        <v>49.248199</v>
      </c>
      <c r="R49" s="11">
        <f t="shared" si="3"/>
        <v>-2.0096013473620142E-2</v>
      </c>
      <c r="S49" s="11">
        <f t="shared" si="3"/>
        <v>3.6483259389440306E-3</v>
      </c>
      <c r="T49" s="11">
        <f t="shared" si="4"/>
        <v>2.6757252959762274E-3</v>
      </c>
    </row>
    <row r="50" spans="1:20">
      <c r="A50" s="65">
        <v>44659</v>
      </c>
      <c r="B50" s="11">
        <v>25.880951</v>
      </c>
      <c r="C50" s="11">
        <v>435.17898600000001</v>
      </c>
      <c r="D50">
        <v>41.648296000000002</v>
      </c>
      <c r="F50" s="11">
        <f t="shared" si="5"/>
        <v>1.5827327003956865E-2</v>
      </c>
      <c r="G50" s="11">
        <f t="shared" si="6"/>
        <v>-2.6738363457655167E-3</v>
      </c>
      <c r="H50" s="11">
        <f t="shared" si="2"/>
        <v>4.7721270550030066E-3</v>
      </c>
      <c r="M50" s="64">
        <v>44921</v>
      </c>
      <c r="N50">
        <v>30.777899000000001</v>
      </c>
      <c r="O50">
        <v>376.70461999999998</v>
      </c>
      <c r="P50">
        <v>48.900852</v>
      </c>
      <c r="R50" s="11">
        <f t="shared" si="3"/>
        <v>3.5528783913469581E-3</v>
      </c>
      <c r="S50" s="11">
        <f t="shared" si="3"/>
        <v>-1.2534658790623952E-3</v>
      </c>
      <c r="T50" s="11">
        <f t="shared" si="4"/>
        <v>-7.0529888818878271E-3</v>
      </c>
    </row>
    <row r="51" spans="1:20">
      <c r="A51" s="65">
        <v>44662</v>
      </c>
      <c r="B51" s="11">
        <v>25.798469999999998</v>
      </c>
      <c r="C51" s="11">
        <v>427.74075299999998</v>
      </c>
      <c r="D51">
        <v>41.603344</v>
      </c>
      <c r="F51" s="11">
        <f t="shared" si="5"/>
        <v>-3.186938532513792E-3</v>
      </c>
      <c r="G51" s="11">
        <f t="shared" si="6"/>
        <v>-1.7092353351822978E-2</v>
      </c>
      <c r="H51" s="11">
        <f t="shared" si="2"/>
        <v>-1.0793238695768514E-3</v>
      </c>
      <c r="M51" s="64">
        <v>44928</v>
      </c>
      <c r="N51">
        <v>30.207937000000001</v>
      </c>
      <c r="O51">
        <v>382.26998900000001</v>
      </c>
      <c r="P51">
        <v>47.464526999999997</v>
      </c>
      <c r="R51" s="11">
        <f t="shared" si="3"/>
        <v>-1.8518548000953549E-2</v>
      </c>
      <c r="S51" s="11">
        <f t="shared" si="3"/>
        <v>1.4773827302675589E-2</v>
      </c>
      <c r="T51" s="11">
        <f t="shared" si="4"/>
        <v>-2.9372187625688068E-2</v>
      </c>
    </row>
    <row r="52" spans="1:20">
      <c r="A52" s="65">
        <v>44663</v>
      </c>
      <c r="B52" s="11">
        <v>25.899280999999998</v>
      </c>
      <c r="C52" s="11">
        <v>426.15588400000001</v>
      </c>
      <c r="D52">
        <v>41.549393000000002</v>
      </c>
      <c r="F52" s="11">
        <f t="shared" si="5"/>
        <v>3.9076348326082984E-3</v>
      </c>
      <c r="G52" s="11">
        <f t="shared" si="6"/>
        <v>-3.7052092625833324E-3</v>
      </c>
      <c r="H52" s="11">
        <f t="shared" si="2"/>
        <v>-1.2967947961105689E-3</v>
      </c>
      <c r="M52" s="64">
        <v>44935</v>
      </c>
      <c r="N52">
        <v>31.490351</v>
      </c>
      <c r="O52">
        <v>392.53402699999998</v>
      </c>
      <c r="P52">
        <v>49.830241999999998</v>
      </c>
      <c r="R52" s="11">
        <f t="shared" si="3"/>
        <v>4.2452882499059742E-2</v>
      </c>
      <c r="S52" s="11">
        <f t="shared" si="3"/>
        <v>2.6850232284386759E-2</v>
      </c>
      <c r="T52" s="11">
        <f t="shared" si="4"/>
        <v>4.9841748133295456E-2</v>
      </c>
    </row>
    <row r="53" spans="1:20">
      <c r="A53" s="65">
        <v>44664</v>
      </c>
      <c r="B53" s="11">
        <v>26.421665000000001</v>
      </c>
      <c r="C53" s="11">
        <v>431.03686499999998</v>
      </c>
      <c r="D53">
        <v>41.873085000000003</v>
      </c>
      <c r="F53" s="11">
        <f t="shared" si="5"/>
        <v>2.0169826336105718E-2</v>
      </c>
      <c r="G53" s="11">
        <f t="shared" si="6"/>
        <v>1.1453510753356072E-2</v>
      </c>
      <c r="H53" s="11">
        <f t="shared" si="2"/>
        <v>7.7905349904871342E-3</v>
      </c>
      <c r="M53" s="64">
        <v>44942</v>
      </c>
      <c r="N53">
        <v>31.898823</v>
      </c>
      <c r="O53">
        <v>389.95324699999998</v>
      </c>
      <c r="P53">
        <v>49.00412</v>
      </c>
      <c r="R53" s="11">
        <f t="shared" si="3"/>
        <v>1.2971338426808889E-2</v>
      </c>
      <c r="S53" s="11">
        <f t="shared" si="3"/>
        <v>-6.5746656913389179E-3</v>
      </c>
      <c r="T53" s="11">
        <f t="shared" si="4"/>
        <v>-1.6578727432228768E-2</v>
      </c>
    </row>
    <row r="54" spans="1:20">
      <c r="A54" s="65">
        <v>44665</v>
      </c>
      <c r="B54" s="11">
        <v>26.659946000000001</v>
      </c>
      <c r="C54" s="11">
        <v>425.66967799999998</v>
      </c>
      <c r="D54">
        <v>42.007953999999998</v>
      </c>
      <c r="F54" s="11">
        <f t="shared" si="5"/>
        <v>9.0183945637037112E-3</v>
      </c>
      <c r="G54" s="11">
        <f t="shared" si="6"/>
        <v>-1.2451805021364011E-2</v>
      </c>
      <c r="H54" s="11">
        <f t="shared" si="2"/>
        <v>3.2208995348681569E-3</v>
      </c>
      <c r="M54" s="64">
        <v>44949</v>
      </c>
      <c r="N54">
        <v>32.430782000000001</v>
      </c>
      <c r="O54">
        <v>399.606537</v>
      </c>
      <c r="P54">
        <v>49.708199</v>
      </c>
      <c r="R54" s="11">
        <f t="shared" si="3"/>
        <v>1.6676446024356462E-2</v>
      </c>
      <c r="S54" s="11">
        <f t="shared" si="3"/>
        <v>2.4754993256922483E-2</v>
      </c>
      <c r="T54" s="11">
        <f t="shared" si="4"/>
        <v>1.4367751119701774E-2</v>
      </c>
    </row>
    <row r="55" spans="1:20">
      <c r="A55" s="65">
        <v>44669</v>
      </c>
      <c r="B55" s="11">
        <v>27.017368000000001</v>
      </c>
      <c r="C55" s="11">
        <v>425.84472699999998</v>
      </c>
      <c r="D55">
        <v>41.621322999999997</v>
      </c>
      <c r="F55" s="11">
        <f t="shared" si="5"/>
        <v>1.3406703824531366E-2</v>
      </c>
      <c r="G55" s="11">
        <f t="shared" si="6"/>
        <v>4.1123201638995144E-4</v>
      </c>
      <c r="H55" s="11">
        <f t="shared" si="2"/>
        <v>-9.2037569837369673E-3</v>
      </c>
      <c r="M55" s="64">
        <v>44956</v>
      </c>
      <c r="N55">
        <v>32.782260999999998</v>
      </c>
      <c r="O55">
        <v>406.17663599999997</v>
      </c>
      <c r="P55">
        <v>50.524932999999997</v>
      </c>
      <c r="R55" s="11">
        <f t="shared" si="3"/>
        <v>1.0837820685298235E-2</v>
      </c>
      <c r="S55" s="11">
        <f t="shared" si="3"/>
        <v>1.6441420226316193E-2</v>
      </c>
      <c r="T55" s="11">
        <f t="shared" si="4"/>
        <v>1.6430569130054314E-2</v>
      </c>
    </row>
    <row r="56" spans="1:20">
      <c r="A56" s="65">
        <v>44670</v>
      </c>
      <c r="B56" s="11">
        <v>27.42061</v>
      </c>
      <c r="C56" s="11">
        <v>432.71896400000003</v>
      </c>
      <c r="D56">
        <v>42.09787</v>
      </c>
      <c r="F56" s="11">
        <f t="shared" si="5"/>
        <v>1.4925288059147683E-2</v>
      </c>
      <c r="G56" s="11">
        <f t="shared" si="6"/>
        <v>1.6142590395395576E-2</v>
      </c>
      <c r="H56" s="11">
        <f t="shared" si="2"/>
        <v>1.1449587991232369E-2</v>
      </c>
      <c r="M56" s="64">
        <v>44963</v>
      </c>
      <c r="N56">
        <v>32.753765000000001</v>
      </c>
      <c r="O56">
        <v>401.93121300000001</v>
      </c>
      <c r="P56">
        <v>50.393509000000002</v>
      </c>
      <c r="R56" s="11">
        <f t="shared" si="3"/>
        <v>-8.6925059866971863E-4</v>
      </c>
      <c r="S56" s="11">
        <f t="shared" si="3"/>
        <v>-1.0452159537802564E-2</v>
      </c>
      <c r="T56" s="11">
        <f t="shared" si="4"/>
        <v>-2.6011711880943129E-3</v>
      </c>
    </row>
    <row r="57" spans="1:20">
      <c r="A57" s="65">
        <v>44671</v>
      </c>
      <c r="B57" s="11">
        <v>27.649726999999999</v>
      </c>
      <c r="C57" s="11">
        <v>432.39813199999998</v>
      </c>
      <c r="D57">
        <v>43.050967999999997</v>
      </c>
      <c r="F57" s="11">
        <f t="shared" si="5"/>
        <v>8.3556492725726621E-3</v>
      </c>
      <c r="G57" s="11">
        <f t="shared" si="6"/>
        <v>-7.4143272352642398E-4</v>
      </c>
      <c r="H57" s="11">
        <f t="shared" si="2"/>
        <v>2.2640052810272756E-2</v>
      </c>
      <c r="M57" s="64">
        <v>44970</v>
      </c>
      <c r="N57">
        <v>32.193297999999999</v>
      </c>
      <c r="O57">
        <v>401.16284200000001</v>
      </c>
      <c r="P57">
        <v>49.454726999999998</v>
      </c>
      <c r="R57" s="11">
        <f t="shared" si="3"/>
        <v>-1.7111529010481779E-2</v>
      </c>
      <c r="S57" s="11">
        <f t="shared" si="3"/>
        <v>-1.9116977610793365E-3</v>
      </c>
      <c r="T57" s="11">
        <f t="shared" si="4"/>
        <v>-1.8629026210498723E-2</v>
      </c>
    </row>
    <row r="58" spans="1:20">
      <c r="A58" s="65">
        <v>44672</v>
      </c>
      <c r="B58" s="11">
        <v>27.603905000000001</v>
      </c>
      <c r="C58" s="11">
        <v>425.93221999999997</v>
      </c>
      <c r="D58">
        <v>42.700291</v>
      </c>
      <c r="F58" s="11">
        <f t="shared" si="5"/>
        <v>-1.6572315524127088E-3</v>
      </c>
      <c r="G58" s="11">
        <f t="shared" si="6"/>
        <v>-1.495360761641774E-2</v>
      </c>
      <c r="H58" s="11">
        <f t="shared" si="2"/>
        <v>-8.1456240426463229E-3</v>
      </c>
      <c r="M58" s="64">
        <v>44977</v>
      </c>
      <c r="N58">
        <v>31.623336999999999</v>
      </c>
      <c r="O58">
        <v>390.44576999999998</v>
      </c>
      <c r="P58">
        <v>49.539223</v>
      </c>
      <c r="R58" s="11">
        <f t="shared" si="3"/>
        <v>-1.7704337095255023E-2</v>
      </c>
      <c r="S58" s="11">
        <f t="shared" si="3"/>
        <v>-2.6715016641546352E-2</v>
      </c>
      <c r="T58" s="11">
        <f t="shared" si="4"/>
        <v>1.708552551508402E-3</v>
      </c>
    </row>
    <row r="59" spans="1:20">
      <c r="A59" s="65">
        <v>44673</v>
      </c>
      <c r="B59" s="11">
        <v>27.200661</v>
      </c>
      <c r="C59" s="11">
        <v>414.245026</v>
      </c>
      <c r="D59">
        <v>41.936028</v>
      </c>
      <c r="F59" s="11">
        <f t="shared" si="5"/>
        <v>-1.4608223003230912E-2</v>
      </c>
      <c r="G59" s="11">
        <f t="shared" si="6"/>
        <v>-2.7439093478300321E-2</v>
      </c>
      <c r="H59" s="11">
        <f t="shared" si="2"/>
        <v>-1.7898308936583118E-2</v>
      </c>
      <c r="M59" s="64">
        <v>44984</v>
      </c>
      <c r="N59">
        <v>32.411785000000002</v>
      </c>
      <c r="O59">
        <v>398.138824</v>
      </c>
      <c r="P59">
        <v>51.557586999999998</v>
      </c>
      <c r="R59" s="11">
        <f t="shared" si="3"/>
        <v>2.4932473128942798E-2</v>
      </c>
      <c r="S59" s="11">
        <f t="shared" si="3"/>
        <v>1.9703258662528263E-2</v>
      </c>
      <c r="T59" s="11">
        <f t="shared" si="4"/>
        <v>4.0742746409244211E-2</v>
      </c>
    </row>
    <row r="60" spans="1:20">
      <c r="A60" s="65">
        <v>44676</v>
      </c>
      <c r="B60" s="11">
        <v>27.521422999999999</v>
      </c>
      <c r="C60" s="11">
        <v>416.64660600000002</v>
      </c>
      <c r="D60">
        <v>41.810142999999997</v>
      </c>
      <c r="F60" s="11">
        <f t="shared" si="5"/>
        <v>1.1792434014746863E-2</v>
      </c>
      <c r="G60" s="11">
        <f t="shared" si="6"/>
        <v>5.7974866305335526E-3</v>
      </c>
      <c r="H60" s="11">
        <f t="shared" si="2"/>
        <v>-3.0018341269708185E-3</v>
      </c>
      <c r="M60" s="64">
        <v>44991</v>
      </c>
      <c r="N60">
        <v>30.283932</v>
      </c>
      <c r="O60">
        <v>380.13250699999998</v>
      </c>
      <c r="P60">
        <v>47.408199000000003</v>
      </c>
      <c r="R60" s="11">
        <f t="shared" si="3"/>
        <v>-6.565059591750351E-2</v>
      </c>
      <c r="S60" s="11">
        <f t="shared" si="3"/>
        <v>-4.5226227422623881E-2</v>
      </c>
      <c r="T60" s="11">
        <f t="shared" si="4"/>
        <v>-8.0480647785164866E-2</v>
      </c>
    </row>
    <row r="61" spans="1:20">
      <c r="A61" s="65">
        <v>44677</v>
      </c>
      <c r="B61" s="11">
        <v>27.090682999999999</v>
      </c>
      <c r="C61" s="11">
        <v>404.58019999999999</v>
      </c>
      <c r="D61">
        <v>40.946967999999998</v>
      </c>
      <c r="F61" s="11">
        <f t="shared" si="5"/>
        <v>-1.5651080251191957E-2</v>
      </c>
      <c r="G61" s="11">
        <f t="shared" si="6"/>
        <v>-2.896076873358721E-2</v>
      </c>
      <c r="H61" s="11">
        <f t="shared" si="2"/>
        <v>-2.0645109967693684E-2</v>
      </c>
      <c r="M61" s="64">
        <v>44998</v>
      </c>
      <c r="N61">
        <v>29.609476000000001</v>
      </c>
      <c r="O61">
        <v>384.15142800000001</v>
      </c>
      <c r="P61">
        <v>47.600757999999999</v>
      </c>
      <c r="R61" s="11">
        <f t="shared" si="3"/>
        <v>-2.2271084217201361E-2</v>
      </c>
      <c r="S61" s="11">
        <f t="shared" si="3"/>
        <v>1.0572421263620149E-2</v>
      </c>
      <c r="T61" s="11">
        <f t="shared" si="4"/>
        <v>4.0617235849857046E-3</v>
      </c>
    </row>
    <row r="62" spans="1:20">
      <c r="A62" s="65">
        <v>44678</v>
      </c>
      <c r="B62" s="11">
        <v>27.099845999999999</v>
      </c>
      <c r="C62" s="11">
        <v>405.71777300000002</v>
      </c>
      <c r="D62">
        <v>40.470421000000002</v>
      </c>
      <c r="F62" s="11">
        <f t="shared" si="5"/>
        <v>3.3823436640563552E-4</v>
      </c>
      <c r="G62" s="11">
        <f t="shared" si="6"/>
        <v>2.8117367088157843E-3</v>
      </c>
      <c r="H62" s="11">
        <f t="shared" si="2"/>
        <v>-1.1638151083616167E-2</v>
      </c>
      <c r="M62" s="64">
        <v>45005</v>
      </c>
      <c r="N62">
        <v>29.504984</v>
      </c>
      <c r="O62">
        <v>391.312927</v>
      </c>
      <c r="P62">
        <v>47.333122000000003</v>
      </c>
      <c r="R62" s="11">
        <f t="shared" si="3"/>
        <v>-3.5290053765220457E-3</v>
      </c>
      <c r="S62" s="11">
        <f t="shared" si="3"/>
        <v>1.8642385470971076E-2</v>
      </c>
      <c r="T62" s="11">
        <f t="shared" si="4"/>
        <v>-5.622515507000876E-3</v>
      </c>
    </row>
    <row r="63" spans="1:20">
      <c r="A63" s="65">
        <v>44679</v>
      </c>
      <c r="B63" s="11">
        <v>28.080463000000002</v>
      </c>
      <c r="C63" s="11">
        <v>415.96603399999998</v>
      </c>
      <c r="D63">
        <v>41.549393000000002</v>
      </c>
      <c r="F63" s="11">
        <f t="shared" si="5"/>
        <v>3.6185334780131306E-2</v>
      </c>
      <c r="G63" s="11">
        <f t="shared" si="6"/>
        <v>2.5259581122663698E-2</v>
      </c>
      <c r="H63" s="11">
        <f t="shared" si="2"/>
        <v>2.6660755518209216E-2</v>
      </c>
      <c r="M63" s="64">
        <v>45012</v>
      </c>
      <c r="N63">
        <v>31.374963999999999</v>
      </c>
      <c r="O63">
        <v>404.800049</v>
      </c>
      <c r="P63">
        <v>49.760956</v>
      </c>
      <c r="R63" s="11">
        <f t="shared" si="3"/>
        <v>6.3378444807833084E-2</v>
      </c>
      <c r="S63" s="11">
        <f t="shared" si="3"/>
        <v>3.4466333896503241E-2</v>
      </c>
      <c r="T63" s="11">
        <f t="shared" si="4"/>
        <v>5.1292496615794686E-2</v>
      </c>
    </row>
    <row r="64" spans="1:20">
      <c r="A64" s="65">
        <v>44680</v>
      </c>
      <c r="B64" s="11">
        <v>27.319800999999998</v>
      </c>
      <c r="C64" s="11">
        <v>400.59371900000002</v>
      </c>
      <c r="D64">
        <v>39.903964999999999</v>
      </c>
      <c r="F64" s="11">
        <f t="shared" si="5"/>
        <v>-2.7088655909982804E-2</v>
      </c>
      <c r="G64" s="11">
        <f t="shared" si="6"/>
        <v>-3.6955697685643149E-2</v>
      </c>
      <c r="H64" s="11">
        <f t="shared" si="2"/>
        <v>-3.9601733772620995E-2</v>
      </c>
      <c r="M64" s="64">
        <v>45019</v>
      </c>
      <c r="N64">
        <v>31.086416</v>
      </c>
      <c r="O64">
        <v>404.60226399999999</v>
      </c>
      <c r="P64">
        <v>49.044079000000004</v>
      </c>
      <c r="R64" s="11">
        <f t="shared" si="3"/>
        <v>-9.1967595564412027E-3</v>
      </c>
      <c r="S64" s="11">
        <f t="shared" si="3"/>
        <v>-4.8859924915673695E-4</v>
      </c>
      <c r="T64" s="11">
        <f t="shared" si="4"/>
        <v>-1.4406415342984903E-2</v>
      </c>
    </row>
    <row r="65" spans="1:20">
      <c r="A65" s="65">
        <v>44683</v>
      </c>
      <c r="B65" s="11">
        <v>26.623284999999999</v>
      </c>
      <c r="C65" s="11">
        <v>403.00503500000002</v>
      </c>
      <c r="D65">
        <v>39.175651999999999</v>
      </c>
      <c r="F65" s="11">
        <f t="shared" si="5"/>
        <v>-2.5494914842168839E-2</v>
      </c>
      <c r="G65" s="11">
        <f t="shared" si="6"/>
        <v>6.0193554857009609E-3</v>
      </c>
      <c r="H65" s="11">
        <f t="shared" si="2"/>
        <v>-1.8251644917992485E-2</v>
      </c>
      <c r="M65" s="64">
        <v>45026</v>
      </c>
      <c r="N65">
        <v>31.115269000000001</v>
      </c>
      <c r="O65">
        <v>407.83560199999999</v>
      </c>
      <c r="P65">
        <v>48.604388999999998</v>
      </c>
      <c r="R65" s="11">
        <f t="shared" si="3"/>
        <v>9.2815459974548281E-4</v>
      </c>
      <c r="S65" s="11">
        <f t="shared" si="3"/>
        <v>7.9913986838195342E-3</v>
      </c>
      <c r="T65" s="11">
        <f t="shared" si="4"/>
        <v>-8.9652004679302046E-3</v>
      </c>
    </row>
    <row r="66" spans="1:20">
      <c r="A66" s="65">
        <v>44684</v>
      </c>
      <c r="B66" s="11">
        <v>27.429773000000001</v>
      </c>
      <c r="C66" s="11">
        <v>404.85247800000002</v>
      </c>
      <c r="D66">
        <v>40.263618000000001</v>
      </c>
      <c r="F66" s="11">
        <f t="shared" si="5"/>
        <v>3.0292580348368042E-2</v>
      </c>
      <c r="G66" s="11">
        <f t="shared" si="6"/>
        <v>4.5841685327827186E-3</v>
      </c>
      <c r="H66" s="11">
        <f t="shared" si="2"/>
        <v>2.777148418614709E-2</v>
      </c>
      <c r="M66" s="64">
        <v>45033</v>
      </c>
      <c r="N66">
        <v>32.057868999999997</v>
      </c>
      <c r="O66">
        <v>407.578552</v>
      </c>
      <c r="P66">
        <v>49.560223000000001</v>
      </c>
      <c r="R66" s="11">
        <f t="shared" si="3"/>
        <v>3.0293808483545334E-2</v>
      </c>
      <c r="S66" s="11">
        <f t="shared" si="3"/>
        <v>-6.3027847186325936E-4</v>
      </c>
      <c r="T66" s="11">
        <f t="shared" si="4"/>
        <v>1.9665590282392047E-2</v>
      </c>
    </row>
    <row r="67" spans="1:20">
      <c r="A67" s="65">
        <v>44685</v>
      </c>
      <c r="B67" s="11">
        <v>28.08963</v>
      </c>
      <c r="C67" s="11">
        <v>417.18139600000001</v>
      </c>
      <c r="D67">
        <v>41.117801999999998</v>
      </c>
      <c r="F67" s="11">
        <f t="shared" si="5"/>
        <v>2.4056232619934507E-2</v>
      </c>
      <c r="G67" s="11">
        <f t="shared" si="6"/>
        <v>3.0452865352104841E-2</v>
      </c>
      <c r="H67" s="11">
        <f t="shared" si="2"/>
        <v>2.1214785020064429E-2</v>
      </c>
      <c r="M67" s="64">
        <v>45040</v>
      </c>
      <c r="N67">
        <v>32.644581000000002</v>
      </c>
      <c r="O67">
        <v>411.26669299999998</v>
      </c>
      <c r="P67">
        <v>49.703601999999997</v>
      </c>
      <c r="R67" s="11">
        <f t="shared" si="3"/>
        <v>1.8301653176011349E-2</v>
      </c>
      <c r="S67" s="11">
        <f t="shared" si="3"/>
        <v>9.0489084420712438E-3</v>
      </c>
      <c r="T67" s="11">
        <f t="shared" si="4"/>
        <v>2.893025723471743E-3</v>
      </c>
    </row>
    <row r="68" spans="1:20">
      <c r="A68" s="65">
        <v>44686</v>
      </c>
      <c r="B68" s="11">
        <v>27.273975</v>
      </c>
      <c r="C68" s="11">
        <v>402.35363799999999</v>
      </c>
      <c r="D68">
        <v>40.749153</v>
      </c>
      <c r="F68" s="11">
        <f t="shared" ref="F68:F99" si="7">(B68-B67)/B67</f>
        <v>-2.9037584332723486E-2</v>
      </c>
      <c r="G68" s="11">
        <f t="shared" ref="G68:G99" si="8">(C68-C67)/C67</f>
        <v>-3.554271149713497E-2</v>
      </c>
      <c r="H68" s="11">
        <f t="shared" ref="H68:H131" si="9">(D68-D67)/D67</f>
        <v>-8.9656786615198401E-3</v>
      </c>
      <c r="M68" s="64">
        <v>45047</v>
      </c>
      <c r="N68">
        <v>31.557713</v>
      </c>
      <c r="O68">
        <v>408.003693</v>
      </c>
      <c r="P68">
        <v>48.795555</v>
      </c>
      <c r="R68" s="11">
        <f t="shared" ref="R68:S106" si="10">(N68-N67)/N67</f>
        <v>-3.3293979175288008E-2</v>
      </c>
      <c r="S68" s="11">
        <f t="shared" si="10"/>
        <v>-7.9340244555130487E-3</v>
      </c>
      <c r="T68" s="11">
        <f t="shared" ref="T68:T106" si="11">(P68-P67)/P67</f>
        <v>-1.8269239319918834E-2</v>
      </c>
    </row>
    <row r="69" spans="1:20">
      <c r="A69" s="65">
        <v>44687</v>
      </c>
      <c r="B69" s="11">
        <v>26.504147</v>
      </c>
      <c r="C69" s="11">
        <v>399.95196499999997</v>
      </c>
      <c r="D69">
        <v>39.921939999999999</v>
      </c>
      <c r="F69" s="11">
        <f t="shared" si="7"/>
        <v>-2.8225735339274909E-2</v>
      </c>
      <c r="G69" s="11">
        <f t="shared" si="8"/>
        <v>-5.9690599839935252E-3</v>
      </c>
      <c r="H69" s="11">
        <f t="shared" si="9"/>
        <v>-2.0300127465226098E-2</v>
      </c>
      <c r="M69" s="64">
        <v>45054</v>
      </c>
      <c r="N69">
        <v>30.682445999999999</v>
      </c>
      <c r="O69">
        <v>406.97537199999999</v>
      </c>
      <c r="P69">
        <v>46.931671000000001</v>
      </c>
      <c r="R69" s="11">
        <f t="shared" si="10"/>
        <v>-2.773543824294241E-2</v>
      </c>
      <c r="S69" s="11">
        <f t="shared" si="10"/>
        <v>-2.5203717947719787E-3</v>
      </c>
      <c r="T69" s="11">
        <f t="shared" si="11"/>
        <v>-3.8197823551755869E-2</v>
      </c>
    </row>
    <row r="70" spans="1:20">
      <c r="A70" s="65">
        <v>44690</v>
      </c>
      <c r="B70" s="11">
        <v>24.982814999999999</v>
      </c>
      <c r="C70" s="11">
        <v>387.14660600000002</v>
      </c>
      <c r="D70">
        <v>38.240543000000002</v>
      </c>
      <c r="F70" s="11">
        <f t="shared" si="7"/>
        <v>-5.7399772194140074E-2</v>
      </c>
      <c r="G70" s="11">
        <f t="shared" si="8"/>
        <v>-3.2017242370593064E-2</v>
      </c>
      <c r="H70" s="11">
        <f t="shared" si="9"/>
        <v>-4.2117116552953013E-2</v>
      </c>
      <c r="M70" s="64">
        <v>45061</v>
      </c>
      <c r="N70">
        <v>30.393896000000002</v>
      </c>
      <c r="O70">
        <v>413.92654399999998</v>
      </c>
      <c r="P70">
        <v>46.472866000000003</v>
      </c>
      <c r="R70" s="11">
        <f t="shared" si="10"/>
        <v>-9.4044001576666092E-3</v>
      </c>
      <c r="S70" s="11">
        <f t="shared" si="10"/>
        <v>1.7080080216745855E-2</v>
      </c>
      <c r="T70" s="11">
        <f t="shared" si="11"/>
        <v>-9.7760209731291708E-3</v>
      </c>
    </row>
    <row r="71" spans="1:20">
      <c r="A71" s="65">
        <v>44691</v>
      </c>
      <c r="B71" s="11">
        <v>24.451267000000001</v>
      </c>
      <c r="C71" s="11">
        <v>388.04113799999999</v>
      </c>
      <c r="D71">
        <v>38.231560000000002</v>
      </c>
      <c r="F71" s="11">
        <f t="shared" si="7"/>
        <v>-2.1276545497374788E-2</v>
      </c>
      <c r="G71" s="11">
        <f t="shared" si="8"/>
        <v>2.3105768877642431E-3</v>
      </c>
      <c r="H71" s="11">
        <f t="shared" si="9"/>
        <v>-2.3490775222518751E-4</v>
      </c>
      <c r="M71" s="64">
        <v>45068</v>
      </c>
      <c r="N71">
        <v>29.364737000000002</v>
      </c>
      <c r="O71">
        <v>415.31082199999997</v>
      </c>
      <c r="P71">
        <v>45.000877000000003</v>
      </c>
      <c r="R71" s="11">
        <f t="shared" si="10"/>
        <v>-3.3860713348496024E-2</v>
      </c>
      <c r="S71" s="11">
        <f t="shared" si="10"/>
        <v>3.3442600385637381E-3</v>
      </c>
      <c r="T71" s="11">
        <f t="shared" si="11"/>
        <v>-3.167416014325436E-2</v>
      </c>
    </row>
    <row r="72" spans="1:20">
      <c r="A72" s="65">
        <v>44692</v>
      </c>
      <c r="B72" s="11">
        <v>25.037804000000001</v>
      </c>
      <c r="C72" s="11">
        <v>381.87664799999999</v>
      </c>
      <c r="D72">
        <v>38.240543000000002</v>
      </c>
      <c r="F72" s="11">
        <f t="shared" si="7"/>
        <v>2.3988000294626853E-2</v>
      </c>
      <c r="G72" s="11">
        <f t="shared" si="8"/>
        <v>-1.5886176480597789E-2</v>
      </c>
      <c r="H72" s="11">
        <f t="shared" si="9"/>
        <v>2.3496294684288658E-4</v>
      </c>
      <c r="M72" s="64">
        <v>45075</v>
      </c>
      <c r="N72">
        <v>30.403517000000001</v>
      </c>
      <c r="O72">
        <v>423.12228399999998</v>
      </c>
      <c r="P72">
        <v>48.030884</v>
      </c>
      <c r="R72" s="11">
        <f t="shared" si="10"/>
        <v>3.5375082705491251E-2</v>
      </c>
      <c r="S72" s="11">
        <f t="shared" si="10"/>
        <v>1.8808712863254032E-2</v>
      </c>
      <c r="T72" s="11">
        <f t="shared" si="11"/>
        <v>6.7332176659579274E-2</v>
      </c>
    </row>
    <row r="73" spans="1:20">
      <c r="A73" s="65">
        <v>44693</v>
      </c>
      <c r="B73" s="11">
        <v>25.147777999999999</v>
      </c>
      <c r="C73" s="11">
        <v>381.47799700000002</v>
      </c>
      <c r="D73">
        <v>38.869945999999999</v>
      </c>
      <c r="F73" s="11">
        <f t="shared" si="7"/>
        <v>4.3923181122432929E-3</v>
      </c>
      <c r="G73" s="11">
        <f t="shared" si="8"/>
        <v>-1.0439261004510875E-3</v>
      </c>
      <c r="H73" s="11">
        <f t="shared" si="9"/>
        <v>1.6459049757740006E-2</v>
      </c>
      <c r="M73" s="64">
        <v>45082</v>
      </c>
      <c r="N73">
        <v>31.067178999999999</v>
      </c>
      <c r="O73">
        <v>425.08004799999998</v>
      </c>
      <c r="P73">
        <v>47.591197999999999</v>
      </c>
      <c r="R73" s="11">
        <f t="shared" si="10"/>
        <v>2.1828461490162425E-2</v>
      </c>
      <c r="S73" s="11">
        <f t="shared" si="10"/>
        <v>4.6269460958005167E-3</v>
      </c>
      <c r="T73" s="11">
        <f t="shared" si="11"/>
        <v>-9.1542350126223321E-3</v>
      </c>
    </row>
    <row r="74" spans="1:20">
      <c r="A74" s="65">
        <v>44694</v>
      </c>
      <c r="B74" s="11">
        <v>26.330017000000002</v>
      </c>
      <c r="C74" s="11">
        <v>390.598297</v>
      </c>
      <c r="D74">
        <v>40.299587000000002</v>
      </c>
      <c r="F74" s="11">
        <f t="shared" si="7"/>
        <v>4.701166838676573E-2</v>
      </c>
      <c r="G74" s="11">
        <f t="shared" si="8"/>
        <v>2.3907800899982144E-2</v>
      </c>
      <c r="H74" s="11">
        <f t="shared" si="9"/>
        <v>3.6780112840908083E-2</v>
      </c>
      <c r="M74" s="64">
        <v>45089</v>
      </c>
      <c r="N74">
        <v>31.105651999999999</v>
      </c>
      <c r="O74">
        <v>434.53289799999999</v>
      </c>
      <c r="P74">
        <v>47.629435999999998</v>
      </c>
      <c r="R74" s="11">
        <f t="shared" si="10"/>
        <v>1.2383808648992482E-3</v>
      </c>
      <c r="S74" s="11">
        <f t="shared" si="10"/>
        <v>2.2237811547438268E-2</v>
      </c>
      <c r="T74" s="11">
        <f t="shared" si="11"/>
        <v>8.0346790177460495E-4</v>
      </c>
    </row>
    <row r="75" spans="1:20">
      <c r="A75" s="65">
        <v>44697</v>
      </c>
      <c r="B75" s="11">
        <v>26.595790999999998</v>
      </c>
      <c r="C75" s="11">
        <v>389.01342799999998</v>
      </c>
      <c r="D75">
        <v>40.605293000000003</v>
      </c>
      <c r="F75" s="11">
        <f t="shared" si="7"/>
        <v>1.0093954743743494E-2</v>
      </c>
      <c r="G75" s="11">
        <f t="shared" si="8"/>
        <v>-4.0575420122736126E-3</v>
      </c>
      <c r="H75" s="11">
        <f t="shared" si="9"/>
        <v>7.5858345645080849E-3</v>
      </c>
      <c r="M75" s="64">
        <v>45096</v>
      </c>
      <c r="N75">
        <v>29.460917999999999</v>
      </c>
      <c r="O75">
        <v>429.94412199999999</v>
      </c>
      <c r="P75">
        <v>45.792397000000001</v>
      </c>
      <c r="R75" s="11">
        <f t="shared" si="10"/>
        <v>-5.2875728179560412E-2</v>
      </c>
      <c r="S75" s="11">
        <f t="shared" si="10"/>
        <v>-1.056024991691192E-2</v>
      </c>
      <c r="T75" s="11">
        <f t="shared" si="11"/>
        <v>-3.8569404852914851E-2</v>
      </c>
    </row>
    <row r="76" spans="1:20">
      <c r="A76" s="65">
        <v>44698</v>
      </c>
      <c r="B76" s="11">
        <v>27.072351000000001</v>
      </c>
      <c r="C76" s="11">
        <v>397.015625</v>
      </c>
      <c r="D76">
        <v>40.767139</v>
      </c>
      <c r="F76" s="11">
        <f t="shared" si="7"/>
        <v>1.7918624792923166E-2</v>
      </c>
      <c r="G76" s="11">
        <f t="shared" si="8"/>
        <v>2.0570490435615565E-2</v>
      </c>
      <c r="H76" s="11">
        <f t="shared" si="9"/>
        <v>3.9858350486474022E-3</v>
      </c>
      <c r="M76" s="64">
        <v>45103</v>
      </c>
      <c r="N76">
        <v>30.604429</v>
      </c>
      <c r="O76">
        <v>439.93820199999999</v>
      </c>
      <c r="P76">
        <v>46.994903999999998</v>
      </c>
      <c r="R76" s="11">
        <f t="shared" si="10"/>
        <v>3.8814506730577784E-2</v>
      </c>
      <c r="S76" s="11">
        <f t="shared" si="10"/>
        <v>2.3245067181078934E-2</v>
      </c>
      <c r="T76" s="11">
        <f t="shared" si="11"/>
        <v>2.625997062350759E-2</v>
      </c>
    </row>
    <row r="77" spans="1:20">
      <c r="A77" s="65">
        <v>44699</v>
      </c>
      <c r="B77" s="11">
        <v>26.769919999999999</v>
      </c>
      <c r="C77" s="11">
        <v>381.01126099999999</v>
      </c>
      <c r="D77">
        <v>40.002868999999997</v>
      </c>
      <c r="F77" s="11">
        <f t="shared" si="7"/>
        <v>-1.1171213020989647E-2</v>
      </c>
      <c r="G77" s="11">
        <f t="shared" si="8"/>
        <v>-4.0311672871817097E-2</v>
      </c>
      <c r="H77" s="11">
        <f t="shared" si="9"/>
        <v>-1.874720715623442E-2</v>
      </c>
      <c r="M77" s="64">
        <v>45110</v>
      </c>
      <c r="N77">
        <v>30.312307000000001</v>
      </c>
      <c r="O77">
        <v>435.24386600000003</v>
      </c>
      <c r="P77">
        <v>46.500323999999999</v>
      </c>
      <c r="R77" s="11">
        <f t="shared" si="10"/>
        <v>-9.5450890457717454E-3</v>
      </c>
      <c r="S77" s="11">
        <f t="shared" si="10"/>
        <v>-1.0670444118421806E-2</v>
      </c>
      <c r="T77" s="11">
        <f t="shared" si="11"/>
        <v>-1.0524119806692213E-2</v>
      </c>
    </row>
    <row r="78" spans="1:20">
      <c r="A78" s="65">
        <v>44700</v>
      </c>
      <c r="B78" s="11">
        <v>26.843239000000001</v>
      </c>
      <c r="C78" s="11">
        <v>378.67767300000003</v>
      </c>
      <c r="D78">
        <v>39.715136999999999</v>
      </c>
      <c r="F78" s="11">
        <f t="shared" si="7"/>
        <v>2.738857643205563E-3</v>
      </c>
      <c r="G78" s="11">
        <f t="shared" si="8"/>
        <v>-6.1247218622232889E-3</v>
      </c>
      <c r="H78" s="11">
        <f t="shared" si="9"/>
        <v>-7.192784097560561E-3</v>
      </c>
      <c r="M78" s="64">
        <v>45117</v>
      </c>
      <c r="N78">
        <v>30.682327000000001</v>
      </c>
      <c r="O78">
        <v>445.89297499999998</v>
      </c>
      <c r="P78">
        <v>47.101582000000001</v>
      </c>
      <c r="R78" s="11">
        <f t="shared" si="10"/>
        <v>1.220692308242986E-2</v>
      </c>
      <c r="S78" s="11">
        <f t="shared" si="10"/>
        <v>2.4466993866835915E-2</v>
      </c>
      <c r="T78" s="11">
        <f t="shared" si="11"/>
        <v>1.293018947566906E-2</v>
      </c>
    </row>
    <row r="79" spans="1:20">
      <c r="A79" s="65">
        <v>44701</v>
      </c>
      <c r="B79" s="11">
        <v>26.531641</v>
      </c>
      <c r="C79" s="11">
        <v>378.84301799999997</v>
      </c>
      <c r="D79">
        <v>39.975887</v>
      </c>
      <c r="F79" s="11">
        <f t="shared" si="7"/>
        <v>-1.160806264847547E-2</v>
      </c>
      <c r="G79" s="11">
        <f t="shared" si="8"/>
        <v>4.3663783684427896E-4</v>
      </c>
      <c r="H79" s="11">
        <f t="shared" si="9"/>
        <v>6.5655067487240849E-3</v>
      </c>
      <c r="M79" s="64">
        <v>45124</v>
      </c>
      <c r="N79">
        <v>31.928705000000001</v>
      </c>
      <c r="O79">
        <v>448.771118</v>
      </c>
      <c r="P79">
        <v>48.226505000000003</v>
      </c>
      <c r="R79" s="11">
        <f t="shared" si="10"/>
        <v>4.0622016706881453E-2</v>
      </c>
      <c r="S79" s="11">
        <f t="shared" si="10"/>
        <v>6.45478435716558E-3</v>
      </c>
      <c r="T79" s="11">
        <f t="shared" si="11"/>
        <v>2.3882913317009237E-2</v>
      </c>
    </row>
    <row r="80" spans="1:20">
      <c r="A80" s="65">
        <v>44704</v>
      </c>
      <c r="B80" s="11">
        <v>26.733264999999999</v>
      </c>
      <c r="C80" s="11">
        <v>385.93121300000001</v>
      </c>
      <c r="D80">
        <v>40.146729000000001</v>
      </c>
      <c r="F80" s="11">
        <f t="shared" si="7"/>
        <v>7.5993791714579172E-3</v>
      </c>
      <c r="G80" s="11">
        <f t="shared" si="8"/>
        <v>1.8710111215511544E-2</v>
      </c>
      <c r="H80" s="11">
        <f t="shared" si="9"/>
        <v>4.2736262487434087E-3</v>
      </c>
      <c r="M80" s="64">
        <v>45131</v>
      </c>
      <c r="N80">
        <v>30.954972999999999</v>
      </c>
      <c r="O80">
        <v>453.47540300000003</v>
      </c>
      <c r="P80">
        <v>46.025139000000003</v>
      </c>
      <c r="R80" s="11">
        <f t="shared" si="10"/>
        <v>-3.0497071522318297E-2</v>
      </c>
      <c r="S80" s="11">
        <f t="shared" si="10"/>
        <v>1.0482593044234248E-2</v>
      </c>
      <c r="T80" s="11">
        <f t="shared" si="11"/>
        <v>-4.5646392994889429E-2</v>
      </c>
    </row>
    <row r="81" spans="1:20">
      <c r="A81" s="65">
        <v>44705</v>
      </c>
      <c r="B81" s="11">
        <v>26.540806</v>
      </c>
      <c r="C81" s="11">
        <v>382.98510700000003</v>
      </c>
      <c r="D81">
        <v>40.326557000000001</v>
      </c>
      <c r="F81" s="11">
        <f t="shared" si="7"/>
        <v>-7.1992328658695261E-3</v>
      </c>
      <c r="G81" s="11">
        <f t="shared" si="8"/>
        <v>-7.6337593352419153E-3</v>
      </c>
      <c r="H81" s="11">
        <f t="shared" si="9"/>
        <v>4.4792690333501526E-3</v>
      </c>
      <c r="M81" s="64">
        <v>45138</v>
      </c>
      <c r="N81">
        <v>30.244146000000001</v>
      </c>
      <c r="O81">
        <v>443.44158900000002</v>
      </c>
      <c r="P81">
        <v>46.180298000000001</v>
      </c>
      <c r="R81" s="11">
        <f t="shared" si="10"/>
        <v>-2.2963256986203745E-2</v>
      </c>
      <c r="S81" s="11">
        <f t="shared" si="10"/>
        <v>-2.2126479040804791E-2</v>
      </c>
      <c r="T81" s="11">
        <f t="shared" si="11"/>
        <v>3.3711793895939693E-3</v>
      </c>
    </row>
    <row r="82" spans="1:20">
      <c r="A82" s="65">
        <v>44706</v>
      </c>
      <c r="B82" s="11">
        <v>27.191496000000001</v>
      </c>
      <c r="C82" s="11">
        <v>386.36871300000001</v>
      </c>
      <c r="D82">
        <v>41.000919000000003</v>
      </c>
      <c r="F82" s="11">
        <f t="shared" si="7"/>
        <v>2.4516587778080322E-2</v>
      </c>
      <c r="G82" s="11">
        <f t="shared" si="8"/>
        <v>8.8348239609222865E-3</v>
      </c>
      <c r="H82" s="11">
        <f t="shared" si="9"/>
        <v>1.672252853126048E-2</v>
      </c>
      <c r="M82" s="64">
        <v>45145</v>
      </c>
      <c r="N82">
        <v>30.078610999999999</v>
      </c>
      <c r="O82">
        <v>442.290344</v>
      </c>
      <c r="P82">
        <v>46.345160999999997</v>
      </c>
      <c r="R82" s="11">
        <f t="shared" si="10"/>
        <v>-5.4732905997743157E-3</v>
      </c>
      <c r="S82" s="11">
        <f t="shared" si="10"/>
        <v>-2.5961592880725877E-3</v>
      </c>
      <c r="T82" s="11">
        <f t="shared" si="11"/>
        <v>3.5699856246054727E-3</v>
      </c>
    </row>
    <row r="83" spans="1:20">
      <c r="A83" s="65">
        <v>44707</v>
      </c>
      <c r="B83" s="11">
        <v>27.548914</v>
      </c>
      <c r="C83" s="11">
        <v>394.08889799999997</v>
      </c>
      <c r="D83">
        <v>41.837119999999999</v>
      </c>
      <c r="F83" s="11">
        <f t="shared" si="7"/>
        <v>1.3144477229204275E-2</v>
      </c>
      <c r="G83" s="11">
        <f t="shared" si="8"/>
        <v>1.9981392748019838E-2</v>
      </c>
      <c r="H83" s="11">
        <f t="shared" si="9"/>
        <v>2.0394689201966312E-2</v>
      </c>
      <c r="M83" s="64">
        <v>45152</v>
      </c>
      <c r="N83">
        <v>29.289888000000001</v>
      </c>
      <c r="O83">
        <v>433.20931999999999</v>
      </c>
      <c r="P83">
        <v>44.551090000000002</v>
      </c>
      <c r="R83" s="11">
        <f t="shared" si="10"/>
        <v>-2.6222055267113145E-2</v>
      </c>
      <c r="S83" s="11">
        <f t="shared" si="10"/>
        <v>-2.053181608685541E-2</v>
      </c>
      <c r="T83" s="11">
        <f t="shared" si="11"/>
        <v>-3.8711074927541958E-2</v>
      </c>
    </row>
    <row r="84" spans="1:20">
      <c r="A84" s="65">
        <v>44708</v>
      </c>
      <c r="B84" s="11">
        <v>28.291256000000001</v>
      </c>
      <c r="C84" s="11">
        <v>403.76345800000001</v>
      </c>
      <c r="D84">
        <v>42.835163000000001</v>
      </c>
      <c r="F84" s="11">
        <f t="shared" si="7"/>
        <v>2.6946325361500666E-2</v>
      </c>
      <c r="G84" s="11">
        <f t="shared" si="8"/>
        <v>2.4549181794002336E-2</v>
      </c>
      <c r="H84" s="11">
        <f t="shared" si="9"/>
        <v>2.385544224841487E-2</v>
      </c>
      <c r="M84" s="64">
        <v>45159</v>
      </c>
      <c r="N84">
        <v>29.718332</v>
      </c>
      <c r="O84">
        <v>436.65316799999999</v>
      </c>
      <c r="P84">
        <v>44.444415999999997</v>
      </c>
      <c r="R84" s="11">
        <f t="shared" si="10"/>
        <v>1.462771042347444E-2</v>
      </c>
      <c r="S84" s="11">
        <f t="shared" si="10"/>
        <v>7.9496165964296484E-3</v>
      </c>
      <c r="T84" s="11">
        <f t="shared" si="11"/>
        <v>-2.3944195304762524E-3</v>
      </c>
    </row>
    <row r="85" spans="1:20">
      <c r="A85" s="65">
        <v>44712</v>
      </c>
      <c r="B85" s="11">
        <v>28.272921</v>
      </c>
      <c r="C85" s="11">
        <v>401.49795499999999</v>
      </c>
      <c r="D85">
        <v>42.09787</v>
      </c>
      <c r="F85" s="11">
        <f t="shared" si="7"/>
        <v>-6.4808009937771709E-4</v>
      </c>
      <c r="G85" s="11">
        <f t="shared" si="8"/>
        <v>-5.6109659136117851E-3</v>
      </c>
      <c r="H85" s="11">
        <f t="shared" si="9"/>
        <v>-1.7212330906736625E-2</v>
      </c>
      <c r="M85" s="64">
        <v>45166</v>
      </c>
      <c r="N85">
        <v>30.175985000000001</v>
      </c>
      <c r="O85">
        <v>447.78857399999998</v>
      </c>
      <c r="P85">
        <v>45.986342999999998</v>
      </c>
      <c r="R85" s="11">
        <f t="shared" si="10"/>
        <v>1.5399686631133959E-2</v>
      </c>
      <c r="S85" s="11">
        <f t="shared" si="10"/>
        <v>2.5501718105020114E-2</v>
      </c>
      <c r="T85" s="11">
        <f t="shared" si="11"/>
        <v>3.4693379703763037E-2</v>
      </c>
    </row>
    <row r="86" spans="1:20">
      <c r="A86" s="65">
        <v>44713</v>
      </c>
      <c r="B86" s="11">
        <v>28.236260999999999</v>
      </c>
      <c r="C86" s="11">
        <v>398.250427</v>
      </c>
      <c r="D86">
        <v>42.160809</v>
      </c>
      <c r="F86" s="11">
        <f t="shared" si="7"/>
        <v>-1.2966470638106776E-3</v>
      </c>
      <c r="G86" s="11">
        <f t="shared" si="8"/>
        <v>-8.0885293674783192E-3</v>
      </c>
      <c r="H86" s="11">
        <f t="shared" si="9"/>
        <v>1.4950637645087526E-3</v>
      </c>
      <c r="M86" s="64">
        <v>45173</v>
      </c>
      <c r="N86">
        <v>30.370733000000001</v>
      </c>
      <c r="O86">
        <v>442.161316</v>
      </c>
      <c r="P86">
        <v>47.557369000000001</v>
      </c>
      <c r="R86" s="11">
        <f t="shared" si="10"/>
        <v>6.4537412780394932E-3</v>
      </c>
      <c r="S86" s="11">
        <f t="shared" si="10"/>
        <v>-1.2566774426003964E-2</v>
      </c>
      <c r="T86" s="11">
        <f t="shared" si="11"/>
        <v>3.4162881792970654E-2</v>
      </c>
    </row>
    <row r="87" spans="1:20">
      <c r="A87" s="65">
        <v>44714</v>
      </c>
      <c r="B87" s="11">
        <v>28.795309</v>
      </c>
      <c r="C87" s="11">
        <v>405.83450299999998</v>
      </c>
      <c r="D87">
        <v>42.817183999999997</v>
      </c>
      <c r="F87" s="11">
        <f t="shared" si="7"/>
        <v>1.9798938676760379E-2</v>
      </c>
      <c r="G87" s="11">
        <f t="shared" si="8"/>
        <v>1.9043484917594281E-2</v>
      </c>
      <c r="H87" s="11">
        <f t="shared" si="9"/>
        <v>1.556836824454666E-2</v>
      </c>
      <c r="M87" s="64">
        <v>45180</v>
      </c>
      <c r="N87">
        <v>30.55574</v>
      </c>
      <c r="O87">
        <v>440.02752700000002</v>
      </c>
      <c r="P87">
        <v>46.820343000000001</v>
      </c>
      <c r="R87" s="11">
        <f t="shared" si="10"/>
        <v>6.0916211669964897E-3</v>
      </c>
      <c r="S87" s="11">
        <f t="shared" si="10"/>
        <v>-4.8258156532173403E-3</v>
      </c>
      <c r="T87" s="11">
        <f t="shared" si="11"/>
        <v>-1.5497619306904891E-2</v>
      </c>
    </row>
    <row r="88" spans="1:20">
      <c r="A88" s="65">
        <v>44715</v>
      </c>
      <c r="B88" s="11">
        <v>28.767813</v>
      </c>
      <c r="C88" s="11">
        <v>399.17413299999998</v>
      </c>
      <c r="D88">
        <v>42.358620000000002</v>
      </c>
      <c r="F88" s="11">
        <f t="shared" si="7"/>
        <v>-9.5487775456756861E-4</v>
      </c>
      <c r="G88" s="11">
        <f t="shared" si="8"/>
        <v>-1.6411542022093672E-2</v>
      </c>
      <c r="H88" s="11">
        <f t="shared" si="9"/>
        <v>-1.0709812209976152E-2</v>
      </c>
      <c r="M88" s="64">
        <v>45187</v>
      </c>
      <c r="N88">
        <v>28.949083000000002</v>
      </c>
      <c r="O88">
        <v>428.68197600000002</v>
      </c>
      <c r="P88">
        <v>45.889125999999997</v>
      </c>
      <c r="R88" s="11">
        <f t="shared" si="10"/>
        <v>-5.258118441903218E-2</v>
      </c>
      <c r="S88" s="11">
        <f t="shared" si="10"/>
        <v>-2.5783730116502462E-2</v>
      </c>
      <c r="T88" s="11">
        <f t="shared" si="11"/>
        <v>-1.988915373815189E-2</v>
      </c>
    </row>
    <row r="89" spans="1:20">
      <c r="A89" s="65">
        <v>44718</v>
      </c>
      <c r="B89" s="11">
        <v>29.739265</v>
      </c>
      <c r="C89" s="11">
        <v>400.38952599999999</v>
      </c>
      <c r="D89">
        <v>43.239780000000003</v>
      </c>
      <c r="F89" s="11">
        <f t="shared" si="7"/>
        <v>3.3768712275764563E-2</v>
      </c>
      <c r="G89" s="11">
        <f t="shared" si="8"/>
        <v>3.0447689354660815E-3</v>
      </c>
      <c r="H89" s="11">
        <f t="shared" si="9"/>
        <v>2.0802377414561694E-2</v>
      </c>
      <c r="M89" s="64">
        <v>45194</v>
      </c>
      <c r="N89">
        <v>28.720236</v>
      </c>
      <c r="O89">
        <v>425.75384500000001</v>
      </c>
      <c r="P89">
        <v>44.84552</v>
      </c>
      <c r="R89" s="11">
        <f t="shared" si="10"/>
        <v>-7.9051554068224478E-3</v>
      </c>
      <c r="S89" s="11">
        <f t="shared" si="10"/>
        <v>-6.8305437688847628E-3</v>
      </c>
      <c r="T89" s="11">
        <f t="shared" si="11"/>
        <v>-2.2741901861456176E-2</v>
      </c>
    </row>
    <row r="90" spans="1:20">
      <c r="A90" s="65">
        <v>44719</v>
      </c>
      <c r="B90" s="11">
        <v>29.427669999999999</v>
      </c>
      <c r="C90" s="11">
        <v>404.230164</v>
      </c>
      <c r="D90">
        <v>43.554478000000003</v>
      </c>
      <c r="F90" s="11">
        <f t="shared" si="7"/>
        <v>-1.0477562239685496E-2</v>
      </c>
      <c r="G90" s="11">
        <f t="shared" si="8"/>
        <v>9.5922539192496575E-3</v>
      </c>
      <c r="H90" s="11">
        <f t="shared" si="9"/>
        <v>7.2779741247527138E-3</v>
      </c>
      <c r="M90" s="64">
        <v>45201</v>
      </c>
      <c r="N90">
        <v>28.236630999999999</v>
      </c>
      <c r="O90">
        <v>427.80551100000002</v>
      </c>
      <c r="P90">
        <v>44.815983000000003</v>
      </c>
      <c r="R90" s="11">
        <f t="shared" si="10"/>
        <v>-1.6838475839822512E-2</v>
      </c>
      <c r="S90" s="11">
        <f t="shared" si="10"/>
        <v>4.8189018703988723E-3</v>
      </c>
      <c r="T90" s="11">
        <f t="shared" si="11"/>
        <v>-6.5863881163598294E-4</v>
      </c>
    </row>
    <row r="91" spans="1:20">
      <c r="A91" s="65">
        <v>44720</v>
      </c>
      <c r="B91" s="11">
        <v>28.831963999999999</v>
      </c>
      <c r="C91" s="11">
        <v>399.83532700000001</v>
      </c>
      <c r="D91">
        <v>42.952057000000003</v>
      </c>
      <c r="F91" s="11">
        <f t="shared" si="7"/>
        <v>-2.0243056959657352E-2</v>
      </c>
      <c r="G91" s="11">
        <f t="shared" si="8"/>
        <v>-1.0872115421846637E-2</v>
      </c>
      <c r="H91" s="11">
        <f t="shared" si="9"/>
        <v>-1.3831436574673209E-2</v>
      </c>
      <c r="M91" s="64">
        <v>45208</v>
      </c>
      <c r="N91">
        <v>28.562325000000001</v>
      </c>
      <c r="O91">
        <v>429.75759900000003</v>
      </c>
      <c r="P91">
        <v>45.465775000000001</v>
      </c>
      <c r="R91" s="11">
        <f t="shared" si="10"/>
        <v>1.1534449701170162E-2</v>
      </c>
      <c r="S91" s="11">
        <f t="shared" si="10"/>
        <v>4.5630267722287553E-3</v>
      </c>
      <c r="T91" s="11">
        <f t="shared" si="11"/>
        <v>1.4499112961552084E-2</v>
      </c>
    </row>
    <row r="92" spans="1:20">
      <c r="A92" s="65">
        <v>44721</v>
      </c>
      <c r="B92" s="11">
        <v>28.117125000000001</v>
      </c>
      <c r="C92" s="11">
        <v>390.32607999999999</v>
      </c>
      <c r="D92">
        <v>42.518569999999997</v>
      </c>
      <c r="F92" s="11">
        <f t="shared" si="7"/>
        <v>-2.4793281512143876E-2</v>
      </c>
      <c r="G92" s="11">
        <f t="shared" si="8"/>
        <v>-2.3782908507231568E-2</v>
      </c>
      <c r="H92" s="11">
        <f t="shared" si="9"/>
        <v>-1.0092345519098342E-2</v>
      </c>
      <c r="M92" s="64">
        <v>45215</v>
      </c>
      <c r="N92">
        <v>27.150986</v>
      </c>
      <c r="O92">
        <v>419.48922700000003</v>
      </c>
      <c r="P92">
        <v>44.38279</v>
      </c>
      <c r="R92" s="11">
        <f t="shared" si="10"/>
        <v>-4.9412609092572175E-2</v>
      </c>
      <c r="S92" s="11">
        <f t="shared" si="10"/>
        <v>-2.3893404151301579E-2</v>
      </c>
      <c r="T92" s="11">
        <f t="shared" si="11"/>
        <v>-2.3819785322036206E-2</v>
      </c>
    </row>
    <row r="93" spans="1:20">
      <c r="A93" s="65">
        <v>44722</v>
      </c>
      <c r="B93" s="11">
        <v>27.438939999999999</v>
      </c>
      <c r="C93" s="11">
        <v>379.00830100000002</v>
      </c>
      <c r="D93">
        <v>41.998379</v>
      </c>
      <c r="F93" s="11">
        <f t="shared" si="7"/>
        <v>-2.4119998043896831E-2</v>
      </c>
      <c r="G93" s="11">
        <f t="shared" si="8"/>
        <v>-2.8995702772410117E-2</v>
      </c>
      <c r="H93" s="11">
        <f t="shared" si="9"/>
        <v>-1.2234442503593065E-2</v>
      </c>
      <c r="M93" s="64">
        <v>45222</v>
      </c>
      <c r="N93">
        <v>26.983204000000001</v>
      </c>
      <c r="O93">
        <v>409.021637</v>
      </c>
      <c r="P93">
        <v>43.900368</v>
      </c>
      <c r="R93" s="11">
        <f t="shared" si="10"/>
        <v>-6.1795914152067621E-3</v>
      </c>
      <c r="S93" s="11">
        <f t="shared" si="10"/>
        <v>-2.4953179548518011E-2</v>
      </c>
      <c r="T93" s="11">
        <f t="shared" si="11"/>
        <v>-1.0869573544159791E-2</v>
      </c>
    </row>
    <row r="94" spans="1:20">
      <c r="A94" s="65">
        <v>44725</v>
      </c>
      <c r="B94" s="11">
        <v>26.21088</v>
      </c>
      <c r="C94" s="11">
        <v>364.61807299999998</v>
      </c>
      <c r="D94">
        <v>39.634715999999997</v>
      </c>
      <c r="F94" s="11">
        <f t="shared" si="7"/>
        <v>-4.4756102094322861E-2</v>
      </c>
      <c r="G94" s="11">
        <f t="shared" si="8"/>
        <v>-3.796810772226341E-2</v>
      </c>
      <c r="H94" s="11">
        <f t="shared" si="9"/>
        <v>-5.6279862610887972E-2</v>
      </c>
      <c r="M94" s="64">
        <v>45229</v>
      </c>
      <c r="N94">
        <v>28.789321999999999</v>
      </c>
      <c r="O94">
        <v>432.93472300000002</v>
      </c>
      <c r="P94">
        <v>45.534694999999999</v>
      </c>
      <c r="R94" s="11">
        <f t="shared" si="10"/>
        <v>6.6934897723783943E-2</v>
      </c>
      <c r="S94" s="11">
        <f t="shared" si="10"/>
        <v>5.8464110053913901E-2</v>
      </c>
      <c r="T94" s="11">
        <f t="shared" si="11"/>
        <v>3.7228093395481311E-2</v>
      </c>
    </row>
    <row r="95" spans="1:20">
      <c r="A95" s="65">
        <v>44726</v>
      </c>
      <c r="B95" s="11">
        <v>25.780139999999999</v>
      </c>
      <c r="C95" s="11">
        <v>363.519318</v>
      </c>
      <c r="D95">
        <v>39.488697000000002</v>
      </c>
      <c r="F95" s="11">
        <f t="shared" si="7"/>
        <v>-1.6433633666630046E-2</v>
      </c>
      <c r="G95" s="11">
        <f t="shared" si="8"/>
        <v>-3.013440861446226E-3</v>
      </c>
      <c r="H95" s="11">
        <f t="shared" si="9"/>
        <v>-3.6841187407523107E-3</v>
      </c>
      <c r="M95" s="64">
        <v>45236</v>
      </c>
      <c r="N95">
        <v>28.088587</v>
      </c>
      <c r="O95">
        <v>438.83078</v>
      </c>
      <c r="P95">
        <v>44.550159000000001</v>
      </c>
      <c r="R95" s="11">
        <f t="shared" si="10"/>
        <v>-2.4340100819324546E-2</v>
      </c>
      <c r="S95" s="11">
        <f t="shared" si="10"/>
        <v>1.3618812922057962E-2</v>
      </c>
      <c r="T95" s="11">
        <f t="shared" si="11"/>
        <v>-2.1621666731269387E-2</v>
      </c>
    </row>
    <row r="96" spans="1:20">
      <c r="A96" s="65">
        <v>44727</v>
      </c>
      <c r="B96" s="11">
        <v>26.824909000000002</v>
      </c>
      <c r="C96" s="11">
        <v>368.701843</v>
      </c>
      <c r="D96">
        <v>40.912368999999998</v>
      </c>
      <c r="F96" s="11">
        <f t="shared" si="7"/>
        <v>4.0526118166930136E-2</v>
      </c>
      <c r="G96" s="11">
        <f t="shared" si="8"/>
        <v>1.4256532578551983E-2</v>
      </c>
      <c r="H96" s="11">
        <f t="shared" si="9"/>
        <v>3.6052645646930212E-2</v>
      </c>
      <c r="M96" s="64">
        <v>45243</v>
      </c>
      <c r="N96">
        <v>28.207021999999998</v>
      </c>
      <c r="O96">
        <v>448.969696</v>
      </c>
      <c r="P96">
        <v>44.707684</v>
      </c>
      <c r="R96" s="11">
        <f t="shared" si="10"/>
        <v>4.216481234887254E-3</v>
      </c>
      <c r="S96" s="11">
        <f t="shared" si="10"/>
        <v>2.3104386615724618E-2</v>
      </c>
      <c r="T96" s="11">
        <f t="shared" si="11"/>
        <v>3.5359020828634909E-3</v>
      </c>
    </row>
    <row r="97" spans="1:20">
      <c r="A97" s="65">
        <v>44728</v>
      </c>
      <c r="B97" s="11">
        <v>26.357514999999999</v>
      </c>
      <c r="C97" s="11">
        <v>356.49920700000001</v>
      </c>
      <c r="D97">
        <v>39.789856</v>
      </c>
      <c r="F97" s="11">
        <f t="shared" si="7"/>
        <v>-1.742388017047895E-2</v>
      </c>
      <c r="G97" s="11">
        <f t="shared" si="8"/>
        <v>-3.3096216446089163E-2</v>
      </c>
      <c r="H97" s="11">
        <f t="shared" si="9"/>
        <v>-2.7437008108721298E-2</v>
      </c>
      <c r="M97" s="64">
        <v>45250</v>
      </c>
      <c r="N97">
        <v>28.285978</v>
      </c>
      <c r="O97">
        <v>453.461456</v>
      </c>
      <c r="P97">
        <v>44.146500000000003</v>
      </c>
      <c r="R97" s="11">
        <f t="shared" si="10"/>
        <v>2.7991611450511006E-3</v>
      </c>
      <c r="S97" s="11">
        <f t="shared" si="10"/>
        <v>1.0004595054005604E-2</v>
      </c>
      <c r="T97" s="11">
        <f t="shared" si="11"/>
        <v>-1.2552294142545994E-2</v>
      </c>
    </row>
    <row r="98" spans="1:20">
      <c r="A98" s="65">
        <v>44729</v>
      </c>
      <c r="B98" s="11">
        <v>26.403337000000001</v>
      </c>
      <c r="C98" s="11">
        <v>357.26769999999999</v>
      </c>
      <c r="D98">
        <v>40.273539999999997</v>
      </c>
      <c r="F98" s="11">
        <f t="shared" si="7"/>
        <v>1.7384795190290565E-3</v>
      </c>
      <c r="G98" s="11">
        <f t="shared" si="8"/>
        <v>2.1556653841307929E-3</v>
      </c>
      <c r="H98" s="11">
        <f t="shared" si="9"/>
        <v>1.2155962564931039E-2</v>
      </c>
      <c r="M98" s="64">
        <v>45257</v>
      </c>
      <c r="N98">
        <v>30.101965</v>
      </c>
      <c r="O98">
        <v>457.24615499999999</v>
      </c>
      <c r="P98">
        <v>46.942577</v>
      </c>
      <c r="R98" s="11">
        <f t="shared" si="10"/>
        <v>6.4200962045576071E-2</v>
      </c>
      <c r="S98" s="11">
        <f t="shared" si="10"/>
        <v>8.3462418909535478E-3</v>
      </c>
      <c r="T98" s="11">
        <f t="shared" si="11"/>
        <v>6.3336323377844145E-2</v>
      </c>
    </row>
    <row r="99" spans="1:20">
      <c r="A99" s="65">
        <v>44733</v>
      </c>
      <c r="B99" s="11">
        <v>27.365625000000001</v>
      </c>
      <c r="C99" s="11">
        <v>366.261505</v>
      </c>
      <c r="D99">
        <v>41.332169</v>
      </c>
      <c r="F99" s="11">
        <f t="shared" si="7"/>
        <v>3.6445696239077695E-2</v>
      </c>
      <c r="G99" s="11">
        <f t="shared" si="8"/>
        <v>2.5173854227516255E-2</v>
      </c>
      <c r="H99" s="11">
        <f t="shared" si="9"/>
        <v>2.6285968405062071E-2</v>
      </c>
      <c r="M99" s="64">
        <v>45264</v>
      </c>
      <c r="N99">
        <v>30.111834999999999</v>
      </c>
      <c r="O99">
        <v>458.34170499999999</v>
      </c>
      <c r="P99">
        <v>45.367325000000001</v>
      </c>
      <c r="R99" s="11">
        <f t="shared" si="10"/>
        <v>3.2788557158974107E-4</v>
      </c>
      <c r="S99" s="11">
        <f t="shared" si="10"/>
        <v>2.3959742209313994E-3</v>
      </c>
      <c r="T99" s="11">
        <f t="shared" si="11"/>
        <v>-3.3556998798766398E-2</v>
      </c>
    </row>
    <row r="100" spans="1:20">
      <c r="A100" s="65">
        <v>44734</v>
      </c>
      <c r="B100" s="11">
        <v>27.161541</v>
      </c>
      <c r="C100" s="11">
        <v>365.59747299999998</v>
      </c>
      <c r="D100">
        <v>41.250038000000004</v>
      </c>
      <c r="F100" s="11">
        <f t="shared" ref="F100:F131" si="12">(B100-B99)/B99</f>
        <v>-7.4576772867420973E-3</v>
      </c>
      <c r="G100" s="11">
        <f t="shared" ref="G100:G131" si="13">(C100-C99)/C99</f>
        <v>-1.8129997035861581E-3</v>
      </c>
      <c r="H100" s="11">
        <f t="shared" si="9"/>
        <v>-1.9870962978012804E-3</v>
      </c>
      <c r="M100" s="64">
        <v>45271</v>
      </c>
      <c r="N100">
        <v>30.931004000000001</v>
      </c>
      <c r="O100">
        <v>467.43481400000002</v>
      </c>
      <c r="P100">
        <v>47.740001999999997</v>
      </c>
      <c r="R100" s="11">
        <f t="shared" si="10"/>
        <v>2.7204220533222311E-2</v>
      </c>
      <c r="S100" s="11">
        <f t="shared" si="10"/>
        <v>1.9839148174395405E-2</v>
      </c>
      <c r="T100" s="11">
        <f t="shared" si="11"/>
        <v>5.2299248412816843E-2</v>
      </c>
    </row>
    <row r="101" spans="1:20">
      <c r="A101" s="65">
        <v>44735</v>
      </c>
      <c r="B101" s="11">
        <v>27.068774999999999</v>
      </c>
      <c r="C101" s="11">
        <v>369.18121300000001</v>
      </c>
      <c r="D101">
        <v>41.605953</v>
      </c>
      <c r="F101" s="11">
        <f t="shared" si="12"/>
        <v>-3.4153437759662096E-3</v>
      </c>
      <c r="G101" s="11">
        <f t="shared" si="13"/>
        <v>9.8024200511912032E-3</v>
      </c>
      <c r="H101" s="11">
        <f t="shared" si="9"/>
        <v>8.6282344758081431E-3</v>
      </c>
      <c r="M101" s="64">
        <v>45278</v>
      </c>
      <c r="N101">
        <v>30.931004000000001</v>
      </c>
      <c r="O101">
        <v>473.64999399999999</v>
      </c>
      <c r="P101">
        <v>48.669998</v>
      </c>
      <c r="R101" s="11">
        <f t="shared" si="10"/>
        <v>0</v>
      </c>
      <c r="S101" s="11">
        <f t="shared" si="10"/>
        <v>1.3296356655197648E-2</v>
      </c>
      <c r="T101" s="11">
        <f t="shared" si="11"/>
        <v>1.948043487723362E-2</v>
      </c>
    </row>
    <row r="102" spans="1:20">
      <c r="A102" s="65">
        <v>44736</v>
      </c>
      <c r="B102" s="11">
        <v>28.126294999999999</v>
      </c>
      <c r="C102" s="11">
        <v>380.91894500000001</v>
      </c>
      <c r="D102">
        <v>42.883609999999997</v>
      </c>
      <c r="F102" s="11">
        <f t="shared" si="12"/>
        <v>3.9067892802685023E-2</v>
      </c>
      <c r="G102" s="11">
        <f t="shared" si="13"/>
        <v>3.1793958052789631E-2</v>
      </c>
      <c r="H102" s="11">
        <f t="shared" si="9"/>
        <v>3.0708514235931524E-2</v>
      </c>
      <c r="M102" s="64">
        <v>45285</v>
      </c>
      <c r="N102">
        <v>31.879999000000002</v>
      </c>
      <c r="O102">
        <v>475.30999800000001</v>
      </c>
      <c r="P102">
        <v>49.349997999999999</v>
      </c>
      <c r="R102" s="11">
        <f t="shared" si="10"/>
        <v>3.0681028006721022E-2</v>
      </c>
      <c r="S102" s="11">
        <f t="shared" si="10"/>
        <v>3.5047060509410984E-3</v>
      </c>
      <c r="T102" s="11">
        <f t="shared" si="11"/>
        <v>1.3971646351824378E-2</v>
      </c>
    </row>
    <row r="103" spans="1:20">
      <c r="A103" s="65">
        <v>44739</v>
      </c>
      <c r="B103" s="11">
        <v>28.376760000000001</v>
      </c>
      <c r="C103" s="11">
        <v>379.46395899999999</v>
      </c>
      <c r="D103">
        <v>42.637203</v>
      </c>
      <c r="F103" s="11">
        <f t="shared" si="12"/>
        <v>8.9050121958829612E-3</v>
      </c>
      <c r="G103" s="11">
        <f t="shared" si="13"/>
        <v>-3.8196735003558813E-3</v>
      </c>
      <c r="H103" s="11">
        <f t="shared" si="9"/>
        <v>-5.7459481606142266E-3</v>
      </c>
      <c r="M103" s="64">
        <v>45292</v>
      </c>
      <c r="N103">
        <v>31.68</v>
      </c>
      <c r="O103">
        <v>467.92001299999998</v>
      </c>
      <c r="P103">
        <v>48.169998</v>
      </c>
      <c r="R103" s="11">
        <f t="shared" si="10"/>
        <v>-6.2734945506115547E-3</v>
      </c>
      <c r="S103" s="11">
        <f t="shared" si="10"/>
        <v>-1.554771629272571E-2</v>
      </c>
      <c r="T103" s="11">
        <f t="shared" si="11"/>
        <v>-2.3910841901148602E-2</v>
      </c>
    </row>
    <row r="104" spans="1:20">
      <c r="A104" s="65">
        <v>44740</v>
      </c>
      <c r="B104" s="11">
        <v>28.293272000000002</v>
      </c>
      <c r="C104" s="11">
        <v>371.71038800000002</v>
      </c>
      <c r="D104">
        <v>42.600704</v>
      </c>
      <c r="F104" s="11">
        <f t="shared" si="12"/>
        <v>-2.9421258804739905E-3</v>
      </c>
      <c r="G104" s="11">
        <f t="shared" si="13"/>
        <v>-2.0432957639594872E-2</v>
      </c>
      <c r="H104" s="11">
        <f t="shared" si="9"/>
        <v>-8.5603645248491489E-4</v>
      </c>
      <c r="M104" s="64">
        <v>45299</v>
      </c>
      <c r="N104">
        <v>31.1</v>
      </c>
      <c r="O104">
        <v>476.67999300000002</v>
      </c>
      <c r="P104">
        <v>46.93</v>
      </c>
      <c r="R104" s="11">
        <f t="shared" si="10"/>
        <v>-1.8308080808080756E-2</v>
      </c>
      <c r="S104" s="11">
        <f t="shared" si="10"/>
        <v>1.872110565187568E-2</v>
      </c>
      <c r="T104" s="11">
        <f t="shared" si="11"/>
        <v>-2.57421227212839E-2</v>
      </c>
    </row>
    <row r="105" spans="1:20">
      <c r="A105" s="65">
        <v>44741</v>
      </c>
      <c r="B105" s="11">
        <v>27.708856999999998</v>
      </c>
      <c r="C105" s="11">
        <v>371.40768400000002</v>
      </c>
      <c r="D105">
        <v>42.089638000000001</v>
      </c>
      <c r="F105" s="11">
        <f t="shared" si="12"/>
        <v>-2.0655617349594754E-2</v>
      </c>
      <c r="G105" s="11">
        <f t="shared" si="13"/>
        <v>-8.1435442692014734E-4</v>
      </c>
      <c r="H105" s="11">
        <f t="shared" si="9"/>
        <v>-1.1996656205493682E-2</v>
      </c>
      <c r="M105" s="64">
        <v>45306</v>
      </c>
      <c r="N105">
        <v>30.559999000000001</v>
      </c>
      <c r="O105">
        <v>482.42999300000002</v>
      </c>
      <c r="P105">
        <v>46.509998000000003</v>
      </c>
      <c r="R105" s="11">
        <f t="shared" si="10"/>
        <v>-1.7363376205787786E-2</v>
      </c>
      <c r="S105" s="11">
        <f t="shared" si="10"/>
        <v>1.2062599824700425E-2</v>
      </c>
      <c r="T105" s="11">
        <f t="shared" si="11"/>
        <v>-8.9495418708714393E-3</v>
      </c>
    </row>
    <row r="106" spans="1:20">
      <c r="A106" s="65">
        <v>44742</v>
      </c>
      <c r="B106" s="11">
        <v>27.634641999999999</v>
      </c>
      <c r="C106" s="11">
        <v>368.39025900000001</v>
      </c>
      <c r="D106">
        <v>41.852359999999997</v>
      </c>
      <c r="F106" s="11">
        <f t="shared" si="12"/>
        <v>-2.6783854707539477E-3</v>
      </c>
      <c r="G106" s="11">
        <f t="shared" si="13"/>
        <v>-8.1242934112262539E-3</v>
      </c>
      <c r="H106" s="11">
        <f t="shared" si="9"/>
        <v>-5.6374445415758485E-3</v>
      </c>
      <c r="M106" s="64">
        <v>45313</v>
      </c>
      <c r="N106">
        <v>30.4</v>
      </c>
      <c r="O106">
        <v>487.41000400000001</v>
      </c>
      <c r="P106">
        <v>46</v>
      </c>
      <c r="R106" s="11">
        <f t="shared" si="10"/>
        <v>-5.2355695430488288E-3</v>
      </c>
      <c r="S106" s="11">
        <f t="shared" si="10"/>
        <v>1.0322764074081916E-2</v>
      </c>
      <c r="T106" s="11">
        <f t="shared" si="11"/>
        <v>-1.0965341258453784E-2</v>
      </c>
    </row>
    <row r="107" spans="1:20">
      <c r="A107" s="65">
        <v>44743</v>
      </c>
      <c r="B107" s="11">
        <v>28.497354999999999</v>
      </c>
      <c r="C107" s="11">
        <v>372.28659099999999</v>
      </c>
      <c r="D107">
        <v>42.728473999999999</v>
      </c>
      <c r="F107" s="11">
        <f t="shared" si="12"/>
        <v>3.1218533607202129E-2</v>
      </c>
      <c r="G107" s="11">
        <f t="shared" si="13"/>
        <v>1.0576642310186525E-2</v>
      </c>
      <c r="H107" s="11">
        <f t="shared" si="9"/>
        <v>2.0933443179787261E-2</v>
      </c>
    </row>
    <row r="108" spans="1:20">
      <c r="A108" s="65">
        <v>44747</v>
      </c>
      <c r="B108" s="11">
        <v>28.478802000000002</v>
      </c>
      <c r="C108" s="11">
        <v>372.98965500000003</v>
      </c>
      <c r="D108">
        <v>42.409053999999998</v>
      </c>
      <c r="F108" s="11">
        <f t="shared" si="12"/>
        <v>-6.5104287748800392E-4</v>
      </c>
      <c r="G108" s="11">
        <f t="shared" si="13"/>
        <v>1.8885020760794481E-3</v>
      </c>
      <c r="H108" s="11">
        <f t="shared" si="9"/>
        <v>-7.4755770589888361E-3</v>
      </c>
    </row>
    <row r="109" spans="1:20">
      <c r="A109" s="65">
        <v>44748</v>
      </c>
      <c r="B109" s="11">
        <v>28.627227999999999</v>
      </c>
      <c r="C109" s="11">
        <v>374.24935900000003</v>
      </c>
      <c r="D109">
        <v>42.555069000000003</v>
      </c>
      <c r="F109" s="11">
        <f t="shared" si="12"/>
        <v>5.2118063112344768E-3</v>
      </c>
      <c r="G109" s="11">
        <f t="shared" si="13"/>
        <v>3.3773161885682838E-3</v>
      </c>
      <c r="H109" s="11">
        <f t="shared" si="9"/>
        <v>3.4430147864181449E-3</v>
      </c>
    </row>
    <row r="110" spans="1:20">
      <c r="A110" s="65">
        <v>44749</v>
      </c>
      <c r="B110" s="11">
        <v>28.729265000000002</v>
      </c>
      <c r="C110" s="11">
        <v>379.85455300000001</v>
      </c>
      <c r="D110">
        <v>43.184772000000002</v>
      </c>
      <c r="F110" s="11">
        <f t="shared" si="12"/>
        <v>3.564333927127098E-3</v>
      </c>
      <c r="G110" s="11">
        <f t="shared" si="13"/>
        <v>1.4977163928823143E-2</v>
      </c>
      <c r="H110" s="11">
        <f t="shared" si="9"/>
        <v>1.4797367617944627E-2</v>
      </c>
    </row>
    <row r="111" spans="1:20">
      <c r="A111" s="65">
        <v>44750</v>
      </c>
      <c r="B111" s="11">
        <v>29.053944000000001</v>
      </c>
      <c r="C111" s="11">
        <v>379.54208399999999</v>
      </c>
      <c r="D111">
        <v>43.07526</v>
      </c>
      <c r="F111" s="11">
        <f t="shared" si="12"/>
        <v>1.1301333326835883E-2</v>
      </c>
      <c r="G111" s="11">
        <f t="shared" si="13"/>
        <v>-8.2260169723441859E-4</v>
      </c>
      <c r="H111" s="11">
        <f t="shared" si="9"/>
        <v>-2.5358939026007194E-3</v>
      </c>
    </row>
    <row r="112" spans="1:20">
      <c r="A112" s="65">
        <v>44753</v>
      </c>
      <c r="B112" s="11">
        <v>29.16526</v>
      </c>
      <c r="C112" s="11">
        <v>375.20636000000002</v>
      </c>
      <c r="D112">
        <v>43.577198000000003</v>
      </c>
      <c r="F112" s="11">
        <f t="shared" si="12"/>
        <v>3.8313559081685649E-3</v>
      </c>
      <c r="G112" s="11">
        <f t="shared" si="13"/>
        <v>-1.1423565877875011E-2</v>
      </c>
      <c r="H112" s="11">
        <f t="shared" si="9"/>
        <v>1.1652582015755742E-2</v>
      </c>
    </row>
    <row r="113" spans="1:8">
      <c r="A113" s="65">
        <v>44754</v>
      </c>
      <c r="B113" s="11">
        <v>29.239474999999999</v>
      </c>
      <c r="C113" s="11">
        <v>371.886169</v>
      </c>
      <c r="D113">
        <v>43.677582000000001</v>
      </c>
      <c r="F113" s="11">
        <f t="shared" si="12"/>
        <v>2.5446370099220378E-3</v>
      </c>
      <c r="G113" s="11">
        <f t="shared" si="13"/>
        <v>-8.8489731357432808E-3</v>
      </c>
      <c r="H113" s="11">
        <f t="shared" si="9"/>
        <v>2.3035900564326839E-3</v>
      </c>
    </row>
    <row r="114" spans="1:8">
      <c r="A114" s="65">
        <v>44755</v>
      </c>
      <c r="B114" s="11">
        <v>29.313683999999999</v>
      </c>
      <c r="C114" s="11">
        <v>369.93316700000003</v>
      </c>
      <c r="D114">
        <v>43.704963999999997</v>
      </c>
      <c r="F114" s="11">
        <f t="shared" si="12"/>
        <v>2.5379730655218586E-3</v>
      </c>
      <c r="G114" s="11">
        <f t="shared" si="13"/>
        <v>-5.2516123556075826E-3</v>
      </c>
      <c r="H114" s="11">
        <f t="shared" si="9"/>
        <v>6.2691199343397252E-4</v>
      </c>
    </row>
    <row r="115" spans="1:8">
      <c r="A115" s="65">
        <v>44756</v>
      </c>
      <c r="B115" s="11">
        <v>29.063219</v>
      </c>
      <c r="C115" s="11">
        <v>369.03476000000001</v>
      </c>
      <c r="D115">
        <v>43.860106999999999</v>
      </c>
      <c r="F115" s="11">
        <f t="shared" si="12"/>
        <v>-8.5443030633747166E-3</v>
      </c>
      <c r="G115" s="11">
        <f t="shared" si="13"/>
        <v>-2.4285656981927767E-3</v>
      </c>
      <c r="H115" s="11">
        <f t="shared" si="9"/>
        <v>3.5497798373658991E-3</v>
      </c>
    </row>
    <row r="116" spans="1:8">
      <c r="A116" s="65">
        <v>44757</v>
      </c>
      <c r="B116" s="11">
        <v>30.139294</v>
      </c>
      <c r="C116" s="11">
        <v>376.08520499999997</v>
      </c>
      <c r="D116">
        <v>45.475430000000003</v>
      </c>
      <c r="F116" s="11">
        <f t="shared" si="12"/>
        <v>3.702532056067153E-2</v>
      </c>
      <c r="G116" s="11">
        <f t="shared" si="13"/>
        <v>1.9105097308448581E-2</v>
      </c>
      <c r="H116" s="11">
        <f t="shared" si="9"/>
        <v>3.6828979920181311E-2</v>
      </c>
    </row>
    <row r="117" spans="1:8">
      <c r="A117" s="65">
        <v>44760</v>
      </c>
      <c r="B117" s="11">
        <v>29.870273999999998</v>
      </c>
      <c r="C117" s="11">
        <v>372.97988900000001</v>
      </c>
      <c r="D117">
        <v>45.119506999999999</v>
      </c>
      <c r="F117" s="11">
        <f t="shared" si="12"/>
        <v>-8.9258892394759193E-3</v>
      </c>
      <c r="G117" s="11">
        <f t="shared" si="13"/>
        <v>-8.2569480498440768E-3</v>
      </c>
      <c r="H117" s="11">
        <f t="shared" si="9"/>
        <v>-7.8267099398511286E-3</v>
      </c>
    </row>
    <row r="118" spans="1:8">
      <c r="A118" s="65">
        <v>44761</v>
      </c>
      <c r="B118" s="11">
        <v>30.528904000000001</v>
      </c>
      <c r="C118" s="11">
        <v>383.05749500000002</v>
      </c>
      <c r="D118">
        <v>46.351531999999999</v>
      </c>
      <c r="F118" s="11">
        <f t="shared" si="12"/>
        <v>2.2049680562019697E-2</v>
      </c>
      <c r="G118" s="11">
        <f t="shared" si="13"/>
        <v>2.7019167245234506E-2</v>
      </c>
      <c r="H118" s="11">
        <f t="shared" si="9"/>
        <v>2.7305816971803353E-2</v>
      </c>
    </row>
    <row r="119" spans="1:8">
      <c r="A119" s="65">
        <v>44762</v>
      </c>
      <c r="B119" s="11">
        <v>30.612392</v>
      </c>
      <c r="C119" s="11">
        <v>385.49874899999998</v>
      </c>
      <c r="D119">
        <v>46.013866</v>
      </c>
      <c r="F119" s="11">
        <f t="shared" si="12"/>
        <v>2.7347198576142505E-3</v>
      </c>
      <c r="G119" s="11">
        <f t="shared" si="13"/>
        <v>6.3730746216046708E-3</v>
      </c>
      <c r="H119" s="11">
        <f t="shared" si="9"/>
        <v>-7.2848940570076235E-3</v>
      </c>
    </row>
    <row r="120" spans="1:8">
      <c r="A120" s="65">
        <v>44763</v>
      </c>
      <c r="B120" s="11">
        <v>30.603119</v>
      </c>
      <c r="C120" s="11">
        <v>389.42440800000003</v>
      </c>
      <c r="D120">
        <v>46.022990999999998</v>
      </c>
      <c r="F120" s="11">
        <f t="shared" si="12"/>
        <v>-3.0291654438504212E-4</v>
      </c>
      <c r="G120" s="11">
        <f t="shared" si="13"/>
        <v>1.0183324875069965E-2</v>
      </c>
      <c r="H120" s="11">
        <f t="shared" si="9"/>
        <v>1.9830978774957499E-4</v>
      </c>
    </row>
    <row r="121" spans="1:8">
      <c r="A121" s="65">
        <v>44764</v>
      </c>
      <c r="B121" s="11">
        <v>30.668050999999998</v>
      </c>
      <c r="C121" s="11">
        <v>385.81127900000001</v>
      </c>
      <c r="D121">
        <v>46.360661</v>
      </c>
      <c r="F121" s="11">
        <f t="shared" si="12"/>
        <v>2.1217445189164832E-3</v>
      </c>
      <c r="G121" s="11">
        <f t="shared" si="13"/>
        <v>-9.2781267064287725E-3</v>
      </c>
      <c r="H121" s="11">
        <f t="shared" si="9"/>
        <v>7.3369851168517668E-3</v>
      </c>
    </row>
    <row r="122" spans="1:8">
      <c r="A122" s="65">
        <v>44767</v>
      </c>
      <c r="B122" s="11">
        <v>30.723708999999999</v>
      </c>
      <c r="C122" s="11">
        <v>386.27999899999998</v>
      </c>
      <c r="D122">
        <v>46.716571999999999</v>
      </c>
      <c r="F122" s="11">
        <f t="shared" si="12"/>
        <v>1.8148528577835317E-3</v>
      </c>
      <c r="G122" s="11">
        <f t="shared" si="13"/>
        <v>1.2148944976799448E-3</v>
      </c>
      <c r="H122" s="11">
        <f t="shared" si="9"/>
        <v>7.6770044327020915E-3</v>
      </c>
    </row>
    <row r="123" spans="1:8">
      <c r="A123" s="65">
        <v>44768</v>
      </c>
      <c r="B123" s="11">
        <v>30.501078</v>
      </c>
      <c r="C123" s="11">
        <v>381.70992999999999</v>
      </c>
      <c r="D123">
        <v>46.698321999999997</v>
      </c>
      <c r="F123" s="11">
        <f t="shared" si="12"/>
        <v>-7.2462279863410957E-3</v>
      </c>
      <c r="G123" s="11">
        <f t="shared" si="13"/>
        <v>-1.183097497108565E-2</v>
      </c>
      <c r="H123" s="11">
        <f t="shared" si="9"/>
        <v>-3.9065366354367517E-4</v>
      </c>
    </row>
    <row r="124" spans="1:8">
      <c r="A124" s="65">
        <v>44769</v>
      </c>
      <c r="B124" s="11">
        <v>31.076215999999999</v>
      </c>
      <c r="C124" s="11">
        <v>391.62158199999999</v>
      </c>
      <c r="D124">
        <v>47.282398000000001</v>
      </c>
      <c r="F124" s="11">
        <f t="shared" si="12"/>
        <v>1.8856317143938293E-2</v>
      </c>
      <c r="G124" s="11">
        <f t="shared" si="13"/>
        <v>2.5966450492917501E-2</v>
      </c>
      <c r="H124" s="11">
        <f t="shared" si="9"/>
        <v>1.2507430138496265E-2</v>
      </c>
    </row>
    <row r="125" spans="1:8">
      <c r="A125" s="65">
        <v>44770</v>
      </c>
      <c r="B125" s="11">
        <v>31.354509</v>
      </c>
      <c r="C125" s="11">
        <v>396.53344700000002</v>
      </c>
      <c r="D125">
        <v>48.048988000000001</v>
      </c>
      <c r="F125" s="11">
        <f t="shared" si="12"/>
        <v>8.9551765247094899E-3</v>
      </c>
      <c r="G125" s="11">
        <f t="shared" si="13"/>
        <v>1.2542375665087922E-2</v>
      </c>
      <c r="H125" s="11">
        <f t="shared" si="9"/>
        <v>1.6213010177698703E-2</v>
      </c>
    </row>
    <row r="126" spans="1:8">
      <c r="A126" s="65">
        <v>44771</v>
      </c>
      <c r="B126" s="11">
        <v>31.716297000000001</v>
      </c>
      <c r="C126" s="11">
        <v>402.31436200000002</v>
      </c>
      <c r="D126">
        <v>47.446666999999998</v>
      </c>
      <c r="F126" s="11">
        <f t="shared" si="12"/>
        <v>1.1538627506493584E-2</v>
      </c>
      <c r="G126" s="11">
        <f t="shared" si="13"/>
        <v>1.4578631496878479E-2</v>
      </c>
      <c r="H126" s="11">
        <f t="shared" si="9"/>
        <v>-1.2535560582462286E-2</v>
      </c>
    </row>
    <row r="127" spans="1:8">
      <c r="A127" s="65">
        <v>44774</v>
      </c>
      <c r="B127" s="11">
        <v>31.734848</v>
      </c>
      <c r="C127" s="11">
        <v>401.12301600000001</v>
      </c>
      <c r="D127">
        <v>47.072498000000003</v>
      </c>
      <c r="F127" s="11">
        <f t="shared" si="12"/>
        <v>5.8490434744001331E-4</v>
      </c>
      <c r="G127" s="11">
        <f t="shared" si="13"/>
        <v>-2.9612315953065826E-3</v>
      </c>
      <c r="H127" s="11">
        <f t="shared" si="9"/>
        <v>-7.8860966145418571E-3</v>
      </c>
    </row>
    <row r="128" spans="1:8">
      <c r="A128" s="65">
        <v>44775</v>
      </c>
      <c r="B128" s="11">
        <v>31.725570999999999</v>
      </c>
      <c r="C128" s="11">
        <v>398.476654</v>
      </c>
      <c r="D128">
        <v>47.081619000000003</v>
      </c>
      <c r="F128" s="11">
        <f t="shared" si="12"/>
        <v>-2.9232848381693423E-4</v>
      </c>
      <c r="G128" s="11">
        <f t="shared" si="13"/>
        <v>-6.5973825844987425E-3</v>
      </c>
      <c r="H128" s="11">
        <f t="shared" si="9"/>
        <v>1.9376494529779105E-4</v>
      </c>
    </row>
    <row r="129" spans="1:8">
      <c r="A129" s="65">
        <v>44776</v>
      </c>
      <c r="B129" s="11">
        <v>31.57715</v>
      </c>
      <c r="C129" s="11">
        <v>404.71661399999999</v>
      </c>
      <c r="D129">
        <v>46.479298</v>
      </c>
      <c r="F129" s="11">
        <f t="shared" si="12"/>
        <v>-4.6782767124979099E-3</v>
      </c>
      <c r="G129" s="11">
        <f t="shared" si="13"/>
        <v>1.5659537233516312E-2</v>
      </c>
      <c r="H129" s="11">
        <f t="shared" si="9"/>
        <v>-1.2793124212657245E-2</v>
      </c>
    </row>
    <row r="130" spans="1:8">
      <c r="A130" s="65">
        <v>44777</v>
      </c>
      <c r="B130" s="11">
        <v>31.558596000000001</v>
      </c>
      <c r="C130" s="11">
        <v>404.44317599999999</v>
      </c>
      <c r="D130">
        <v>46.068623000000002</v>
      </c>
      <c r="F130" s="11">
        <f t="shared" si="12"/>
        <v>-5.8757677624479037E-4</v>
      </c>
      <c r="G130" s="11">
        <f t="shared" si="13"/>
        <v>-6.7562830519233077E-4</v>
      </c>
      <c r="H130" s="11">
        <f t="shared" si="9"/>
        <v>-8.8356541013161968E-3</v>
      </c>
    </row>
    <row r="131" spans="1:8">
      <c r="A131" s="65">
        <v>44778</v>
      </c>
      <c r="B131" s="11">
        <v>31.957484999999998</v>
      </c>
      <c r="C131" s="11">
        <v>403.75958300000002</v>
      </c>
      <c r="D131">
        <v>46.251148000000001</v>
      </c>
      <c r="F131" s="11">
        <f t="shared" si="12"/>
        <v>1.2639630736424299E-2</v>
      </c>
      <c r="G131" s="11">
        <f t="shared" si="13"/>
        <v>-1.6902077734647536E-3</v>
      </c>
      <c r="H131" s="11">
        <f t="shared" si="9"/>
        <v>3.9620242176545686E-3</v>
      </c>
    </row>
    <row r="132" spans="1:8">
      <c r="A132" s="65">
        <v>44781</v>
      </c>
      <c r="B132" s="11">
        <v>32.068801999999998</v>
      </c>
      <c r="C132" s="11">
        <v>403.29089399999998</v>
      </c>
      <c r="D132">
        <v>46.725704</v>
      </c>
      <c r="F132" s="11">
        <f t="shared" ref="F132:G195" si="14">(B132-B131)/B131</f>
        <v>3.4832841195106459E-3</v>
      </c>
      <c r="G132" s="11">
        <f t="shared" si="14"/>
        <v>-1.1608120766264025E-3</v>
      </c>
      <c r="H132" s="11">
        <f t="shared" ref="H132:H195" si="15">(D132-D131)/D131</f>
        <v>1.0260415590116806E-2</v>
      </c>
    </row>
    <row r="133" spans="1:8">
      <c r="A133" s="65">
        <v>44782</v>
      </c>
      <c r="B133" s="11">
        <v>32.170836999999999</v>
      </c>
      <c r="C133" s="11">
        <v>401.68945300000001</v>
      </c>
      <c r="D133">
        <v>46.351531999999999</v>
      </c>
      <c r="F133" s="11">
        <f t="shared" si="14"/>
        <v>3.181752782657761E-3</v>
      </c>
      <c r="G133" s="11">
        <f t="shared" si="14"/>
        <v>-3.9709327034792054E-3</v>
      </c>
      <c r="H133" s="11">
        <f t="shared" si="15"/>
        <v>-8.0078408235433225E-3</v>
      </c>
    </row>
    <row r="134" spans="1:8">
      <c r="A134" s="65">
        <v>44783</v>
      </c>
      <c r="B134" s="11">
        <v>32.291438999999997</v>
      </c>
      <c r="C134" s="11">
        <v>410.12649499999998</v>
      </c>
      <c r="D134">
        <v>47.200263999999997</v>
      </c>
      <c r="F134" s="11">
        <f t="shared" si="14"/>
        <v>3.7487989510499248E-3</v>
      </c>
      <c r="G134" s="11">
        <f t="shared" si="14"/>
        <v>2.1003892277948265E-2</v>
      </c>
      <c r="H134" s="11">
        <f t="shared" si="15"/>
        <v>1.8310764787666529E-2</v>
      </c>
    </row>
    <row r="135" spans="1:8">
      <c r="A135" s="65">
        <v>44784</v>
      </c>
      <c r="B135" s="11">
        <v>32.300713000000002</v>
      </c>
      <c r="C135" s="11">
        <v>410.12649499999998</v>
      </c>
      <c r="D135">
        <v>46.990360000000003</v>
      </c>
      <c r="F135" s="11">
        <f t="shared" si="14"/>
        <v>2.87196863540361E-4</v>
      </c>
      <c r="G135" s="11">
        <f t="shared" si="14"/>
        <v>0</v>
      </c>
      <c r="H135" s="11">
        <f t="shared" si="15"/>
        <v>-4.4470937704923549E-3</v>
      </c>
    </row>
    <row r="136" spans="1:8">
      <c r="A136" s="65">
        <v>44785</v>
      </c>
      <c r="B136" s="11">
        <v>32.829467999999999</v>
      </c>
      <c r="C136" s="11">
        <v>417.06951900000001</v>
      </c>
      <c r="D136">
        <v>47.501418999999999</v>
      </c>
      <c r="F136" s="11">
        <f t="shared" si="14"/>
        <v>1.6369762487905351E-2</v>
      </c>
      <c r="G136" s="11">
        <f t="shared" si="14"/>
        <v>1.692898187423867E-2</v>
      </c>
      <c r="H136" s="11">
        <f t="shared" si="15"/>
        <v>1.087582644610503E-2</v>
      </c>
    </row>
    <row r="137" spans="1:8">
      <c r="A137" s="65">
        <v>44788</v>
      </c>
      <c r="B137" s="11">
        <v>32.959339</v>
      </c>
      <c r="C137" s="11">
        <v>418.78817700000002</v>
      </c>
      <c r="D137">
        <v>47.884723999999999</v>
      </c>
      <c r="F137" s="11">
        <f t="shared" si="14"/>
        <v>3.9559276440300955E-3</v>
      </c>
      <c r="G137" s="11">
        <f t="shared" si="14"/>
        <v>4.1207950274592111E-3</v>
      </c>
      <c r="H137" s="11">
        <f t="shared" si="15"/>
        <v>8.0693378865166112E-3</v>
      </c>
    </row>
    <row r="138" spans="1:8">
      <c r="A138" s="65">
        <v>44789</v>
      </c>
      <c r="B138" s="11">
        <v>32.718155000000003</v>
      </c>
      <c r="C138" s="11">
        <v>419.60849000000002</v>
      </c>
      <c r="D138">
        <v>48.003360999999998</v>
      </c>
      <c r="F138" s="11">
        <f t="shared" si="14"/>
        <v>-7.3176224802322934E-3</v>
      </c>
      <c r="G138" s="11">
        <f t="shared" si="14"/>
        <v>1.9587778381814219E-3</v>
      </c>
      <c r="H138" s="11">
        <f t="shared" si="15"/>
        <v>2.4775542195878517E-3</v>
      </c>
    </row>
    <row r="139" spans="1:8">
      <c r="A139" s="65">
        <v>44790</v>
      </c>
      <c r="B139" s="11">
        <v>32.476967000000002</v>
      </c>
      <c r="C139" s="11">
        <v>416.630066</v>
      </c>
      <c r="D139">
        <v>47.492297999999998</v>
      </c>
      <c r="F139" s="11">
        <f t="shared" si="14"/>
        <v>-7.3716870648727305E-3</v>
      </c>
      <c r="G139" s="11">
        <f t="shared" si="14"/>
        <v>-7.0981023286731358E-3</v>
      </c>
      <c r="H139" s="11">
        <f t="shared" si="15"/>
        <v>-1.0646400363507882E-2</v>
      </c>
    </row>
    <row r="140" spans="1:8">
      <c r="A140" s="65">
        <v>44791</v>
      </c>
      <c r="B140" s="11">
        <v>32.541901000000003</v>
      </c>
      <c r="C140" s="11">
        <v>417.84097300000002</v>
      </c>
      <c r="D140">
        <v>48.076366</v>
      </c>
      <c r="F140" s="11">
        <f t="shared" si="14"/>
        <v>1.9993862111570004E-3</v>
      </c>
      <c r="G140" s="11">
        <f t="shared" si="14"/>
        <v>2.9064321056464998E-3</v>
      </c>
      <c r="H140" s="11">
        <f t="shared" si="15"/>
        <v>1.2298162535744259E-2</v>
      </c>
    </row>
    <row r="141" spans="1:8">
      <c r="A141" s="65">
        <v>44792</v>
      </c>
      <c r="B141" s="11">
        <v>32.115177000000003</v>
      </c>
      <c r="C141" s="11">
        <v>412.226044</v>
      </c>
      <c r="D141">
        <v>47.693069000000001</v>
      </c>
      <c r="F141" s="11">
        <f t="shared" si="14"/>
        <v>-1.3113063062910801E-2</v>
      </c>
      <c r="G141" s="11">
        <f t="shared" si="14"/>
        <v>-1.3437956932959797E-2</v>
      </c>
      <c r="H141" s="11">
        <f t="shared" si="15"/>
        <v>-7.97266998092158E-3</v>
      </c>
    </row>
    <row r="142" spans="1:8">
      <c r="A142" s="65">
        <v>44795</v>
      </c>
      <c r="B142" s="11">
        <v>31.475107000000001</v>
      </c>
      <c r="C142" s="11">
        <v>403.64245599999998</v>
      </c>
      <c r="D142">
        <v>46.57056</v>
      </c>
      <c r="F142" s="11">
        <f t="shared" si="14"/>
        <v>-1.9930452197102991E-2</v>
      </c>
      <c r="G142" s="11">
        <f t="shared" si="14"/>
        <v>-2.0822527166672711E-2</v>
      </c>
      <c r="H142" s="11">
        <f t="shared" si="15"/>
        <v>-2.3536103327718348E-2</v>
      </c>
    </row>
    <row r="143" spans="1:8">
      <c r="A143" s="65">
        <v>44796</v>
      </c>
      <c r="B143" s="11">
        <v>31.252465999999998</v>
      </c>
      <c r="C143" s="11">
        <v>402.665955</v>
      </c>
      <c r="D143">
        <v>46.57056</v>
      </c>
      <c r="F143" s="11">
        <f t="shared" si="14"/>
        <v>-7.0735581613750502E-3</v>
      </c>
      <c r="G143" s="11">
        <f t="shared" si="14"/>
        <v>-2.4192227192274957E-3</v>
      </c>
      <c r="H143" s="11">
        <f t="shared" si="15"/>
        <v>0</v>
      </c>
    </row>
    <row r="144" spans="1:8">
      <c r="A144" s="65">
        <v>44797</v>
      </c>
      <c r="B144" s="11">
        <v>31.530766</v>
      </c>
      <c r="C144" s="11">
        <v>403.95495599999998</v>
      </c>
      <c r="D144">
        <v>46.552311000000003</v>
      </c>
      <c r="F144" s="11">
        <f t="shared" si="14"/>
        <v>8.90489729674457E-3</v>
      </c>
      <c r="G144" s="11">
        <f t="shared" si="14"/>
        <v>3.2011670815328421E-3</v>
      </c>
      <c r="H144" s="11">
        <f t="shared" si="15"/>
        <v>-3.9185700150475526E-4</v>
      </c>
    </row>
    <row r="145" spans="1:8">
      <c r="A145" s="65">
        <v>44798</v>
      </c>
      <c r="B145" s="11">
        <v>31.873991</v>
      </c>
      <c r="C145" s="11">
        <v>409.65777600000001</v>
      </c>
      <c r="D145">
        <v>47.045119999999997</v>
      </c>
      <c r="F145" s="11">
        <f t="shared" si="14"/>
        <v>1.0885399993136872E-2</v>
      </c>
      <c r="G145" s="11">
        <f t="shared" si="14"/>
        <v>1.4117465116581046E-2</v>
      </c>
      <c r="H145" s="11">
        <f t="shared" si="15"/>
        <v>1.0586133951545264E-2</v>
      </c>
    </row>
    <row r="146" spans="1:8">
      <c r="A146" s="65">
        <v>44799</v>
      </c>
      <c r="B146" s="11">
        <v>31.206083</v>
      </c>
      <c r="C146" s="11">
        <v>395.79126000000002</v>
      </c>
      <c r="D146">
        <v>45.922600000000003</v>
      </c>
      <c r="F146" s="11">
        <f t="shared" si="14"/>
        <v>-2.0954639787656357E-2</v>
      </c>
      <c r="G146" s="11">
        <f t="shared" si="14"/>
        <v>-3.3849024264585151E-2</v>
      </c>
      <c r="H146" s="11">
        <f t="shared" si="15"/>
        <v>-2.3860498177069044E-2</v>
      </c>
    </row>
    <row r="147" spans="1:8">
      <c r="A147" s="65">
        <v>44802</v>
      </c>
      <c r="B147" s="11">
        <v>31.104046</v>
      </c>
      <c r="C147" s="11">
        <v>393.17425500000002</v>
      </c>
      <c r="D147">
        <v>45.794834000000002</v>
      </c>
      <c r="F147" s="11">
        <f t="shared" si="14"/>
        <v>-3.2697791645301742E-3</v>
      </c>
      <c r="G147" s="11">
        <f t="shared" si="14"/>
        <v>-6.6120838545045335E-3</v>
      </c>
      <c r="H147" s="11">
        <f t="shared" si="15"/>
        <v>-2.7822030982566567E-3</v>
      </c>
    </row>
    <row r="148" spans="1:8">
      <c r="A148" s="65">
        <v>44803</v>
      </c>
      <c r="B148" s="11">
        <v>30.695879000000001</v>
      </c>
      <c r="C148" s="11">
        <v>388.858002</v>
      </c>
      <c r="D148">
        <v>44.562820000000002</v>
      </c>
      <c r="F148" s="11">
        <f t="shared" si="14"/>
        <v>-1.3122633627792308E-2</v>
      </c>
      <c r="G148" s="11">
        <f t="shared" si="14"/>
        <v>-1.0977964465145403E-2</v>
      </c>
      <c r="H148" s="11">
        <f t="shared" si="15"/>
        <v>-2.6902903502172306E-2</v>
      </c>
    </row>
    <row r="149" spans="1:8">
      <c r="A149" s="65">
        <v>44804</v>
      </c>
      <c r="B149" s="11">
        <v>30.603119</v>
      </c>
      <c r="C149" s="11">
        <v>385.89917000000003</v>
      </c>
      <c r="D149">
        <v>44.051754000000003</v>
      </c>
      <c r="F149" s="11">
        <f t="shared" si="14"/>
        <v>-3.0219040151937644E-3</v>
      </c>
      <c r="G149" s="11">
        <f t="shared" si="14"/>
        <v>-7.6090294780663216E-3</v>
      </c>
      <c r="H149" s="11">
        <f t="shared" si="15"/>
        <v>-1.1468439385119693E-2</v>
      </c>
    </row>
    <row r="150" spans="1:8">
      <c r="A150" s="65">
        <v>44805</v>
      </c>
      <c r="B150" s="11">
        <v>30.714434000000001</v>
      </c>
      <c r="C150" s="11">
        <v>387.11007699999999</v>
      </c>
      <c r="D150">
        <v>44.024372</v>
      </c>
      <c r="F150" s="11">
        <f t="shared" si="14"/>
        <v>3.6373743473663966E-3</v>
      </c>
      <c r="G150" s="11">
        <f t="shared" si="14"/>
        <v>3.1378844375331599E-3</v>
      </c>
      <c r="H150" s="11">
        <f t="shared" si="15"/>
        <v>-6.2158705417275563E-4</v>
      </c>
    </row>
    <row r="151" spans="1:8">
      <c r="A151" s="65">
        <v>44806</v>
      </c>
      <c r="B151" s="11">
        <v>30.306266999999998</v>
      </c>
      <c r="C151" s="11">
        <v>383.02822900000001</v>
      </c>
      <c r="D151">
        <v>43.923988000000001</v>
      </c>
      <c r="F151" s="11">
        <f t="shared" si="14"/>
        <v>-1.3289093981025416E-2</v>
      </c>
      <c r="G151" s="11">
        <f t="shared" si="14"/>
        <v>-1.0544411635143199E-2</v>
      </c>
      <c r="H151" s="11">
        <f t="shared" si="15"/>
        <v>-2.2801915266388866E-3</v>
      </c>
    </row>
    <row r="152" spans="1:8">
      <c r="A152" s="65">
        <v>44810</v>
      </c>
      <c r="B152" s="11">
        <v>30.770092000000002</v>
      </c>
      <c r="C152" s="11">
        <v>381.58300800000001</v>
      </c>
      <c r="D152">
        <v>44.535435</v>
      </c>
      <c r="F152" s="11">
        <f t="shared" si="14"/>
        <v>1.5304590301405432E-2</v>
      </c>
      <c r="G152" s="11">
        <f t="shared" si="14"/>
        <v>-3.7731448770059284E-3</v>
      </c>
      <c r="H152" s="11">
        <f t="shared" si="15"/>
        <v>1.3920571146681816E-2</v>
      </c>
    </row>
    <row r="153" spans="1:8">
      <c r="A153" s="65">
        <v>44811</v>
      </c>
      <c r="B153" s="11">
        <v>31.076215999999999</v>
      </c>
      <c r="C153" s="11">
        <v>388.43810999999999</v>
      </c>
      <c r="D153">
        <v>45.247275999999999</v>
      </c>
      <c r="F153" s="11">
        <f t="shared" si="14"/>
        <v>9.948751534444451E-3</v>
      </c>
      <c r="G153" s="11">
        <f t="shared" si="14"/>
        <v>1.7964903720241097E-2</v>
      </c>
      <c r="H153" s="11">
        <f t="shared" si="15"/>
        <v>1.5983699272276105E-2</v>
      </c>
    </row>
    <row r="154" spans="1:8">
      <c r="A154" s="65">
        <v>44812</v>
      </c>
      <c r="B154" s="11">
        <v>31.002002999999998</v>
      </c>
      <c r="C154" s="11">
        <v>390.977081</v>
      </c>
      <c r="D154">
        <v>45.092132999999997</v>
      </c>
      <c r="F154" s="11">
        <f t="shared" si="14"/>
        <v>-2.3880964143124859E-3</v>
      </c>
      <c r="G154" s="11">
        <f t="shared" si="14"/>
        <v>6.5363591641407265E-3</v>
      </c>
      <c r="H154" s="11">
        <f t="shared" si="15"/>
        <v>-3.4287809944625724E-3</v>
      </c>
    </row>
    <row r="155" spans="1:8">
      <c r="A155" s="65">
        <v>44813</v>
      </c>
      <c r="B155" s="11">
        <v>31.280301999999999</v>
      </c>
      <c r="C155" s="11">
        <v>397.05096400000002</v>
      </c>
      <c r="D155">
        <v>45.612316</v>
      </c>
      <c r="F155" s="11">
        <f t="shared" si="14"/>
        <v>8.9768070792071251E-3</v>
      </c>
      <c r="G155" s="11">
        <f t="shared" si="14"/>
        <v>1.5535138234867591E-2</v>
      </c>
      <c r="H155" s="11">
        <f t="shared" si="15"/>
        <v>1.1536003408843023E-2</v>
      </c>
    </row>
    <row r="156" spans="1:8">
      <c r="A156" s="65">
        <v>44816</v>
      </c>
      <c r="B156" s="11">
        <v>31.57715</v>
      </c>
      <c r="C156" s="11">
        <v>401.31839000000002</v>
      </c>
      <c r="D156">
        <v>45.822220000000002</v>
      </c>
      <c r="F156" s="11">
        <f t="shared" si="14"/>
        <v>9.4899339526837261E-3</v>
      </c>
      <c r="G156" s="11">
        <f t="shared" si="14"/>
        <v>1.0747804153423489E-2</v>
      </c>
      <c r="H156" s="11">
        <f t="shared" si="15"/>
        <v>4.6019149740171416E-3</v>
      </c>
    </row>
    <row r="157" spans="1:8">
      <c r="A157" s="65">
        <v>44817</v>
      </c>
      <c r="B157" s="11">
        <v>30.742262</v>
      </c>
      <c r="C157" s="11">
        <v>383.86801100000002</v>
      </c>
      <c r="D157">
        <v>44.571944999999999</v>
      </c>
      <c r="F157" s="11">
        <f t="shared" si="14"/>
        <v>-2.6439624855314665E-2</v>
      </c>
      <c r="G157" s="11">
        <f t="shared" si="14"/>
        <v>-4.3482629839116015E-2</v>
      </c>
      <c r="H157" s="11">
        <f t="shared" si="15"/>
        <v>-2.7285343224313488E-2</v>
      </c>
    </row>
    <row r="158" spans="1:8">
      <c r="A158" s="65">
        <v>44818</v>
      </c>
      <c r="B158" s="11">
        <v>30.816481</v>
      </c>
      <c r="C158" s="11">
        <v>385.33279399999998</v>
      </c>
      <c r="D158">
        <v>44.380294999999997</v>
      </c>
      <c r="F158" s="11">
        <f t="shared" si="14"/>
        <v>2.4142335394838339E-3</v>
      </c>
      <c r="G158" s="11">
        <f t="shared" si="14"/>
        <v>3.8158506518532337E-3</v>
      </c>
      <c r="H158" s="11">
        <f t="shared" si="15"/>
        <v>-4.2997899239084758E-3</v>
      </c>
    </row>
    <row r="159" spans="1:8">
      <c r="A159" s="65">
        <v>44819</v>
      </c>
      <c r="B159" s="11">
        <v>30.714434000000001</v>
      </c>
      <c r="C159" s="11">
        <v>380.95803799999999</v>
      </c>
      <c r="D159">
        <v>44.171936000000002</v>
      </c>
      <c r="F159" s="11">
        <f t="shared" si="14"/>
        <v>-3.3114423415184519E-3</v>
      </c>
      <c r="G159" s="11">
        <f t="shared" si="14"/>
        <v>-1.1353188900916621E-2</v>
      </c>
      <c r="H159" s="11">
        <f t="shared" si="15"/>
        <v>-4.6948538760275124E-3</v>
      </c>
    </row>
    <row r="160" spans="1:8">
      <c r="A160" s="65">
        <v>44820</v>
      </c>
      <c r="B160" s="11">
        <v>31.002002999999998</v>
      </c>
      <c r="C160" s="11">
        <v>378.05175800000001</v>
      </c>
      <c r="D160">
        <v>45.088711000000004</v>
      </c>
      <c r="F160" s="11">
        <f t="shared" si="14"/>
        <v>9.3626664258243449E-3</v>
      </c>
      <c r="G160" s="11">
        <f t="shared" si="14"/>
        <v>-7.6288717131622278E-3</v>
      </c>
      <c r="H160" s="11">
        <f t="shared" si="15"/>
        <v>2.0754693658887879E-2</v>
      </c>
    </row>
    <row r="161" spans="1:8">
      <c r="A161" s="65">
        <v>44823</v>
      </c>
      <c r="B161" s="11">
        <v>31.113327000000002</v>
      </c>
      <c r="C161" s="11">
        <v>380.983521</v>
      </c>
      <c r="D161">
        <v>45.477646</v>
      </c>
      <c r="F161" s="11">
        <f t="shared" si="14"/>
        <v>3.5908647579965501E-3</v>
      </c>
      <c r="G161" s="11">
        <f t="shared" si="14"/>
        <v>7.7549249222112846E-3</v>
      </c>
      <c r="H161" s="11">
        <f t="shared" si="15"/>
        <v>8.6259950966439576E-3</v>
      </c>
    </row>
    <row r="162" spans="1:8">
      <c r="A162" s="65">
        <v>44824</v>
      </c>
      <c r="B162" s="11">
        <v>30.593841999999999</v>
      </c>
      <c r="C162" s="11">
        <v>376.61035199999998</v>
      </c>
      <c r="D162">
        <v>44.283057999999997</v>
      </c>
      <c r="F162" s="11">
        <f t="shared" si="14"/>
        <v>-1.6696542931586938E-2</v>
      </c>
      <c r="G162" s="11">
        <f t="shared" si="14"/>
        <v>-1.1478630331625337E-2</v>
      </c>
      <c r="H162" s="11">
        <f t="shared" si="15"/>
        <v>-2.6267586497331085E-2</v>
      </c>
    </row>
    <row r="163" spans="1:8">
      <c r="A163" s="65">
        <v>44825</v>
      </c>
      <c r="B163" s="11">
        <v>30.058751999999998</v>
      </c>
      <c r="C163" s="11">
        <v>370.04083300000002</v>
      </c>
      <c r="D163">
        <v>43.366287</v>
      </c>
      <c r="F163" s="11">
        <f t="shared" si="14"/>
        <v>-1.7490121051157954E-2</v>
      </c>
      <c r="G163" s="11">
        <f t="shared" si="14"/>
        <v>-1.7443808873315189E-2</v>
      </c>
      <c r="H163" s="11">
        <f t="shared" si="15"/>
        <v>-2.0702522395810993E-2</v>
      </c>
    </row>
    <row r="164" spans="1:8">
      <c r="A164" s="65">
        <v>44826</v>
      </c>
      <c r="B164" s="11">
        <v>29.561214</v>
      </c>
      <c r="C164" s="11">
        <v>366.93255599999998</v>
      </c>
      <c r="D164">
        <v>43.116253</v>
      </c>
      <c r="F164" s="11">
        <f t="shared" si="14"/>
        <v>-1.6552184202457864E-2</v>
      </c>
      <c r="G164" s="11">
        <f t="shared" si="14"/>
        <v>-8.3998216488720412E-3</v>
      </c>
      <c r="H164" s="11">
        <f t="shared" si="15"/>
        <v>-5.7656307997961511E-3</v>
      </c>
    </row>
    <row r="165" spans="1:8">
      <c r="A165" s="65">
        <v>44827</v>
      </c>
      <c r="B165" s="11">
        <v>28.988576999999999</v>
      </c>
      <c r="C165" s="11">
        <v>360.78463699999998</v>
      </c>
      <c r="D165">
        <v>42.310603999999998</v>
      </c>
      <c r="F165" s="11">
        <f t="shared" si="14"/>
        <v>-1.9371227446883618E-2</v>
      </c>
      <c r="G165" s="11">
        <f t="shared" si="14"/>
        <v>-1.6754901955333728E-2</v>
      </c>
      <c r="H165" s="11">
        <f t="shared" si="15"/>
        <v>-1.8685505904235289E-2</v>
      </c>
    </row>
    <row r="166" spans="1:8">
      <c r="A166" s="65">
        <v>44830</v>
      </c>
      <c r="B166" s="11">
        <v>28.622464999999998</v>
      </c>
      <c r="C166" s="11">
        <v>357.21551499999998</v>
      </c>
      <c r="D166">
        <v>41.708674999999999</v>
      </c>
      <c r="F166" s="11">
        <f t="shared" si="14"/>
        <v>-1.2629526451056949E-2</v>
      </c>
      <c r="G166" s="11">
        <f t="shared" si="14"/>
        <v>-9.8926662445440912E-3</v>
      </c>
      <c r="H166" s="11">
        <f t="shared" si="15"/>
        <v>-1.4226433638243463E-2</v>
      </c>
    </row>
    <row r="167" spans="1:8">
      <c r="A167" s="65">
        <v>44831</v>
      </c>
      <c r="B167" s="11">
        <v>28.772665</v>
      </c>
      <c r="C167" s="11">
        <v>356.30367999999999</v>
      </c>
      <c r="D167">
        <v>41.616073999999998</v>
      </c>
      <c r="F167" s="11">
        <f t="shared" si="14"/>
        <v>5.2476262963375682E-3</v>
      </c>
      <c r="G167" s="11">
        <f t="shared" si="14"/>
        <v>-2.5526186901484288E-3</v>
      </c>
      <c r="H167" s="11">
        <f t="shared" si="15"/>
        <v>-2.2201856088691846E-3</v>
      </c>
    </row>
    <row r="168" spans="1:8">
      <c r="A168" s="65">
        <v>44832</v>
      </c>
      <c r="B168" s="11">
        <v>28.988576999999999</v>
      </c>
      <c r="C168" s="11">
        <v>363.314392</v>
      </c>
      <c r="D168">
        <v>42.217995000000002</v>
      </c>
      <c r="F168" s="11">
        <f t="shared" si="14"/>
        <v>7.504066793951809E-3</v>
      </c>
      <c r="G168" s="11">
        <f t="shared" si="14"/>
        <v>1.9676226751292641E-2</v>
      </c>
      <c r="H168" s="11">
        <f t="shared" si="15"/>
        <v>1.44636661305438E-2</v>
      </c>
    </row>
    <row r="169" spans="1:8">
      <c r="A169" s="65">
        <v>44833</v>
      </c>
      <c r="B169" s="11">
        <v>27.589839999999999</v>
      </c>
      <c r="C169" s="11">
        <v>355.72512799999998</v>
      </c>
      <c r="D169">
        <v>40.347400999999998</v>
      </c>
      <c r="F169" s="11">
        <f t="shared" si="14"/>
        <v>-4.8251316371962671E-2</v>
      </c>
      <c r="G169" s="11">
        <f t="shared" si="14"/>
        <v>-2.0888971554972185E-2</v>
      </c>
      <c r="H169" s="11">
        <f t="shared" si="15"/>
        <v>-4.4307978150075672E-2</v>
      </c>
    </row>
    <row r="170" spans="1:8">
      <c r="A170" s="65">
        <v>44834</v>
      </c>
      <c r="B170" s="11">
        <v>28.021667000000001</v>
      </c>
      <c r="C170" s="11">
        <v>350.22436499999998</v>
      </c>
      <c r="D170">
        <v>40.967854000000003</v>
      </c>
      <c r="F170" s="11">
        <f t="shared" si="14"/>
        <v>1.5651667425400147E-2</v>
      </c>
      <c r="G170" s="11">
        <f t="shared" si="14"/>
        <v>-1.5463521036388541E-2</v>
      </c>
      <c r="H170" s="11">
        <f t="shared" si="15"/>
        <v>1.5377768694444651E-2</v>
      </c>
    </row>
    <row r="171" spans="1:8">
      <c r="A171" s="65">
        <v>44837</v>
      </c>
      <c r="B171" s="11">
        <v>28.669402999999999</v>
      </c>
      <c r="C171" s="11">
        <v>359.47076399999997</v>
      </c>
      <c r="D171">
        <v>42.116135</v>
      </c>
      <c r="F171" s="11">
        <f t="shared" si="14"/>
        <v>2.3115541270260557E-2</v>
      </c>
      <c r="G171" s="11">
        <f t="shared" si="14"/>
        <v>2.6401358454886475E-2</v>
      </c>
      <c r="H171" s="11">
        <f t="shared" si="15"/>
        <v>2.8028829628225026E-2</v>
      </c>
    </row>
    <row r="172" spans="1:8">
      <c r="A172" s="65">
        <v>44838</v>
      </c>
      <c r="B172" s="11">
        <v>29.439177999999998</v>
      </c>
      <c r="C172" s="11">
        <v>370.60949699999998</v>
      </c>
      <c r="D172">
        <v>43.671875</v>
      </c>
      <c r="F172" s="11">
        <f t="shared" si="14"/>
        <v>2.6850053347814717E-2</v>
      </c>
      <c r="G172" s="11">
        <f t="shared" si="14"/>
        <v>3.0986478221633633E-2</v>
      </c>
      <c r="H172" s="11">
        <f t="shared" si="15"/>
        <v>3.6939287045214382E-2</v>
      </c>
    </row>
    <row r="173" spans="1:8">
      <c r="A173" s="65">
        <v>44839</v>
      </c>
      <c r="B173" s="11">
        <v>29.448564999999999</v>
      </c>
      <c r="C173" s="11">
        <v>369.74661300000002</v>
      </c>
      <c r="D173">
        <v>43.838562000000003</v>
      </c>
      <c r="F173" s="11">
        <f t="shared" si="14"/>
        <v>3.1886080514884811E-4</v>
      </c>
      <c r="G173" s="11">
        <f t="shared" si="14"/>
        <v>-2.3282835625767881E-3</v>
      </c>
      <c r="H173" s="11">
        <f t="shared" si="15"/>
        <v>3.8168042933811094E-3</v>
      </c>
    </row>
    <row r="174" spans="1:8">
      <c r="A174" s="65">
        <v>44840</v>
      </c>
      <c r="B174" s="11">
        <v>29.063676999999998</v>
      </c>
      <c r="C174" s="11">
        <v>365.93246499999998</v>
      </c>
      <c r="D174">
        <v>43.023643</v>
      </c>
      <c r="F174" s="11">
        <f t="shared" si="14"/>
        <v>-1.3069838886886344E-2</v>
      </c>
      <c r="G174" s="11">
        <f t="shared" si="14"/>
        <v>-1.031557251884832E-2</v>
      </c>
      <c r="H174" s="11">
        <f t="shared" si="15"/>
        <v>-1.8589090581940238E-2</v>
      </c>
    </row>
    <row r="175" spans="1:8">
      <c r="A175" s="65">
        <v>44841</v>
      </c>
      <c r="B175" s="11">
        <v>28.763279000000001</v>
      </c>
      <c r="C175" s="11">
        <v>355.72512799999998</v>
      </c>
      <c r="D175">
        <v>42.921782999999998</v>
      </c>
      <c r="F175" s="11">
        <f t="shared" si="14"/>
        <v>-1.0335856677735502E-2</v>
      </c>
      <c r="G175" s="11">
        <f t="shared" si="14"/>
        <v>-2.7894045968290888E-2</v>
      </c>
      <c r="H175" s="11">
        <f t="shared" si="15"/>
        <v>-2.3675354502175018E-3</v>
      </c>
    </row>
    <row r="176" spans="1:8">
      <c r="A176" s="65">
        <v>44844</v>
      </c>
      <c r="B176" s="11">
        <v>28.491040999999999</v>
      </c>
      <c r="C176" s="11">
        <v>353.00906400000002</v>
      </c>
      <c r="D176">
        <v>42.606929999999998</v>
      </c>
      <c r="F176" s="11">
        <f t="shared" si="14"/>
        <v>-9.4647762516923591E-3</v>
      </c>
      <c r="G176" s="11">
        <f t="shared" si="14"/>
        <v>-7.6352885590920648E-3</v>
      </c>
      <c r="H176" s="11">
        <f t="shared" si="15"/>
        <v>-7.3355060762503596E-3</v>
      </c>
    </row>
    <row r="177" spans="1:8">
      <c r="A177" s="65">
        <v>44845</v>
      </c>
      <c r="B177" s="11">
        <v>28.838377000000001</v>
      </c>
      <c r="C177" s="11">
        <v>350.77349900000002</v>
      </c>
      <c r="D177">
        <v>43.245899000000001</v>
      </c>
      <c r="F177" s="11">
        <f t="shared" si="14"/>
        <v>1.219106034068752E-2</v>
      </c>
      <c r="G177" s="11">
        <f t="shared" si="14"/>
        <v>-6.3328827160086974E-3</v>
      </c>
      <c r="H177" s="11">
        <f t="shared" si="15"/>
        <v>1.4996832674872446E-2</v>
      </c>
    </row>
    <row r="178" spans="1:8">
      <c r="A178" s="65">
        <v>44846</v>
      </c>
      <c r="B178" s="11">
        <v>28.716341</v>
      </c>
      <c r="C178" s="11">
        <v>349.61645499999997</v>
      </c>
      <c r="D178">
        <v>43.162559999999999</v>
      </c>
      <c r="F178" s="11">
        <f t="shared" si="14"/>
        <v>-4.2317221943523851E-3</v>
      </c>
      <c r="G178" s="11">
        <f t="shared" si="14"/>
        <v>-3.2985502134528174E-3</v>
      </c>
      <c r="H178" s="11">
        <f t="shared" si="15"/>
        <v>-1.927096023602198E-3</v>
      </c>
    </row>
    <row r="179" spans="1:8">
      <c r="A179" s="65">
        <v>44847</v>
      </c>
      <c r="B179" s="11">
        <v>28.838377000000001</v>
      </c>
      <c r="C179" s="11">
        <v>358.843231</v>
      </c>
      <c r="D179">
        <v>43.745959999999997</v>
      </c>
      <c r="F179" s="11">
        <f t="shared" si="14"/>
        <v>4.2497057685727223E-3</v>
      </c>
      <c r="G179" s="11">
        <f t="shared" si="14"/>
        <v>2.6391137682578555E-2</v>
      </c>
      <c r="H179" s="11">
        <f t="shared" si="15"/>
        <v>1.3516343794251255E-2</v>
      </c>
    </row>
    <row r="180" spans="1:8">
      <c r="A180" s="65">
        <v>44848</v>
      </c>
      <c r="B180" s="11">
        <v>27.833915999999999</v>
      </c>
      <c r="C180" s="11">
        <v>350.66561899999999</v>
      </c>
      <c r="D180">
        <v>42.329116999999997</v>
      </c>
      <c r="F180" s="11">
        <f t="shared" si="14"/>
        <v>-3.4830704931834502E-2</v>
      </c>
      <c r="G180" s="11">
        <f t="shared" si="14"/>
        <v>-2.2788814985338291E-2</v>
      </c>
      <c r="H180" s="11">
        <f t="shared" si="15"/>
        <v>-3.2387973655167247E-2</v>
      </c>
    </row>
    <row r="181" spans="1:8">
      <c r="A181" s="65">
        <v>44851</v>
      </c>
      <c r="B181" s="11">
        <v>28.584914999999999</v>
      </c>
      <c r="C181" s="11">
        <v>359.67669699999999</v>
      </c>
      <c r="D181">
        <v>43.171813999999998</v>
      </c>
      <c r="F181" s="11">
        <f t="shared" si="14"/>
        <v>2.698143516708178E-2</v>
      </c>
      <c r="G181" s="11">
        <f t="shared" si="14"/>
        <v>2.5697067267949066E-2</v>
      </c>
      <c r="H181" s="11">
        <f t="shared" si="15"/>
        <v>1.9908211172938034E-2</v>
      </c>
    </row>
    <row r="182" spans="1:8">
      <c r="A182" s="65">
        <v>44852</v>
      </c>
      <c r="B182" s="11">
        <v>28.735116999999999</v>
      </c>
      <c r="C182" s="11">
        <v>363.90271000000001</v>
      </c>
      <c r="D182">
        <v>43.847819999999999</v>
      </c>
      <c r="F182" s="11">
        <f t="shared" si="14"/>
        <v>5.2545897022957802E-3</v>
      </c>
      <c r="G182" s="11">
        <f t="shared" si="14"/>
        <v>1.1749476780810248E-2</v>
      </c>
      <c r="H182" s="11">
        <f t="shared" si="15"/>
        <v>1.5658503485630717E-2</v>
      </c>
    </row>
    <row r="183" spans="1:8">
      <c r="A183" s="65">
        <v>44853</v>
      </c>
      <c r="B183" s="11">
        <v>27.599228</v>
      </c>
      <c r="C183" s="11">
        <v>361.32397500000002</v>
      </c>
      <c r="D183">
        <v>42.171700000000001</v>
      </c>
      <c r="F183" s="11">
        <f t="shared" si="14"/>
        <v>-3.9529645903303573E-2</v>
      </c>
      <c r="G183" s="11">
        <f t="shared" si="14"/>
        <v>-7.0863308492536223E-3</v>
      </c>
      <c r="H183" s="11">
        <f t="shared" si="15"/>
        <v>-3.8225845663478766E-2</v>
      </c>
    </row>
    <row r="184" spans="1:8">
      <c r="A184" s="65">
        <v>44854</v>
      </c>
      <c r="B184" s="11">
        <v>27.871468</v>
      </c>
      <c r="C184" s="11">
        <v>358.294128</v>
      </c>
      <c r="D184">
        <v>42.384681999999998</v>
      </c>
      <c r="F184" s="11">
        <f t="shared" si="14"/>
        <v>9.8640440232603613E-3</v>
      </c>
      <c r="G184" s="11">
        <f t="shared" si="14"/>
        <v>-8.3854026016403089E-3</v>
      </c>
      <c r="H184" s="11">
        <f t="shared" si="15"/>
        <v>5.0503536731978235E-3</v>
      </c>
    </row>
    <row r="185" spans="1:8">
      <c r="A185" s="65">
        <v>44855</v>
      </c>
      <c r="B185" s="11">
        <v>28.209413999999999</v>
      </c>
      <c r="C185" s="11">
        <v>367.00122099999999</v>
      </c>
      <c r="D185">
        <v>42.977345</v>
      </c>
      <c r="F185" s="11">
        <f t="shared" si="14"/>
        <v>1.2125159679425524E-2</v>
      </c>
      <c r="G185" s="11">
        <f t="shared" si="14"/>
        <v>2.4301523021331754E-2</v>
      </c>
      <c r="H185" s="11">
        <f t="shared" si="15"/>
        <v>1.3982952614814987E-2</v>
      </c>
    </row>
    <row r="186" spans="1:8">
      <c r="A186" s="65">
        <v>44858</v>
      </c>
      <c r="B186" s="11">
        <v>28.059214000000001</v>
      </c>
      <c r="C186" s="11">
        <v>371.49200400000001</v>
      </c>
      <c r="D186">
        <v>42.551375999999998</v>
      </c>
      <c r="F186" s="11">
        <f t="shared" si="14"/>
        <v>-5.3244636701775556E-3</v>
      </c>
      <c r="G186" s="11">
        <f t="shared" si="14"/>
        <v>1.2236425229767893E-2</v>
      </c>
      <c r="H186" s="11">
        <f t="shared" si="15"/>
        <v>-9.9114777797465626E-3</v>
      </c>
    </row>
    <row r="187" spans="1:8">
      <c r="A187" s="65">
        <v>44859</v>
      </c>
      <c r="B187" s="11">
        <v>28.857153</v>
      </c>
      <c r="C187" s="11">
        <v>377.424194</v>
      </c>
      <c r="D187">
        <v>44.125633000000001</v>
      </c>
      <c r="F187" s="11">
        <f t="shared" si="14"/>
        <v>2.8437681825299863E-2</v>
      </c>
      <c r="G187" s="11">
        <f t="shared" si="14"/>
        <v>1.5968553659636751E-2</v>
      </c>
      <c r="H187" s="11">
        <f t="shared" si="15"/>
        <v>3.6996617923707169E-2</v>
      </c>
    </row>
    <row r="188" spans="1:8">
      <c r="A188" s="65">
        <v>44860</v>
      </c>
      <c r="B188" s="11">
        <v>28.782050999999999</v>
      </c>
      <c r="C188" s="11">
        <v>374.58065800000003</v>
      </c>
      <c r="D188">
        <v>44.097850999999999</v>
      </c>
      <c r="F188" s="11">
        <f t="shared" si="14"/>
        <v>-2.6025436397000465E-3</v>
      </c>
      <c r="G188" s="11">
        <f t="shared" si="14"/>
        <v>-7.5340586141649729E-3</v>
      </c>
      <c r="H188" s="11">
        <f t="shared" si="15"/>
        <v>-6.2961136444211394E-4</v>
      </c>
    </row>
    <row r="189" spans="1:8">
      <c r="A189" s="65">
        <v>44861</v>
      </c>
      <c r="B189" s="11">
        <v>29.091840999999999</v>
      </c>
      <c r="C189" s="11">
        <v>372.58038299999998</v>
      </c>
      <c r="D189">
        <v>44.329357000000002</v>
      </c>
      <c r="F189" s="11">
        <f t="shared" si="14"/>
        <v>1.0763305227970013E-2</v>
      </c>
      <c r="G189" s="11">
        <f t="shared" si="14"/>
        <v>-5.340038139395987E-3</v>
      </c>
      <c r="H189" s="11">
        <f t="shared" si="15"/>
        <v>5.2498249858026662E-3</v>
      </c>
    </row>
    <row r="190" spans="1:8">
      <c r="A190" s="65">
        <v>44862</v>
      </c>
      <c r="B190" s="11">
        <v>30.162013999999999</v>
      </c>
      <c r="C190" s="11">
        <v>381.44433600000002</v>
      </c>
      <c r="D190">
        <v>46.255524000000001</v>
      </c>
      <c r="F190" s="11">
        <f t="shared" si="14"/>
        <v>3.678601845788998E-2</v>
      </c>
      <c r="G190" s="11">
        <f t="shared" si="14"/>
        <v>2.3790713103647321E-2</v>
      </c>
      <c r="H190" s="11">
        <f t="shared" si="15"/>
        <v>4.3451273159680601E-2</v>
      </c>
    </row>
    <row r="191" spans="1:8">
      <c r="A191" s="65">
        <v>44865</v>
      </c>
      <c r="B191" s="11">
        <v>30.058751999999998</v>
      </c>
      <c r="C191" s="11">
        <v>378.68905599999999</v>
      </c>
      <c r="D191">
        <v>46.412941000000004</v>
      </c>
      <c r="F191" s="11">
        <f t="shared" si="14"/>
        <v>-3.4235777491516601E-3</v>
      </c>
      <c r="G191" s="11">
        <f t="shared" si="14"/>
        <v>-7.2232819836654423E-3</v>
      </c>
      <c r="H191" s="11">
        <f t="shared" si="15"/>
        <v>3.4032043394428384E-3</v>
      </c>
    </row>
    <row r="192" spans="1:8">
      <c r="A192" s="65">
        <v>44866</v>
      </c>
      <c r="B192" s="11">
        <v>30.697102000000001</v>
      </c>
      <c r="C192" s="11">
        <v>377.03198200000003</v>
      </c>
      <c r="D192">
        <v>47.329715999999998</v>
      </c>
      <c r="F192" s="11">
        <f t="shared" si="14"/>
        <v>2.1236743295263979E-2</v>
      </c>
      <c r="G192" s="11">
        <f t="shared" si="14"/>
        <v>-4.3758169763426329E-3</v>
      </c>
      <c r="H192" s="11">
        <f t="shared" si="15"/>
        <v>1.9752572886945347E-2</v>
      </c>
    </row>
    <row r="193" spans="1:8">
      <c r="A193" s="65">
        <v>44867</v>
      </c>
      <c r="B193" s="11">
        <v>30.049361999999999</v>
      </c>
      <c r="C193" s="11">
        <v>367.569885</v>
      </c>
      <c r="D193">
        <v>46.422203000000003</v>
      </c>
      <c r="F193" s="11">
        <f t="shared" si="14"/>
        <v>-2.1101014682102643E-2</v>
      </c>
      <c r="G193" s="11">
        <f t="shared" si="14"/>
        <v>-2.5096271541229696E-2</v>
      </c>
      <c r="H193" s="11">
        <f t="shared" si="15"/>
        <v>-1.9174275205876886E-2</v>
      </c>
    </row>
    <row r="194" spans="1:8">
      <c r="A194" s="65">
        <v>44868</v>
      </c>
      <c r="B194" s="11">
        <v>30.030588000000002</v>
      </c>
      <c r="C194" s="11">
        <v>363.78506499999997</v>
      </c>
      <c r="D194">
        <v>46.135131999999999</v>
      </c>
      <c r="F194" s="11">
        <f t="shared" si="14"/>
        <v>-6.2477200015085047E-4</v>
      </c>
      <c r="G194" s="11">
        <f t="shared" si="14"/>
        <v>-1.0296871845200334E-2</v>
      </c>
      <c r="H194" s="11">
        <f t="shared" si="15"/>
        <v>-6.1839159162697319E-3</v>
      </c>
    </row>
    <row r="195" spans="1:8">
      <c r="A195" s="65">
        <v>44869</v>
      </c>
      <c r="B195" s="11">
        <v>29.50489</v>
      </c>
      <c r="C195" s="11">
        <v>369.021118</v>
      </c>
      <c r="D195">
        <v>46.292557000000002</v>
      </c>
      <c r="F195" s="11">
        <f t="shared" si="14"/>
        <v>-1.7505418142328814E-2</v>
      </c>
      <c r="G195" s="11">
        <f t="shared" si="14"/>
        <v>1.4393259932207572E-2</v>
      </c>
      <c r="H195" s="11">
        <f t="shared" si="15"/>
        <v>3.412258579860647E-3</v>
      </c>
    </row>
    <row r="196" spans="1:8">
      <c r="A196" s="65">
        <v>44872</v>
      </c>
      <c r="B196" s="11">
        <v>29.852226000000002</v>
      </c>
      <c r="C196" s="11">
        <v>372.55096400000002</v>
      </c>
      <c r="D196">
        <v>46.718536</v>
      </c>
      <c r="F196" s="11">
        <f t="shared" ref="F196:G259" si="16">(B196-B195)/B195</f>
        <v>1.1772150311355239E-2</v>
      </c>
      <c r="G196" s="11">
        <f t="shared" si="16"/>
        <v>9.5654308868036667E-3</v>
      </c>
      <c r="H196" s="11">
        <f t="shared" ref="H196:H259" si="17">(D196-D195)/D195</f>
        <v>9.2018896255827501E-3</v>
      </c>
    </row>
    <row r="197" spans="1:8">
      <c r="A197" s="65">
        <v>44873</v>
      </c>
      <c r="B197" s="11">
        <v>29.833454</v>
      </c>
      <c r="C197" s="11">
        <v>374.561035</v>
      </c>
      <c r="D197">
        <v>46.274039999999999</v>
      </c>
      <c r="F197" s="11">
        <f t="shared" si="16"/>
        <v>-6.2883082822708125E-4</v>
      </c>
      <c r="G197" s="11">
        <f t="shared" si="16"/>
        <v>5.39542557726406E-3</v>
      </c>
      <c r="H197" s="11">
        <f t="shared" si="17"/>
        <v>-9.5143392335753172E-3</v>
      </c>
    </row>
    <row r="198" spans="1:8">
      <c r="A198" s="65">
        <v>44874</v>
      </c>
      <c r="B198" s="11">
        <v>29.598763999999999</v>
      </c>
      <c r="C198" s="11">
        <v>366.84433000000001</v>
      </c>
      <c r="D198">
        <v>46.348121999999996</v>
      </c>
      <c r="F198" s="11">
        <f t="shared" si="16"/>
        <v>-7.8666720923430619E-3</v>
      </c>
      <c r="G198" s="11">
        <f t="shared" si="16"/>
        <v>-2.0601996147303445E-2</v>
      </c>
      <c r="H198" s="11">
        <f t="shared" si="17"/>
        <v>1.6009408298907357E-3</v>
      </c>
    </row>
    <row r="199" spans="1:8">
      <c r="A199" s="65">
        <v>44875</v>
      </c>
      <c r="B199" s="11">
        <v>30.622001999999998</v>
      </c>
      <c r="C199" s="11">
        <v>387.00390599999997</v>
      </c>
      <c r="D199">
        <v>47.561225999999998</v>
      </c>
      <c r="F199" s="11">
        <f t="shared" si="16"/>
        <v>3.4570294894746258E-2</v>
      </c>
      <c r="G199" s="11">
        <f t="shared" si="16"/>
        <v>5.4954034590094271E-2</v>
      </c>
      <c r="H199" s="11">
        <f t="shared" si="17"/>
        <v>2.6173746586754938E-2</v>
      </c>
    </row>
    <row r="200" spans="1:8">
      <c r="A200" s="65">
        <v>44876</v>
      </c>
      <c r="B200" s="11">
        <v>30.162013999999999</v>
      </c>
      <c r="C200" s="11">
        <v>390.749573</v>
      </c>
      <c r="D200">
        <v>46.764834999999998</v>
      </c>
      <c r="F200" s="11">
        <f t="shared" si="16"/>
        <v>-1.5021486838123752E-2</v>
      </c>
      <c r="G200" s="11">
        <f t="shared" si="16"/>
        <v>9.6786284115696394E-3</v>
      </c>
      <c r="H200" s="11">
        <f t="shared" si="17"/>
        <v>-1.6744543128471918E-2</v>
      </c>
    </row>
    <row r="201" spans="1:8">
      <c r="A201" s="65">
        <v>44879</v>
      </c>
      <c r="B201" s="11">
        <v>29.711411999999999</v>
      </c>
      <c r="C201" s="11">
        <v>387.42553700000002</v>
      </c>
      <c r="D201">
        <v>46.024009999999997</v>
      </c>
      <c r="F201" s="11">
        <f t="shared" si="16"/>
        <v>-1.4939387005125055E-2</v>
      </c>
      <c r="G201" s="11">
        <f t="shared" si="16"/>
        <v>-8.5068192768056536E-3</v>
      </c>
      <c r="H201" s="11">
        <f t="shared" si="17"/>
        <v>-1.5841497142029926E-2</v>
      </c>
    </row>
    <row r="202" spans="1:8">
      <c r="A202" s="65">
        <v>44880</v>
      </c>
      <c r="B202" s="11">
        <v>29.899162</v>
      </c>
      <c r="C202" s="11">
        <v>390.72988900000001</v>
      </c>
      <c r="D202">
        <v>45.672111999999998</v>
      </c>
      <c r="F202" s="11">
        <f t="shared" si="16"/>
        <v>6.3191207472738488E-3</v>
      </c>
      <c r="G202" s="11">
        <f t="shared" si="16"/>
        <v>8.5289989544493922E-3</v>
      </c>
      <c r="H202" s="11">
        <f t="shared" si="17"/>
        <v>-7.6459656600978169E-3</v>
      </c>
    </row>
    <row r="203" spans="1:8">
      <c r="A203" s="65">
        <v>44881</v>
      </c>
      <c r="B203" s="11">
        <v>29.711411999999999</v>
      </c>
      <c r="C203" s="11">
        <v>387.74911500000002</v>
      </c>
      <c r="D203">
        <v>45.820278000000002</v>
      </c>
      <c r="F203" s="11">
        <f t="shared" si="16"/>
        <v>-6.2794402063844198E-3</v>
      </c>
      <c r="G203" s="11">
        <f t="shared" si="16"/>
        <v>-7.6287330043491924E-3</v>
      </c>
      <c r="H203" s="11">
        <f t="shared" si="17"/>
        <v>3.2441241167039388E-3</v>
      </c>
    </row>
    <row r="204" spans="1:8">
      <c r="A204" s="65">
        <v>44882</v>
      </c>
      <c r="B204" s="11">
        <v>29.870999999999999</v>
      </c>
      <c r="C204" s="11">
        <v>386.56268299999999</v>
      </c>
      <c r="D204">
        <v>45.783237</v>
      </c>
      <c r="F204" s="11">
        <f t="shared" si="16"/>
        <v>5.3712694637333093E-3</v>
      </c>
      <c r="G204" s="11">
        <f t="shared" si="16"/>
        <v>-3.0597929282186105E-3</v>
      </c>
      <c r="H204" s="11">
        <f t="shared" si="17"/>
        <v>-8.083975396221319E-4</v>
      </c>
    </row>
    <row r="205" spans="1:8">
      <c r="A205" s="65">
        <v>44883</v>
      </c>
      <c r="B205" s="11">
        <v>30.321601999999999</v>
      </c>
      <c r="C205" s="11">
        <v>388.31781000000001</v>
      </c>
      <c r="D205">
        <v>46.431460999999999</v>
      </c>
      <c r="F205" s="11">
        <f t="shared" si="16"/>
        <v>1.5084931873723678E-2</v>
      </c>
      <c r="G205" s="11">
        <f t="shared" si="16"/>
        <v>4.5403425555177448E-3</v>
      </c>
      <c r="H205" s="11">
        <f t="shared" si="17"/>
        <v>1.4158544534542173E-2</v>
      </c>
    </row>
    <row r="206" spans="1:8">
      <c r="A206" s="65">
        <v>44886</v>
      </c>
      <c r="B206" s="11">
        <v>30.668935999999999</v>
      </c>
      <c r="C206" s="11">
        <v>386.90588400000001</v>
      </c>
      <c r="D206">
        <v>46.764834999999998</v>
      </c>
      <c r="F206" s="11">
        <f t="shared" si="16"/>
        <v>1.1455001618977785E-2</v>
      </c>
      <c r="G206" s="11">
        <f t="shared" si="16"/>
        <v>-3.6360062908265627E-3</v>
      </c>
      <c r="H206" s="11">
        <f t="shared" si="17"/>
        <v>7.1799162210295121E-3</v>
      </c>
    </row>
    <row r="207" spans="1:8">
      <c r="A207" s="65">
        <v>44887</v>
      </c>
      <c r="B207" s="11">
        <v>31.194638999999999</v>
      </c>
      <c r="C207" s="11">
        <v>392.11248799999998</v>
      </c>
      <c r="D207">
        <v>47.376018999999999</v>
      </c>
      <c r="F207" s="11">
        <f t="shared" si="16"/>
        <v>1.7141220680104458E-2</v>
      </c>
      <c r="G207" s="11">
        <f t="shared" si="16"/>
        <v>1.3457029772129208E-2</v>
      </c>
      <c r="H207" s="11">
        <f t="shared" si="17"/>
        <v>1.3069307311786764E-2</v>
      </c>
    </row>
    <row r="208" spans="1:8">
      <c r="A208" s="65">
        <v>44888</v>
      </c>
      <c r="B208" s="11">
        <v>31.185255000000002</v>
      </c>
      <c r="C208" s="11">
        <v>394.58340500000003</v>
      </c>
      <c r="D208">
        <v>47.413063000000001</v>
      </c>
      <c r="F208" s="11">
        <f t="shared" si="16"/>
        <v>-3.0082091990220414E-4</v>
      </c>
      <c r="G208" s="11">
        <f t="shared" si="16"/>
        <v>6.3015514058303666E-3</v>
      </c>
      <c r="H208" s="11">
        <f t="shared" si="17"/>
        <v>7.819145800326032E-4</v>
      </c>
    </row>
    <row r="209" spans="1:8">
      <c r="A209" s="65">
        <v>44890</v>
      </c>
      <c r="B209" s="11">
        <v>31.316676999999999</v>
      </c>
      <c r="C209" s="11">
        <v>394.49514799999997</v>
      </c>
      <c r="D209">
        <v>47.477882000000001</v>
      </c>
      <c r="F209" s="11">
        <f t="shared" si="16"/>
        <v>4.2142352211003899E-3</v>
      </c>
      <c r="G209" s="11">
        <f t="shared" si="16"/>
        <v>-2.236713426913013E-4</v>
      </c>
      <c r="H209" s="11">
        <f t="shared" si="17"/>
        <v>1.3671126879105018E-3</v>
      </c>
    </row>
    <row r="210" spans="1:8">
      <c r="A210" s="65">
        <v>44893</v>
      </c>
      <c r="B210" s="11">
        <v>31.204031000000001</v>
      </c>
      <c r="C210" s="11">
        <v>388.20016500000003</v>
      </c>
      <c r="D210">
        <v>47.200073000000003</v>
      </c>
      <c r="F210" s="11">
        <f t="shared" si="16"/>
        <v>-3.5969972165309249E-3</v>
      </c>
      <c r="G210" s="11">
        <f t="shared" si="16"/>
        <v>-1.5957060642986527E-2</v>
      </c>
      <c r="H210" s="11">
        <f t="shared" si="17"/>
        <v>-5.8513351543356068E-3</v>
      </c>
    </row>
    <row r="211" spans="1:8">
      <c r="A211" s="65">
        <v>44894</v>
      </c>
      <c r="B211" s="11">
        <v>31.607685</v>
      </c>
      <c r="C211" s="11">
        <v>387.53341699999999</v>
      </c>
      <c r="D211">
        <v>47.755695000000003</v>
      </c>
      <c r="F211" s="11">
        <f t="shared" si="16"/>
        <v>1.2935956896081775E-2</v>
      </c>
      <c r="G211" s="11">
        <f t="shared" si="16"/>
        <v>-1.7175366218611498E-3</v>
      </c>
      <c r="H211" s="11">
        <f t="shared" si="17"/>
        <v>1.1771634336243496E-2</v>
      </c>
    </row>
    <row r="212" spans="1:8">
      <c r="A212" s="65">
        <v>44895</v>
      </c>
      <c r="B212" s="11">
        <v>32.105224999999997</v>
      </c>
      <c r="C212" s="11">
        <v>399.74096700000001</v>
      </c>
      <c r="D212">
        <v>48.718777000000003</v>
      </c>
      <c r="F212" s="11">
        <f t="shared" si="16"/>
        <v>1.5741108531042283E-2</v>
      </c>
      <c r="G212" s="11">
        <f t="shared" si="16"/>
        <v>3.1500638304954295E-2</v>
      </c>
      <c r="H212" s="11">
        <f t="shared" si="17"/>
        <v>2.0166851304331344E-2</v>
      </c>
    </row>
    <row r="213" spans="1:8">
      <c r="A213" s="65">
        <v>44896</v>
      </c>
      <c r="B213" s="11">
        <v>31.786051</v>
      </c>
      <c r="C213" s="11">
        <v>399.44680799999998</v>
      </c>
      <c r="D213">
        <v>48.829903000000002</v>
      </c>
      <c r="F213" s="11">
        <f t="shared" si="16"/>
        <v>-9.9414970616152586E-3</v>
      </c>
      <c r="G213" s="11">
        <f t="shared" si="16"/>
        <v>-7.3587403915004797E-4</v>
      </c>
      <c r="H213" s="11">
        <f t="shared" si="17"/>
        <v>2.2809685883534948E-3</v>
      </c>
    </row>
    <row r="214" spans="1:8">
      <c r="A214" s="65">
        <v>44897</v>
      </c>
      <c r="B214" s="11">
        <v>31.945640999999998</v>
      </c>
      <c r="C214" s="11">
        <v>398.98593099999999</v>
      </c>
      <c r="D214">
        <v>49.172530999999999</v>
      </c>
      <c r="F214" s="11">
        <f t="shared" si="16"/>
        <v>5.0207558026002632E-3</v>
      </c>
      <c r="G214" s="11">
        <f t="shared" si="16"/>
        <v>-1.1537881659577118E-3</v>
      </c>
      <c r="H214" s="11">
        <f t="shared" si="17"/>
        <v>7.0167659354145699E-3</v>
      </c>
    </row>
    <row r="215" spans="1:8">
      <c r="A215" s="65">
        <v>44900</v>
      </c>
      <c r="B215" s="11">
        <v>31.260346999999999</v>
      </c>
      <c r="C215" s="11">
        <v>391.80850199999998</v>
      </c>
      <c r="D215">
        <v>48.487259000000002</v>
      </c>
      <c r="F215" s="11">
        <f t="shared" si="16"/>
        <v>-2.1451878207734164E-2</v>
      </c>
      <c r="G215" s="11">
        <f t="shared" si="16"/>
        <v>-1.7989178169793705E-2</v>
      </c>
      <c r="H215" s="11">
        <f t="shared" si="17"/>
        <v>-1.3936073373973727E-2</v>
      </c>
    </row>
    <row r="216" spans="1:8">
      <c r="A216" s="65">
        <v>44901</v>
      </c>
      <c r="B216" s="11">
        <v>31.485655000000001</v>
      </c>
      <c r="C216" s="11">
        <v>386.16067500000003</v>
      </c>
      <c r="D216">
        <v>48.524307</v>
      </c>
      <c r="F216" s="11">
        <f t="shared" si="16"/>
        <v>7.2074695779929072E-3</v>
      </c>
      <c r="G216" s="11">
        <f t="shared" si="16"/>
        <v>-1.4414763771511905E-2</v>
      </c>
      <c r="H216" s="11">
        <f t="shared" si="17"/>
        <v>7.6407701247865206E-4</v>
      </c>
    </row>
    <row r="217" spans="1:8">
      <c r="A217" s="65">
        <v>44902</v>
      </c>
      <c r="B217" s="11">
        <v>31.664014999999999</v>
      </c>
      <c r="C217" s="11">
        <v>385.503693</v>
      </c>
      <c r="D217">
        <v>48.107590000000002</v>
      </c>
      <c r="F217" s="11">
        <f t="shared" si="16"/>
        <v>5.6648019550489849E-3</v>
      </c>
      <c r="G217" s="11">
        <f t="shared" si="16"/>
        <v>-1.7013177222150538E-3</v>
      </c>
      <c r="H217" s="11">
        <f t="shared" si="17"/>
        <v>-8.5877991003560014E-3</v>
      </c>
    </row>
    <row r="218" spans="1:8">
      <c r="A218" s="65">
        <v>44903</v>
      </c>
      <c r="B218" s="11">
        <v>31.617076999999998</v>
      </c>
      <c r="C218" s="11">
        <v>388.52374300000002</v>
      </c>
      <c r="D218">
        <v>48.760035999999999</v>
      </c>
      <c r="F218" s="11">
        <f t="shared" si="16"/>
        <v>-1.4823767611277601E-3</v>
      </c>
      <c r="G218" s="11">
        <f t="shared" si="16"/>
        <v>7.8340364952094663E-3</v>
      </c>
      <c r="H218" s="11">
        <f t="shared" si="17"/>
        <v>1.3562225835881564E-2</v>
      </c>
    </row>
    <row r="219" spans="1:8">
      <c r="A219" s="65">
        <v>44904</v>
      </c>
      <c r="B219" s="11">
        <v>31.851765</v>
      </c>
      <c r="C219" s="11">
        <v>385.621399</v>
      </c>
      <c r="D219">
        <v>48.910240000000002</v>
      </c>
      <c r="F219" s="11">
        <f t="shared" si="16"/>
        <v>7.4228240643498455E-3</v>
      </c>
      <c r="G219" s="11">
        <f t="shared" si="16"/>
        <v>-7.470184389735038E-3</v>
      </c>
      <c r="H219" s="11">
        <f t="shared" si="17"/>
        <v>3.08047352549129E-3</v>
      </c>
    </row>
    <row r="220" spans="1:8">
      <c r="A220" s="65">
        <v>44907</v>
      </c>
      <c r="B220" s="11">
        <v>31.992577000000001</v>
      </c>
      <c r="C220" s="11">
        <v>391.180969</v>
      </c>
      <c r="D220">
        <v>48.591056999999999</v>
      </c>
      <c r="F220" s="11">
        <f t="shared" si="16"/>
        <v>4.420853915002838E-3</v>
      </c>
      <c r="G220" s="11">
        <f t="shared" si="16"/>
        <v>1.4417171905960561E-2</v>
      </c>
      <c r="H220" s="11">
        <f t="shared" si="17"/>
        <v>-6.5258931463023371E-3</v>
      </c>
    </row>
    <row r="221" spans="1:8">
      <c r="A221" s="65">
        <v>44908</v>
      </c>
      <c r="B221" s="11">
        <v>32.283585000000002</v>
      </c>
      <c r="C221" s="11">
        <v>394.14215100000001</v>
      </c>
      <c r="D221">
        <v>49.454731000000002</v>
      </c>
      <c r="F221" s="11">
        <f t="shared" si="16"/>
        <v>9.0961100132696867E-3</v>
      </c>
      <c r="G221" s="11">
        <f t="shared" si="16"/>
        <v>7.5698518963482802E-3</v>
      </c>
      <c r="H221" s="11">
        <f t="shared" si="17"/>
        <v>1.7774340656964989E-2</v>
      </c>
    </row>
    <row r="222" spans="1:8">
      <c r="A222" s="65">
        <v>44909</v>
      </c>
      <c r="B222" s="11">
        <v>32.095840000000003</v>
      </c>
      <c r="C222" s="11">
        <v>391.622253</v>
      </c>
      <c r="D222">
        <v>49.351467</v>
      </c>
      <c r="F222" s="11">
        <f t="shared" si="16"/>
        <v>-5.815494159028484E-3</v>
      </c>
      <c r="G222" s="11">
        <f t="shared" si="16"/>
        <v>-6.393373542024466E-3</v>
      </c>
      <c r="H222" s="11">
        <f t="shared" si="17"/>
        <v>-2.0880509894999309E-3</v>
      </c>
    </row>
    <row r="223" spans="1:8">
      <c r="A223" s="65">
        <v>44910</v>
      </c>
      <c r="B223" s="11">
        <v>31.870539000000001</v>
      </c>
      <c r="C223" s="11">
        <v>382.04244999999997</v>
      </c>
      <c r="D223">
        <v>49.773913999999998</v>
      </c>
      <c r="F223" s="11">
        <f t="shared" si="16"/>
        <v>-7.0196324508098786E-3</v>
      </c>
      <c r="G223" s="11">
        <f t="shared" si="16"/>
        <v>-2.4461845379353423E-2</v>
      </c>
      <c r="H223" s="11">
        <f t="shared" si="17"/>
        <v>8.5599684402491664E-3</v>
      </c>
    </row>
    <row r="224" spans="1:8">
      <c r="A224" s="65">
        <v>44911</v>
      </c>
      <c r="B224" s="11">
        <v>31.297896999999999</v>
      </c>
      <c r="C224" s="11">
        <v>377.53201300000001</v>
      </c>
      <c r="D224">
        <v>49.116776000000002</v>
      </c>
      <c r="F224" s="11">
        <f t="shared" si="16"/>
        <v>-1.7967753855684769E-2</v>
      </c>
      <c r="G224" s="11">
        <f t="shared" si="16"/>
        <v>-1.1806114739343673E-2</v>
      </c>
      <c r="H224" s="11">
        <f t="shared" si="17"/>
        <v>-1.3202457817562754E-2</v>
      </c>
    </row>
    <row r="225" spans="1:8">
      <c r="A225" s="65">
        <v>44914</v>
      </c>
      <c r="B225" s="11">
        <v>31.053826999999998</v>
      </c>
      <c r="C225" s="11">
        <v>374.33065800000003</v>
      </c>
      <c r="D225">
        <v>48.553505000000001</v>
      </c>
      <c r="F225" s="11">
        <f t="shared" si="16"/>
        <v>-7.7982875335042695E-3</v>
      </c>
      <c r="G225" s="11">
        <f t="shared" si="16"/>
        <v>-8.4796914957248355E-3</v>
      </c>
      <c r="H225" s="11">
        <f t="shared" si="17"/>
        <v>-1.1467996189326439E-2</v>
      </c>
    </row>
    <row r="226" spans="1:8">
      <c r="A226" s="65">
        <v>44915</v>
      </c>
      <c r="B226" s="11">
        <v>31.091373000000001</v>
      </c>
      <c r="C226" s="11">
        <v>374.842896</v>
      </c>
      <c r="D226">
        <v>48.882080000000002</v>
      </c>
      <c r="F226" s="11">
        <f t="shared" si="16"/>
        <v>1.2090619297905705E-3</v>
      </c>
      <c r="G226" s="11">
        <f t="shared" si="16"/>
        <v>1.368410492308562E-3</v>
      </c>
      <c r="H226" s="11">
        <f t="shared" si="17"/>
        <v>6.7672766363623127E-3</v>
      </c>
    </row>
    <row r="227" spans="1:8">
      <c r="A227" s="65">
        <v>44916</v>
      </c>
      <c r="B227" s="11">
        <v>31.138871999999999</v>
      </c>
      <c r="C227" s="11">
        <v>380.447723</v>
      </c>
      <c r="D227">
        <v>49.013503999999998</v>
      </c>
      <c r="F227" s="11">
        <f t="shared" si="16"/>
        <v>1.5277228188024506E-3</v>
      </c>
      <c r="G227" s="11">
        <f t="shared" si="16"/>
        <v>1.4952469580749372E-2</v>
      </c>
      <c r="H227" s="11">
        <f t="shared" si="17"/>
        <v>2.688592629446119E-3</v>
      </c>
    </row>
    <row r="228" spans="1:8">
      <c r="A228" s="65">
        <v>44917</v>
      </c>
      <c r="B228" s="11">
        <v>30.597408000000001</v>
      </c>
      <c r="C228" s="11">
        <v>375.02023300000002</v>
      </c>
      <c r="D228">
        <v>48.713099999999997</v>
      </c>
      <c r="F228" s="11">
        <f t="shared" si="16"/>
        <v>-1.7388683829009533E-2</v>
      </c>
      <c r="G228" s="11">
        <f t="shared" si="16"/>
        <v>-1.4266059886498461E-2</v>
      </c>
      <c r="H228" s="11">
        <f t="shared" si="17"/>
        <v>-6.1290047738680412E-3</v>
      </c>
    </row>
    <row r="229" spans="1:8">
      <c r="A229" s="65">
        <v>44918</v>
      </c>
      <c r="B229" s="11">
        <v>31.034378</v>
      </c>
      <c r="C229" s="11">
        <v>377.17739899999998</v>
      </c>
      <c r="D229">
        <v>49.248202999999997</v>
      </c>
      <c r="F229" s="11">
        <f t="shared" si="16"/>
        <v>1.4281275067482798E-2</v>
      </c>
      <c r="G229" s="11">
        <f t="shared" si="16"/>
        <v>5.7521323122850304E-3</v>
      </c>
      <c r="H229" s="11">
        <f t="shared" si="17"/>
        <v>1.0984786433218159E-2</v>
      </c>
    </row>
    <row r="230" spans="1:8">
      <c r="A230" s="65">
        <v>44922</v>
      </c>
      <c r="B230" s="11">
        <v>31.081879000000001</v>
      </c>
      <c r="C230" s="11">
        <v>375.69003300000003</v>
      </c>
      <c r="D230">
        <v>49.041676000000002</v>
      </c>
      <c r="F230" s="11">
        <f t="shared" si="16"/>
        <v>1.5305929443793092E-3</v>
      </c>
      <c r="G230" s="11">
        <f t="shared" si="16"/>
        <v>-3.9434123145855619E-3</v>
      </c>
      <c r="H230" s="11">
        <f t="shared" si="17"/>
        <v>-4.1935946373514209E-3</v>
      </c>
    </row>
    <row r="231" spans="1:8">
      <c r="A231" s="65">
        <v>44923</v>
      </c>
      <c r="B231" s="11">
        <v>30.578410999999999</v>
      </c>
      <c r="C231" s="11">
        <v>371.02099600000003</v>
      </c>
      <c r="D231">
        <v>48.562897</v>
      </c>
      <c r="F231" s="11">
        <f t="shared" si="16"/>
        <v>-1.6198119811225105E-2</v>
      </c>
      <c r="G231" s="11">
        <f t="shared" si="16"/>
        <v>-1.2427896909365181E-2</v>
      </c>
      <c r="H231" s="11">
        <f t="shared" si="17"/>
        <v>-9.7626965277451561E-3</v>
      </c>
    </row>
    <row r="232" spans="1:8">
      <c r="A232" s="65">
        <v>44924</v>
      </c>
      <c r="B232" s="11">
        <v>30.787396999999999</v>
      </c>
      <c r="C232" s="11">
        <v>377.69946299999998</v>
      </c>
      <c r="D232">
        <v>48.844532000000001</v>
      </c>
      <c r="F232" s="11">
        <f t="shared" si="16"/>
        <v>6.834429689626431E-3</v>
      </c>
      <c r="G232" s="11">
        <f t="shared" si="16"/>
        <v>1.8000240072666818E-2</v>
      </c>
      <c r="H232" s="11">
        <f t="shared" si="17"/>
        <v>5.7993863092640745E-3</v>
      </c>
    </row>
    <row r="233" spans="1:8">
      <c r="A233" s="65">
        <v>44925</v>
      </c>
      <c r="B233" s="11">
        <v>30.777899000000001</v>
      </c>
      <c r="C233" s="11">
        <v>376.70459</v>
      </c>
      <c r="D233">
        <v>48.900855999999997</v>
      </c>
      <c r="F233" s="11">
        <f t="shared" si="16"/>
        <v>-3.0850285914061265E-4</v>
      </c>
      <c r="G233" s="11">
        <f t="shared" si="16"/>
        <v>-2.6340333981358724E-3</v>
      </c>
      <c r="H233" s="11">
        <f t="shared" si="17"/>
        <v>1.1531280512626569E-3</v>
      </c>
    </row>
    <row r="234" spans="1:8">
      <c r="A234" s="65">
        <v>44929</v>
      </c>
      <c r="B234" s="11">
        <v>30.160440000000001</v>
      </c>
      <c r="C234" s="11">
        <v>375.11874399999999</v>
      </c>
      <c r="D234">
        <v>48.055950000000003</v>
      </c>
      <c r="F234" s="11">
        <f t="shared" si="16"/>
        <v>-2.0061765749507469E-2</v>
      </c>
      <c r="G234" s="11">
        <f t="shared" si="16"/>
        <v>-4.2097867721760532E-3</v>
      </c>
      <c r="H234" s="11">
        <f t="shared" si="17"/>
        <v>-1.7277938856530336E-2</v>
      </c>
    </row>
    <row r="235" spans="1:8">
      <c r="A235" s="65">
        <v>44930</v>
      </c>
      <c r="B235" s="11">
        <v>30.350428000000001</v>
      </c>
      <c r="C235" s="11">
        <v>378.01470899999998</v>
      </c>
      <c r="D235">
        <v>47.821261999999997</v>
      </c>
      <c r="F235" s="11">
        <f t="shared" si="16"/>
        <v>6.2992449712271966E-3</v>
      </c>
      <c r="G235" s="11">
        <f t="shared" si="16"/>
        <v>7.7201287494180499E-3</v>
      </c>
      <c r="H235" s="11">
        <f t="shared" si="17"/>
        <v>-4.8836408394799299E-3</v>
      </c>
    </row>
    <row r="236" spans="1:8">
      <c r="A236" s="65">
        <v>44931</v>
      </c>
      <c r="B236" s="11">
        <v>29.894456999999999</v>
      </c>
      <c r="C236" s="11">
        <v>373.70025600000002</v>
      </c>
      <c r="D236">
        <v>46.769832999999998</v>
      </c>
      <c r="F236" s="11">
        <f t="shared" si="16"/>
        <v>-1.5023544313773817E-2</v>
      </c>
      <c r="G236" s="11">
        <f t="shared" si="16"/>
        <v>-1.1413452697154061E-2</v>
      </c>
      <c r="H236" s="11">
        <f t="shared" si="17"/>
        <v>-2.1986642677895012E-2</v>
      </c>
    </row>
    <row r="237" spans="1:8">
      <c r="A237" s="65">
        <v>44932</v>
      </c>
      <c r="B237" s="11">
        <v>30.207934999999999</v>
      </c>
      <c r="C237" s="11">
        <v>382.27001999999999</v>
      </c>
      <c r="D237">
        <v>47.464523</v>
      </c>
      <c r="F237" s="11">
        <f t="shared" si="16"/>
        <v>1.0486158019193991E-2</v>
      </c>
      <c r="G237" s="11">
        <f t="shared" si="16"/>
        <v>2.2932186591812138E-2</v>
      </c>
      <c r="H237" s="11">
        <f t="shared" si="17"/>
        <v>1.4853377817278102E-2</v>
      </c>
    </row>
    <row r="238" spans="1:8">
      <c r="A238" s="65">
        <v>44935</v>
      </c>
      <c r="B238" s="11">
        <v>30.378924999999999</v>
      </c>
      <c r="C238" s="11">
        <v>382.05328400000002</v>
      </c>
      <c r="D238">
        <v>47.727383000000003</v>
      </c>
      <c r="F238" s="11">
        <f t="shared" si="16"/>
        <v>5.6604332603337418E-3</v>
      </c>
      <c r="G238" s="11">
        <f t="shared" si="16"/>
        <v>-5.6697095942802149E-4</v>
      </c>
      <c r="H238" s="11">
        <f t="shared" si="17"/>
        <v>5.5380310047570356E-3</v>
      </c>
    </row>
    <row r="239" spans="1:8">
      <c r="A239" s="65">
        <v>44936</v>
      </c>
      <c r="B239" s="11">
        <v>30.758900000000001</v>
      </c>
      <c r="C239" s="11">
        <v>384.73254400000002</v>
      </c>
      <c r="D239">
        <v>48.009010000000004</v>
      </c>
      <c r="F239" s="11">
        <f t="shared" si="16"/>
        <v>1.2507848780034242E-2</v>
      </c>
      <c r="G239" s="11">
        <f t="shared" si="16"/>
        <v>7.0127914408923105E-3</v>
      </c>
      <c r="H239" s="11">
        <f t="shared" si="17"/>
        <v>5.9007425569510118E-3</v>
      </c>
    </row>
    <row r="240" spans="1:8">
      <c r="A240" s="65">
        <v>44937</v>
      </c>
      <c r="B240" s="11">
        <v>31.860828000000001</v>
      </c>
      <c r="C240" s="11">
        <v>389.59860200000003</v>
      </c>
      <c r="D240">
        <v>49.736362</v>
      </c>
      <c r="F240" s="11">
        <f t="shared" si="16"/>
        <v>3.5824688139042715E-2</v>
      </c>
      <c r="G240" s="11">
        <f t="shared" si="16"/>
        <v>1.2647898068118743E-2</v>
      </c>
      <c r="H240" s="11">
        <f t="shared" si="17"/>
        <v>3.5979746301787852E-2</v>
      </c>
    </row>
    <row r="241" spans="1:8">
      <c r="A241" s="65">
        <v>44938</v>
      </c>
      <c r="B241" s="11">
        <v>32.316794999999999</v>
      </c>
      <c r="C241" s="11">
        <v>391.01705900000002</v>
      </c>
      <c r="D241">
        <v>50.534325000000003</v>
      </c>
      <c r="F241" s="11">
        <f t="shared" si="16"/>
        <v>1.4311209991152695E-2</v>
      </c>
      <c r="G241" s="11">
        <f t="shared" si="16"/>
        <v>3.6408164524162983E-3</v>
      </c>
      <c r="H241" s="11">
        <f t="shared" si="17"/>
        <v>1.6043855398993657E-2</v>
      </c>
    </row>
    <row r="242" spans="1:8">
      <c r="A242" s="65">
        <v>44939</v>
      </c>
      <c r="B242" s="11">
        <v>31.490351</v>
      </c>
      <c r="C242" s="11">
        <v>392.53402699999998</v>
      </c>
      <c r="D242">
        <v>49.830241999999998</v>
      </c>
      <c r="F242" s="11">
        <f t="shared" si="16"/>
        <v>-2.5573204273505422E-2</v>
      </c>
      <c r="G242" s="11">
        <f t="shared" si="16"/>
        <v>3.8795442937438773E-3</v>
      </c>
      <c r="H242" s="11">
        <f t="shared" si="17"/>
        <v>-1.3932767480321627E-2</v>
      </c>
    </row>
    <row r="243" spans="1:8">
      <c r="A243" s="65">
        <v>44943</v>
      </c>
      <c r="B243" s="11">
        <v>31.946315999999999</v>
      </c>
      <c r="C243" s="11">
        <v>391.814911</v>
      </c>
      <c r="D243">
        <v>49.914729999999999</v>
      </c>
      <c r="F243" s="11">
        <f t="shared" si="16"/>
        <v>1.4479514693246799E-2</v>
      </c>
      <c r="G243" s="11">
        <f t="shared" si="16"/>
        <v>-1.8319838549945263E-3</v>
      </c>
      <c r="H243" s="11">
        <f t="shared" si="17"/>
        <v>1.6955165499698023E-3</v>
      </c>
    </row>
    <row r="244" spans="1:8">
      <c r="A244" s="65">
        <v>44944</v>
      </c>
      <c r="B244" s="11">
        <v>31.053377000000001</v>
      </c>
      <c r="C244" s="11">
        <v>385.62896699999999</v>
      </c>
      <c r="D244">
        <v>48.637996999999999</v>
      </c>
      <c r="F244" s="11">
        <f t="shared" si="16"/>
        <v>-2.7951235441357258E-2</v>
      </c>
      <c r="G244" s="11">
        <f t="shared" si="16"/>
        <v>-1.5787923905734171E-2</v>
      </c>
      <c r="H244" s="11">
        <f t="shared" si="17"/>
        <v>-2.5578281200759778E-2</v>
      </c>
    </row>
    <row r="245" spans="1:8">
      <c r="A245" s="65">
        <v>44945</v>
      </c>
      <c r="B245" s="11">
        <v>31.518847999999998</v>
      </c>
      <c r="C245" s="11">
        <v>382.82165500000002</v>
      </c>
      <c r="D245">
        <v>48.694316999999998</v>
      </c>
      <c r="F245" s="11">
        <f t="shared" si="16"/>
        <v>1.4989384246357403E-2</v>
      </c>
      <c r="G245" s="11">
        <f t="shared" si="16"/>
        <v>-7.2798265696673347E-3</v>
      </c>
      <c r="H245" s="11">
        <f t="shared" si="17"/>
        <v>1.1579424210252632E-3</v>
      </c>
    </row>
    <row r="246" spans="1:8">
      <c r="A246" s="65">
        <v>44946</v>
      </c>
      <c r="B246" s="11">
        <v>31.898823</v>
      </c>
      <c r="C246" s="11">
        <v>389.95324699999998</v>
      </c>
      <c r="D246">
        <v>49.00412</v>
      </c>
      <c r="F246" s="11">
        <f t="shared" si="16"/>
        <v>1.2055485022802919E-2</v>
      </c>
      <c r="G246" s="11">
        <f t="shared" si="16"/>
        <v>1.8629019301428899E-2</v>
      </c>
      <c r="H246" s="11">
        <f t="shared" si="17"/>
        <v>6.3622003364376643E-3</v>
      </c>
    </row>
    <row r="247" spans="1:8">
      <c r="A247" s="65">
        <v>44949</v>
      </c>
      <c r="B247" s="11">
        <v>31.955814</v>
      </c>
      <c r="C247" s="11">
        <v>394.63207999999997</v>
      </c>
      <c r="D247">
        <v>48.609833000000002</v>
      </c>
      <c r="F247" s="11">
        <f t="shared" si="16"/>
        <v>1.7866176441682508E-3</v>
      </c>
      <c r="G247" s="11">
        <f t="shared" si="16"/>
        <v>1.1998446059868294E-2</v>
      </c>
      <c r="H247" s="11">
        <f t="shared" si="17"/>
        <v>-8.0459969488279447E-3</v>
      </c>
    </row>
    <row r="248" spans="1:8">
      <c r="A248" s="65">
        <v>44950</v>
      </c>
      <c r="B248" s="11">
        <v>32.259796000000001</v>
      </c>
      <c r="C248" s="11">
        <v>394.20858800000002</v>
      </c>
      <c r="D248">
        <v>48.966571999999999</v>
      </c>
      <c r="F248" s="11">
        <f t="shared" si="16"/>
        <v>9.5125725791244536E-3</v>
      </c>
      <c r="G248" s="11">
        <f t="shared" si="16"/>
        <v>-1.0731312061603136E-3</v>
      </c>
      <c r="H248" s="11">
        <f t="shared" si="17"/>
        <v>7.338823813692128E-3</v>
      </c>
    </row>
    <row r="249" spans="1:8">
      <c r="A249" s="65">
        <v>44951</v>
      </c>
      <c r="B249" s="11">
        <v>32.041313000000002</v>
      </c>
      <c r="C249" s="11">
        <v>394.35629299999999</v>
      </c>
      <c r="D249">
        <v>49.220039</v>
      </c>
      <c r="F249" s="11">
        <f t="shared" si="16"/>
        <v>-6.7726094734138764E-3</v>
      </c>
      <c r="G249" s="11">
        <f t="shared" si="16"/>
        <v>3.7468742309584982E-4</v>
      </c>
      <c r="H249" s="11">
        <f t="shared" si="17"/>
        <v>5.1763272299314841E-3</v>
      </c>
    </row>
    <row r="250" spans="1:8">
      <c r="A250" s="65">
        <v>44952</v>
      </c>
      <c r="B250" s="11">
        <v>32.278793</v>
      </c>
      <c r="C250" s="11">
        <v>398.69042999999999</v>
      </c>
      <c r="D250">
        <v>49.651871</v>
      </c>
      <c r="F250" s="11">
        <f t="shared" si="16"/>
        <v>7.4116812878422898E-3</v>
      </c>
      <c r="G250" s="11">
        <f t="shared" si="16"/>
        <v>1.0990409122240122E-2</v>
      </c>
      <c r="H250" s="11">
        <f t="shared" si="17"/>
        <v>8.7734997528140929E-3</v>
      </c>
    </row>
    <row r="251" spans="1:8">
      <c r="A251" s="65">
        <v>44953</v>
      </c>
      <c r="B251" s="11">
        <v>32.430782000000001</v>
      </c>
      <c r="C251" s="11">
        <v>399.60650600000002</v>
      </c>
      <c r="D251">
        <v>49.708205999999997</v>
      </c>
      <c r="F251" s="11">
        <f t="shared" si="16"/>
        <v>4.7086333122803069E-3</v>
      </c>
      <c r="G251" s="11">
        <f t="shared" si="16"/>
        <v>2.2977125385227641E-3</v>
      </c>
      <c r="H251" s="11">
        <f t="shared" si="17"/>
        <v>1.1345997414678923E-3</v>
      </c>
    </row>
    <row r="252" spans="1:8">
      <c r="A252" s="65">
        <v>44956</v>
      </c>
      <c r="B252" s="11">
        <v>32.183804000000002</v>
      </c>
      <c r="C252" s="11">
        <v>394.59271200000001</v>
      </c>
      <c r="D252">
        <v>49.398403000000002</v>
      </c>
      <c r="F252" s="11">
        <f t="shared" si="16"/>
        <v>-7.6155425422673615E-3</v>
      </c>
      <c r="G252" s="11">
        <f t="shared" si="16"/>
        <v>-1.2546827753600234E-2</v>
      </c>
      <c r="H252" s="11">
        <f t="shared" si="17"/>
        <v>-6.2324317236473028E-3</v>
      </c>
    </row>
    <row r="253" spans="1:8">
      <c r="A253" s="65">
        <v>44957</v>
      </c>
      <c r="B253" s="11">
        <v>32.468783999999999</v>
      </c>
      <c r="C253" s="11">
        <v>400.39456200000001</v>
      </c>
      <c r="D253">
        <v>50.280856999999997</v>
      </c>
      <c r="F253" s="11">
        <f t="shared" si="16"/>
        <v>8.854764340473777E-3</v>
      </c>
      <c r="G253" s="11">
        <f t="shared" si="16"/>
        <v>1.4703388642413653E-2</v>
      </c>
      <c r="H253" s="11">
        <f t="shared" si="17"/>
        <v>1.786401880238913E-2</v>
      </c>
    </row>
    <row r="254" spans="1:8">
      <c r="A254" s="65">
        <v>44958</v>
      </c>
      <c r="B254" s="11">
        <v>32.744267000000001</v>
      </c>
      <c r="C254" s="11">
        <v>404.64987200000002</v>
      </c>
      <c r="D254">
        <v>50.412281</v>
      </c>
      <c r="F254" s="11">
        <f t="shared" si="16"/>
        <v>8.4845493443795519E-3</v>
      </c>
      <c r="G254" s="11">
        <f t="shared" si="16"/>
        <v>1.0627791693134955E-2</v>
      </c>
      <c r="H254" s="11">
        <f t="shared" si="17"/>
        <v>2.6137979310894136E-3</v>
      </c>
    </row>
    <row r="255" spans="1:8">
      <c r="A255" s="65">
        <v>44959</v>
      </c>
      <c r="B255" s="11">
        <v>32.820259</v>
      </c>
      <c r="C255" s="11">
        <v>410.540344</v>
      </c>
      <c r="D255">
        <v>50.477997000000002</v>
      </c>
      <c r="F255" s="11">
        <f t="shared" si="16"/>
        <v>2.3207726714419776E-3</v>
      </c>
      <c r="G255" s="11">
        <f t="shared" si="16"/>
        <v>1.4556959998247541E-2</v>
      </c>
      <c r="H255" s="11">
        <f t="shared" si="17"/>
        <v>1.3035712468555407E-3</v>
      </c>
    </row>
    <row r="256" spans="1:8">
      <c r="A256" s="65">
        <v>44960</v>
      </c>
      <c r="B256" s="11">
        <v>32.782260999999998</v>
      </c>
      <c r="C256" s="11">
        <v>406.17666600000001</v>
      </c>
      <c r="D256">
        <v>50.524940000000001</v>
      </c>
      <c r="F256" s="11">
        <f t="shared" si="16"/>
        <v>-1.1577605161495451E-3</v>
      </c>
      <c r="G256" s="11">
        <f t="shared" si="16"/>
        <v>-1.0629108841005874E-2</v>
      </c>
      <c r="H256" s="11">
        <f t="shared" si="17"/>
        <v>9.2996954692950364E-4</v>
      </c>
    </row>
    <row r="257" spans="1:8">
      <c r="A257" s="65">
        <v>44963</v>
      </c>
      <c r="B257" s="11">
        <v>32.915253</v>
      </c>
      <c r="C257" s="11">
        <v>403.694366</v>
      </c>
      <c r="D257">
        <v>50.60004</v>
      </c>
      <c r="F257" s="11">
        <f t="shared" si="16"/>
        <v>4.0568281730171555E-3</v>
      </c>
      <c r="G257" s="11">
        <f t="shared" si="16"/>
        <v>-6.1113801155677641E-3</v>
      </c>
      <c r="H257" s="11">
        <f t="shared" si="17"/>
        <v>1.4863946399540316E-3</v>
      </c>
    </row>
    <row r="258" spans="1:8">
      <c r="A258" s="65">
        <v>44964</v>
      </c>
      <c r="B258" s="11">
        <v>32.820259</v>
      </c>
      <c r="C258" s="11">
        <v>408.97418199999998</v>
      </c>
      <c r="D258">
        <v>50.384117000000003</v>
      </c>
      <c r="F258" s="11">
        <f t="shared" si="16"/>
        <v>-2.8860176162097189E-3</v>
      </c>
      <c r="G258" s="11">
        <f t="shared" si="16"/>
        <v>1.3078745815342845E-2</v>
      </c>
      <c r="H258" s="11">
        <f t="shared" si="17"/>
        <v>-4.267249591106974E-3</v>
      </c>
    </row>
    <row r="259" spans="1:8">
      <c r="A259" s="65">
        <v>44965</v>
      </c>
      <c r="B259" s="11">
        <v>32.791763000000003</v>
      </c>
      <c r="C259" s="11">
        <v>404.50207499999999</v>
      </c>
      <c r="D259">
        <v>50.046165000000002</v>
      </c>
      <c r="F259" s="11">
        <f t="shared" si="16"/>
        <v>-8.6824421464793951E-4</v>
      </c>
      <c r="G259" s="11">
        <f t="shared" si="16"/>
        <v>-1.0934937208334571E-2</v>
      </c>
      <c r="H259" s="11">
        <f t="shared" si="17"/>
        <v>-6.7075106228417451E-3</v>
      </c>
    </row>
    <row r="260" spans="1:8">
      <c r="A260" s="65">
        <v>44966</v>
      </c>
      <c r="B260" s="11">
        <v>32.582774999999998</v>
      </c>
      <c r="C260" s="11">
        <v>400.99542200000002</v>
      </c>
      <c r="D260">
        <v>49.999222000000003</v>
      </c>
      <c r="F260" s="11">
        <f t="shared" ref="F260:G323" si="18">(B260-B259)/B259</f>
        <v>-6.3731858515812352E-3</v>
      </c>
      <c r="G260" s="11">
        <f t="shared" si="18"/>
        <v>-8.6690605975259134E-3</v>
      </c>
      <c r="H260" s="11">
        <f t="shared" ref="H260:H323" si="19">(D260-D259)/D259</f>
        <v>-9.3799395018577037E-4</v>
      </c>
    </row>
    <row r="261" spans="1:8">
      <c r="A261" s="65">
        <v>44967</v>
      </c>
      <c r="B261" s="11">
        <v>32.753765000000001</v>
      </c>
      <c r="C261" s="11">
        <v>401.93121300000001</v>
      </c>
      <c r="D261">
        <v>50.393512999999999</v>
      </c>
      <c r="F261" s="11">
        <f t="shared" si="18"/>
        <v>5.2478648611115324E-3</v>
      </c>
      <c r="G261" s="11">
        <f t="shared" si="18"/>
        <v>2.3336700337691003E-3</v>
      </c>
      <c r="H261" s="11">
        <f t="shared" si="19"/>
        <v>7.8859427052684044E-3</v>
      </c>
    </row>
    <row r="262" spans="1:8">
      <c r="A262" s="65">
        <v>44970</v>
      </c>
      <c r="B262" s="11">
        <v>32.801262000000001</v>
      </c>
      <c r="C262" s="11">
        <v>406.649475</v>
      </c>
      <c r="D262">
        <v>50.449837000000002</v>
      </c>
      <c r="F262" s="11">
        <f t="shared" si="18"/>
        <v>1.4501233674968327E-3</v>
      </c>
      <c r="G262" s="11">
        <f t="shared" si="18"/>
        <v>1.1738978828698187E-2</v>
      </c>
      <c r="H262" s="11">
        <f t="shared" si="19"/>
        <v>1.1176835399430002E-3</v>
      </c>
    </row>
    <row r="263" spans="1:8">
      <c r="A263" s="65">
        <v>44971</v>
      </c>
      <c r="B263" s="11">
        <v>32.468783999999999</v>
      </c>
      <c r="C263" s="11">
        <v>406.462311</v>
      </c>
      <c r="D263">
        <v>49.933509999999998</v>
      </c>
      <c r="F263" s="11">
        <f t="shared" si="18"/>
        <v>-1.013613439629249E-2</v>
      </c>
      <c r="G263" s="11">
        <f t="shared" si="18"/>
        <v>-4.6025880151448782E-4</v>
      </c>
      <c r="H263" s="11">
        <f t="shared" si="19"/>
        <v>-1.0234463195589788E-2</v>
      </c>
    </row>
    <row r="264" spans="1:8">
      <c r="A264" s="65">
        <v>44972</v>
      </c>
      <c r="B264" s="11">
        <v>32.601771999999997</v>
      </c>
      <c r="C264" s="11">
        <v>407.78228799999999</v>
      </c>
      <c r="D264">
        <v>49.989834000000002</v>
      </c>
      <c r="F264" s="11">
        <f t="shared" si="18"/>
        <v>4.0958725155828884E-3</v>
      </c>
      <c r="G264" s="11">
        <f t="shared" si="18"/>
        <v>3.2474769844035908E-3</v>
      </c>
      <c r="H264" s="11">
        <f t="shared" si="19"/>
        <v>1.1279799877878321E-3</v>
      </c>
    </row>
    <row r="265" spans="1:8">
      <c r="A265" s="65">
        <v>44973</v>
      </c>
      <c r="B265" s="11">
        <v>32.383285999999998</v>
      </c>
      <c r="C265" s="11">
        <v>402.16757200000001</v>
      </c>
      <c r="D265">
        <v>49.614322999999999</v>
      </c>
      <c r="F265" s="11">
        <f t="shared" si="18"/>
        <v>-6.7016602655830685E-3</v>
      </c>
      <c r="G265" s="11">
        <f t="shared" si="18"/>
        <v>-1.3768906019772952E-2</v>
      </c>
      <c r="H265" s="11">
        <f t="shared" si="19"/>
        <v>-7.51174728845875E-3</v>
      </c>
    </row>
    <row r="266" spans="1:8">
      <c r="A266" s="65">
        <v>44974</v>
      </c>
      <c r="B266" s="11">
        <v>32.193302000000003</v>
      </c>
      <c r="C266" s="11">
        <v>401.16287199999999</v>
      </c>
      <c r="D266">
        <v>49.454731000000002</v>
      </c>
      <c r="F266" s="11">
        <f t="shared" si="18"/>
        <v>-5.8667301397392312E-3</v>
      </c>
      <c r="G266" s="11">
        <f t="shared" si="18"/>
        <v>-2.4982123620847629E-3</v>
      </c>
      <c r="H266" s="11">
        <f t="shared" si="19"/>
        <v>-3.216651772110171E-3</v>
      </c>
    </row>
    <row r="267" spans="1:8">
      <c r="A267" s="65">
        <v>44978</v>
      </c>
      <c r="B267" s="11">
        <v>32.012813999999999</v>
      </c>
      <c r="C267" s="11">
        <v>393.11517300000003</v>
      </c>
      <c r="D267">
        <v>49.304530999999997</v>
      </c>
      <c r="F267" s="11">
        <f t="shared" si="18"/>
        <v>-5.6063835887354444E-3</v>
      </c>
      <c r="G267" s="11">
        <f t="shared" si="18"/>
        <v>-2.0060926774898465E-2</v>
      </c>
      <c r="H267" s="11">
        <f t="shared" si="19"/>
        <v>-3.037120958154746E-3</v>
      </c>
    </row>
    <row r="268" spans="1:8">
      <c r="A268" s="65">
        <v>44979</v>
      </c>
      <c r="B268" s="11">
        <v>31.784829999999999</v>
      </c>
      <c r="C268" s="11">
        <v>392.57342499999999</v>
      </c>
      <c r="D268">
        <v>49.576774999999998</v>
      </c>
      <c r="F268" s="11">
        <f t="shared" si="18"/>
        <v>-7.1216482249888847E-3</v>
      </c>
      <c r="G268" s="11">
        <f t="shared" si="18"/>
        <v>-1.3780897742149498E-3</v>
      </c>
      <c r="H268" s="11">
        <f t="shared" si="19"/>
        <v>5.5216831897255169E-3</v>
      </c>
    </row>
    <row r="269" spans="1:8">
      <c r="A269" s="65">
        <v>44980</v>
      </c>
      <c r="B269" s="11">
        <v>31.803829</v>
      </c>
      <c r="C269" s="11">
        <v>394.66168199999998</v>
      </c>
      <c r="D269">
        <v>49.285750999999998</v>
      </c>
      <c r="F269" s="11">
        <f t="shared" si="18"/>
        <v>5.977379775194921E-4</v>
      </c>
      <c r="G269" s="11">
        <f t="shared" si="18"/>
        <v>5.3194048985868029E-3</v>
      </c>
      <c r="H269" s="11">
        <f t="shared" si="19"/>
        <v>-5.8701680373521711E-3</v>
      </c>
    </row>
    <row r="270" spans="1:8">
      <c r="A270" s="65">
        <v>44981</v>
      </c>
      <c r="B270" s="11">
        <v>31.623336999999999</v>
      </c>
      <c r="C270" s="11">
        <v>390.44576999999998</v>
      </c>
      <c r="D270">
        <v>49.539223</v>
      </c>
      <c r="F270" s="11">
        <f t="shared" si="18"/>
        <v>-5.6751657166815034E-3</v>
      </c>
      <c r="G270" s="11">
        <f t="shared" si="18"/>
        <v>-1.0682344378190744E-2</v>
      </c>
      <c r="H270" s="11">
        <f t="shared" si="19"/>
        <v>5.1429063138350509E-3</v>
      </c>
    </row>
    <row r="271" spans="1:8">
      <c r="A271" s="65">
        <v>44984</v>
      </c>
      <c r="B271" s="11">
        <v>31.993815999999999</v>
      </c>
      <c r="C271" s="11">
        <v>391.77554300000003</v>
      </c>
      <c r="D271">
        <v>50.468609000000001</v>
      </c>
      <c r="F271" s="11">
        <f t="shared" si="18"/>
        <v>1.1715367040486573E-2</v>
      </c>
      <c r="G271" s="11">
        <f t="shared" si="18"/>
        <v>3.4057815506620694E-3</v>
      </c>
      <c r="H271" s="11">
        <f t="shared" si="19"/>
        <v>1.8760609143990831E-2</v>
      </c>
    </row>
    <row r="272" spans="1:8">
      <c r="A272" s="65">
        <v>44985</v>
      </c>
      <c r="B272" s="11">
        <v>31.851326</v>
      </c>
      <c r="C272" s="11">
        <v>390.32757600000002</v>
      </c>
      <c r="D272">
        <v>50.581260999999998</v>
      </c>
      <c r="F272" s="11">
        <f t="shared" si="18"/>
        <v>-4.4536731723405134E-3</v>
      </c>
      <c r="G272" s="11">
        <f t="shared" si="18"/>
        <v>-3.6959096244555661E-3</v>
      </c>
      <c r="H272" s="11">
        <f t="shared" si="19"/>
        <v>2.2321201680037799E-3</v>
      </c>
    </row>
    <row r="273" spans="1:8">
      <c r="A273" s="65">
        <v>44986</v>
      </c>
      <c r="B273" s="11">
        <v>32.012813999999999</v>
      </c>
      <c r="C273" s="11">
        <v>388.83029199999999</v>
      </c>
      <c r="D273">
        <v>50.609428000000001</v>
      </c>
      <c r="F273" s="11">
        <f t="shared" si="18"/>
        <v>5.0700557961071546E-3</v>
      </c>
      <c r="G273" s="11">
        <f t="shared" si="18"/>
        <v>-3.8359677667253412E-3</v>
      </c>
      <c r="H273" s="11">
        <f t="shared" si="19"/>
        <v>5.5686630667439046E-4</v>
      </c>
    </row>
    <row r="274" spans="1:8">
      <c r="A274" s="65">
        <v>44987</v>
      </c>
      <c r="B274" s="11">
        <v>32.107802999999997</v>
      </c>
      <c r="C274" s="11">
        <v>391.854309</v>
      </c>
      <c r="D274">
        <v>51.294730999999999</v>
      </c>
      <c r="F274" s="11">
        <f t="shared" si="18"/>
        <v>2.9672180646161945E-3</v>
      </c>
      <c r="G274" s="11">
        <f t="shared" si="18"/>
        <v>7.7772155673509489E-3</v>
      </c>
      <c r="H274" s="11">
        <f t="shared" si="19"/>
        <v>1.3541014531916811E-2</v>
      </c>
    </row>
    <row r="275" spans="1:8">
      <c r="A275" s="65">
        <v>44988</v>
      </c>
      <c r="B275" s="11">
        <v>32.411785000000002</v>
      </c>
      <c r="C275" s="11">
        <v>398.13885499999998</v>
      </c>
      <c r="D275">
        <v>51.557586999999998</v>
      </c>
      <c r="F275" s="11">
        <f t="shared" si="18"/>
        <v>9.4675428275178119E-3</v>
      </c>
      <c r="G275" s="11">
        <f t="shared" si="18"/>
        <v>1.603796578385968E-2</v>
      </c>
      <c r="H275" s="11">
        <f t="shared" si="19"/>
        <v>5.1244249628680056E-3</v>
      </c>
    </row>
    <row r="276" spans="1:8">
      <c r="A276" s="65">
        <v>44991</v>
      </c>
      <c r="B276" s="11">
        <v>32.240799000000003</v>
      </c>
      <c r="C276" s="11">
        <v>398.41464200000001</v>
      </c>
      <c r="D276">
        <v>51.219631</v>
      </c>
      <c r="F276" s="11">
        <f t="shared" si="18"/>
        <v>-5.2754268239160289E-3</v>
      </c>
      <c r="G276" s="11">
        <f t="shared" si="18"/>
        <v>6.9269049362197179E-4</v>
      </c>
      <c r="H276" s="11">
        <f t="shared" si="19"/>
        <v>-6.5549227507485635E-3</v>
      </c>
    </row>
    <row r="277" spans="1:8">
      <c r="A277" s="65">
        <v>44992</v>
      </c>
      <c r="B277" s="11">
        <v>31.803829</v>
      </c>
      <c r="C277" s="11">
        <v>392.307434</v>
      </c>
      <c r="D277">
        <v>50.750239999999998</v>
      </c>
      <c r="F277" s="11">
        <f t="shared" si="18"/>
        <v>-1.3553324159243147E-2</v>
      </c>
      <c r="G277" s="11">
        <f t="shared" si="18"/>
        <v>-1.5328773986172963E-2</v>
      </c>
      <c r="H277" s="11">
        <f t="shared" si="19"/>
        <v>-9.1642792194266617E-3</v>
      </c>
    </row>
    <row r="278" spans="1:8">
      <c r="A278" s="65">
        <v>44993</v>
      </c>
      <c r="B278" s="11">
        <v>32.069808999999999</v>
      </c>
      <c r="C278" s="11">
        <v>392.94775399999997</v>
      </c>
      <c r="D278">
        <v>51.013100000000001</v>
      </c>
      <c r="F278" s="11">
        <f t="shared" si="18"/>
        <v>8.3631439472272029E-3</v>
      </c>
      <c r="G278" s="11">
        <f t="shared" si="18"/>
        <v>1.6321893099786996E-3</v>
      </c>
      <c r="H278" s="11">
        <f t="shared" si="19"/>
        <v>5.1794828950563277E-3</v>
      </c>
    </row>
    <row r="279" spans="1:8">
      <c r="A279" s="65">
        <v>44994</v>
      </c>
      <c r="B279" s="11">
        <v>31.556849</v>
      </c>
      <c r="C279" s="11">
        <v>385.69790599999999</v>
      </c>
      <c r="D279">
        <v>49.407291000000001</v>
      </c>
      <c r="F279" s="11">
        <f t="shared" si="18"/>
        <v>-1.5995106176029911E-2</v>
      </c>
      <c r="G279" s="11">
        <f t="shared" si="18"/>
        <v>-1.8449903139031523E-2</v>
      </c>
      <c r="H279" s="11">
        <f t="shared" si="19"/>
        <v>-3.1478365361054333E-2</v>
      </c>
    </row>
    <row r="280" spans="1:8">
      <c r="A280" s="65">
        <v>44995</v>
      </c>
      <c r="B280" s="11">
        <v>30.283932</v>
      </c>
      <c r="C280" s="11">
        <v>380.13250699999998</v>
      </c>
      <c r="D280">
        <v>48.269848000000003</v>
      </c>
      <c r="F280" s="11">
        <f t="shared" si="18"/>
        <v>-4.033726561229227E-2</v>
      </c>
      <c r="G280" s="11">
        <f t="shared" si="18"/>
        <v>-1.442942498111466E-2</v>
      </c>
      <c r="H280" s="11">
        <f t="shared" si="19"/>
        <v>-2.3021764135985466E-2</v>
      </c>
    </row>
    <row r="281" spans="1:8">
      <c r="A281" s="65">
        <v>44998</v>
      </c>
      <c r="B281" s="11">
        <v>30.331429</v>
      </c>
      <c r="C281" s="11">
        <v>379.59069799999997</v>
      </c>
      <c r="D281">
        <v>48.202938000000003</v>
      </c>
      <c r="F281" s="11">
        <f t="shared" si="18"/>
        <v>1.5683894680518996E-3</v>
      </c>
      <c r="G281" s="11">
        <f t="shared" si="18"/>
        <v>-1.4253161464036557E-3</v>
      </c>
      <c r="H281" s="11">
        <f t="shared" si="19"/>
        <v>-1.3861655416855677E-3</v>
      </c>
    </row>
    <row r="282" spans="1:8">
      <c r="A282" s="65">
        <v>44999</v>
      </c>
      <c r="B282" s="11">
        <v>30.682905000000002</v>
      </c>
      <c r="C282" s="11">
        <v>385.86535600000002</v>
      </c>
      <c r="D282">
        <v>48.537478999999998</v>
      </c>
      <c r="F282" s="11">
        <f t="shared" si="18"/>
        <v>1.1587848366788181E-2</v>
      </c>
      <c r="G282" s="11">
        <f t="shared" si="18"/>
        <v>1.6530062599163179E-2</v>
      </c>
      <c r="H282" s="11">
        <f t="shared" si="19"/>
        <v>6.940261608120119E-3</v>
      </c>
    </row>
    <row r="283" spans="1:8">
      <c r="A283" s="65">
        <v>45000</v>
      </c>
      <c r="B283" s="11">
        <v>30.046446</v>
      </c>
      <c r="C283" s="11">
        <v>383.45202599999999</v>
      </c>
      <c r="D283">
        <v>48.021327999999997</v>
      </c>
      <c r="F283" s="11">
        <f t="shared" si="18"/>
        <v>-2.0743114121690956E-2</v>
      </c>
      <c r="G283" s="11">
        <f t="shared" si="18"/>
        <v>-6.2543318866906264E-3</v>
      </c>
      <c r="H283" s="11">
        <f t="shared" si="19"/>
        <v>-1.0634071044357304E-2</v>
      </c>
    </row>
    <row r="284" spans="1:8">
      <c r="A284" s="65">
        <v>45001</v>
      </c>
      <c r="B284" s="11">
        <v>30.065445</v>
      </c>
      <c r="C284" s="11">
        <v>390.17974900000002</v>
      </c>
      <c r="D284">
        <v>48.002209000000001</v>
      </c>
      <c r="F284" s="11">
        <f t="shared" si="18"/>
        <v>6.3232104056502641E-4</v>
      </c>
      <c r="G284" s="11">
        <f t="shared" si="18"/>
        <v>1.7545149181191249E-2</v>
      </c>
      <c r="H284" s="11">
        <f t="shared" si="19"/>
        <v>-3.981355950838414E-4</v>
      </c>
    </row>
    <row r="285" spans="1:8">
      <c r="A285" s="65">
        <v>45002</v>
      </c>
      <c r="B285" s="11">
        <v>29.609476000000001</v>
      </c>
      <c r="C285" s="11">
        <v>385.61752300000001</v>
      </c>
      <c r="D285">
        <v>47.600757999999999</v>
      </c>
      <c r="F285" s="11">
        <f t="shared" si="18"/>
        <v>-1.5165882294441331E-2</v>
      </c>
      <c r="G285" s="11">
        <f t="shared" si="18"/>
        <v>-1.1692626313109883E-2</v>
      </c>
      <c r="H285" s="11">
        <f t="shared" si="19"/>
        <v>-8.3631776195966633E-3</v>
      </c>
    </row>
    <row r="286" spans="1:8">
      <c r="A286" s="65">
        <v>45005</v>
      </c>
      <c r="B286" s="11">
        <v>29.951453999999998</v>
      </c>
      <c r="C286" s="11">
        <v>389.32547</v>
      </c>
      <c r="D286">
        <v>48.136028000000003</v>
      </c>
      <c r="F286" s="11">
        <f t="shared" si="18"/>
        <v>1.1549613373772553E-2</v>
      </c>
      <c r="G286" s="11">
        <f t="shared" si="18"/>
        <v>9.6156081579311173E-3</v>
      </c>
      <c r="H286" s="11">
        <f t="shared" si="19"/>
        <v>1.1244988997864365E-2</v>
      </c>
    </row>
    <row r="287" spans="1:8">
      <c r="A287" s="65">
        <v>45006</v>
      </c>
      <c r="B287" s="11">
        <v>29.951453999999998</v>
      </c>
      <c r="C287" s="11">
        <v>394.43753099999998</v>
      </c>
      <c r="D287">
        <v>48.327198000000003</v>
      </c>
      <c r="F287" s="11">
        <f t="shared" si="18"/>
        <v>0</v>
      </c>
      <c r="G287" s="11">
        <f t="shared" si="18"/>
        <v>1.3130558861201614E-2</v>
      </c>
      <c r="H287" s="11">
        <f t="shared" si="19"/>
        <v>3.9714535648849051E-3</v>
      </c>
    </row>
    <row r="288" spans="1:8">
      <c r="A288" s="65">
        <v>45007</v>
      </c>
      <c r="B288" s="11">
        <v>29.181988</v>
      </c>
      <c r="C288" s="11">
        <v>387.71374500000002</v>
      </c>
      <c r="D288">
        <v>46.625796999999999</v>
      </c>
      <c r="F288" s="11">
        <f t="shared" si="18"/>
        <v>-2.569043893495113E-2</v>
      </c>
      <c r="G288" s="11">
        <f t="shared" si="18"/>
        <v>-1.70465168031892E-2</v>
      </c>
      <c r="H288" s="11">
        <f t="shared" si="19"/>
        <v>-3.5205868960166156E-2</v>
      </c>
    </row>
    <row r="289" spans="1:8">
      <c r="A289" s="65">
        <v>45008</v>
      </c>
      <c r="B289" s="11">
        <v>28.912673999999999</v>
      </c>
      <c r="C289" s="11">
        <v>388.76187099999999</v>
      </c>
      <c r="D289">
        <v>46.386840999999997</v>
      </c>
      <c r="F289" s="11">
        <f t="shared" si="18"/>
        <v>-9.2287749552909613E-3</v>
      </c>
      <c r="G289" s="11">
        <f t="shared" si="18"/>
        <v>2.7033501223949845E-3</v>
      </c>
      <c r="H289" s="11">
        <f t="shared" si="19"/>
        <v>-5.1249740567437746E-3</v>
      </c>
    </row>
    <row r="290" spans="1:8">
      <c r="A290" s="65">
        <v>45009</v>
      </c>
      <c r="B290" s="11">
        <v>29.874506</v>
      </c>
      <c r="C290" s="11">
        <v>391.312927</v>
      </c>
      <c r="D290">
        <v>47.333122000000003</v>
      </c>
      <c r="F290" s="11">
        <f t="shared" si="18"/>
        <v>3.3266795039434992E-2</v>
      </c>
      <c r="G290" s="11">
        <f t="shared" si="18"/>
        <v>6.5620015497868025E-3</v>
      </c>
      <c r="H290" s="11">
        <f t="shared" si="19"/>
        <v>2.0399772426839893E-2</v>
      </c>
    </row>
    <row r="291" spans="1:8">
      <c r="A291" s="65">
        <v>45012</v>
      </c>
      <c r="B291" s="11">
        <v>30.182293000000001</v>
      </c>
      <c r="C291" s="11">
        <v>392.044647</v>
      </c>
      <c r="D291">
        <v>47.390476</v>
      </c>
      <c r="F291" s="11">
        <f t="shared" si="18"/>
        <v>1.0302664084219539E-2</v>
      </c>
      <c r="G291" s="11">
        <f t="shared" si="18"/>
        <v>1.8699101141629183E-3</v>
      </c>
      <c r="H291" s="11">
        <f t="shared" si="19"/>
        <v>1.2117096353795672E-3</v>
      </c>
    </row>
    <row r="292" spans="1:8">
      <c r="A292" s="65">
        <v>45013</v>
      </c>
      <c r="B292" s="11">
        <v>30.355422999999998</v>
      </c>
      <c r="C292" s="11">
        <v>391.16464200000001</v>
      </c>
      <c r="D292">
        <v>47.811042999999998</v>
      </c>
      <c r="F292" s="11">
        <f t="shared" si="18"/>
        <v>5.7361446991451874E-3</v>
      </c>
      <c r="G292" s="11">
        <f t="shared" si="18"/>
        <v>-2.2446550583816102E-3</v>
      </c>
      <c r="H292" s="11">
        <f t="shared" si="19"/>
        <v>8.8745046578556919E-3</v>
      </c>
    </row>
    <row r="293" spans="1:8">
      <c r="A293" s="65">
        <v>45014</v>
      </c>
      <c r="B293" s="11">
        <v>30.490079999999999</v>
      </c>
      <c r="C293" s="11">
        <v>396.85015900000002</v>
      </c>
      <c r="D293">
        <v>48.317635000000003</v>
      </c>
      <c r="F293" s="11">
        <f t="shared" si="18"/>
        <v>4.4360113183071342E-3</v>
      </c>
      <c r="G293" s="11">
        <f t="shared" si="18"/>
        <v>1.4534843872724069E-2</v>
      </c>
      <c r="H293" s="11">
        <f t="shared" si="19"/>
        <v>1.0595711120546039E-2</v>
      </c>
    </row>
    <row r="294" spans="1:8">
      <c r="A294" s="65">
        <v>45015</v>
      </c>
      <c r="B294" s="11">
        <v>30.595880999999999</v>
      </c>
      <c r="C294" s="11">
        <v>399.17385899999999</v>
      </c>
      <c r="D294">
        <v>48.661735999999998</v>
      </c>
      <c r="F294" s="11">
        <f t="shared" si="18"/>
        <v>3.4700138536861692E-3</v>
      </c>
      <c r="G294" s="11">
        <f t="shared" si="18"/>
        <v>5.8553586216402997E-3</v>
      </c>
      <c r="H294" s="11">
        <f t="shared" si="19"/>
        <v>7.1216440953700416E-3</v>
      </c>
    </row>
    <row r="295" spans="1:8">
      <c r="A295" s="65">
        <v>45016</v>
      </c>
      <c r="B295" s="11">
        <v>31.374963999999999</v>
      </c>
      <c r="C295" s="11">
        <v>404.800049</v>
      </c>
      <c r="D295">
        <v>49.760956</v>
      </c>
      <c r="F295" s="11">
        <f t="shared" si="18"/>
        <v>2.5463656366031755E-2</v>
      </c>
      <c r="G295" s="11">
        <f t="shared" si="18"/>
        <v>1.4094585286958904E-2</v>
      </c>
      <c r="H295" s="11">
        <f t="shared" si="19"/>
        <v>2.2589000934944092E-2</v>
      </c>
    </row>
    <row r="296" spans="1:8">
      <c r="A296" s="65">
        <v>45019</v>
      </c>
      <c r="B296" s="11">
        <v>31.249929000000002</v>
      </c>
      <c r="C296" s="11">
        <v>406.34255999999999</v>
      </c>
      <c r="D296">
        <v>49.244801000000002</v>
      </c>
      <c r="F296" s="11">
        <f t="shared" si="18"/>
        <v>-3.9851838555096638E-3</v>
      </c>
      <c r="G296" s="11">
        <f t="shared" si="18"/>
        <v>3.8105504280707002E-3</v>
      </c>
      <c r="H296" s="11">
        <f t="shared" si="19"/>
        <v>-1.037269058898301E-2</v>
      </c>
    </row>
    <row r="297" spans="1:8">
      <c r="A297" s="65">
        <v>45020</v>
      </c>
      <c r="B297" s="11">
        <v>31.115266999999999</v>
      </c>
      <c r="C297" s="11">
        <v>404.08807400000001</v>
      </c>
      <c r="D297">
        <v>49.072749999999999</v>
      </c>
      <c r="F297" s="11">
        <f t="shared" si="18"/>
        <v>-4.3091937904883651E-3</v>
      </c>
      <c r="G297" s="11">
        <f t="shared" si="18"/>
        <v>-5.5482398890236498E-3</v>
      </c>
      <c r="H297" s="11">
        <f t="shared" si="19"/>
        <v>-3.4937901363435967E-3</v>
      </c>
    </row>
    <row r="298" spans="1:8">
      <c r="A298" s="65">
        <v>45021</v>
      </c>
      <c r="B298" s="11">
        <v>30.894048999999999</v>
      </c>
      <c r="C298" s="11">
        <v>403.03008999999997</v>
      </c>
      <c r="D298">
        <v>48.82423</v>
      </c>
      <c r="F298" s="11">
        <f t="shared" si="18"/>
        <v>-7.109628851971618E-3</v>
      </c>
      <c r="G298" s="11">
        <f t="shared" si="18"/>
        <v>-2.6182014963402091E-3</v>
      </c>
      <c r="H298" s="11">
        <f t="shared" si="19"/>
        <v>-5.0643177731021635E-3</v>
      </c>
    </row>
    <row r="299" spans="1:8">
      <c r="A299" s="65">
        <v>45022</v>
      </c>
      <c r="B299" s="11">
        <v>31.086416</v>
      </c>
      <c r="C299" s="11">
        <v>404.60229500000003</v>
      </c>
      <c r="D299">
        <v>49.044074999999999</v>
      </c>
      <c r="F299" s="11">
        <f t="shared" si="18"/>
        <v>6.2266684434921704E-3</v>
      </c>
      <c r="G299" s="11">
        <f t="shared" si="18"/>
        <v>3.9009618363731939E-3</v>
      </c>
      <c r="H299" s="11">
        <f t="shared" si="19"/>
        <v>4.5027847853412002E-3</v>
      </c>
    </row>
    <row r="300" spans="1:8">
      <c r="A300" s="65">
        <v>45026</v>
      </c>
      <c r="B300" s="11">
        <v>31.384584</v>
      </c>
      <c r="C300" s="11">
        <v>405.01754799999998</v>
      </c>
      <c r="D300">
        <v>49.263916000000002</v>
      </c>
      <c r="F300" s="11">
        <f t="shared" si="18"/>
        <v>9.5915849546631699E-3</v>
      </c>
      <c r="G300" s="11">
        <f t="shared" si="18"/>
        <v>1.0263238867687344E-3</v>
      </c>
      <c r="H300" s="11">
        <f t="shared" si="19"/>
        <v>4.4825190402714779E-3</v>
      </c>
    </row>
    <row r="301" spans="1:8">
      <c r="A301" s="65">
        <v>45027</v>
      </c>
      <c r="B301" s="11">
        <v>31.605806000000001</v>
      </c>
      <c r="C301" s="11">
        <v>405.12634300000002</v>
      </c>
      <c r="D301">
        <v>48.977164999999999</v>
      </c>
      <c r="F301" s="11">
        <f t="shared" si="18"/>
        <v>7.048747244825705E-3</v>
      </c>
      <c r="G301" s="11">
        <f t="shared" si="18"/>
        <v>2.6861799084330857E-4</v>
      </c>
      <c r="H301" s="11">
        <f t="shared" si="19"/>
        <v>-5.8207106394059785E-3</v>
      </c>
    </row>
    <row r="302" spans="1:8">
      <c r="A302" s="65">
        <v>45028</v>
      </c>
      <c r="B302" s="11">
        <v>31.548092</v>
      </c>
      <c r="C302" s="11">
        <v>403.47503699999999</v>
      </c>
      <c r="D302">
        <v>48.843342</v>
      </c>
      <c r="F302" s="11">
        <f t="shared" si="18"/>
        <v>-1.8260568960019785E-3</v>
      </c>
      <c r="G302" s="11">
        <f t="shared" si="18"/>
        <v>-4.0760272160332801E-3</v>
      </c>
      <c r="H302" s="11">
        <f t="shared" si="19"/>
        <v>-2.7323549658294756E-3</v>
      </c>
    </row>
    <row r="303" spans="1:8">
      <c r="A303" s="65">
        <v>45029</v>
      </c>
      <c r="B303" s="11">
        <v>31.432676000000001</v>
      </c>
      <c r="C303" s="11">
        <v>408.83429000000001</v>
      </c>
      <c r="D303">
        <v>49.177891000000002</v>
      </c>
      <c r="F303" s="11">
        <f t="shared" si="18"/>
        <v>-3.6584145881151781E-3</v>
      </c>
      <c r="G303" s="11">
        <f t="shared" si="18"/>
        <v>1.3282737489407613E-2</v>
      </c>
      <c r="H303" s="11">
        <f t="shared" si="19"/>
        <v>6.8494289354729789E-3</v>
      </c>
    </row>
    <row r="304" spans="1:8">
      <c r="A304" s="65">
        <v>45030</v>
      </c>
      <c r="B304" s="11">
        <v>31.115266999999999</v>
      </c>
      <c r="C304" s="11">
        <v>407.83560199999999</v>
      </c>
      <c r="D304">
        <v>48.604385000000001</v>
      </c>
      <c r="F304" s="11">
        <f t="shared" si="18"/>
        <v>-1.0098058466291618E-2</v>
      </c>
      <c r="G304" s="11">
        <f t="shared" si="18"/>
        <v>-2.4427696610282261E-3</v>
      </c>
      <c r="H304" s="11">
        <f t="shared" si="19"/>
        <v>-1.1661866508264899E-2</v>
      </c>
    </row>
    <row r="305" spans="1:8">
      <c r="A305" s="65">
        <v>45033</v>
      </c>
      <c r="B305" s="11">
        <v>31.605806000000001</v>
      </c>
      <c r="C305" s="11">
        <v>409.29901100000001</v>
      </c>
      <c r="D305">
        <v>49.378619999999998</v>
      </c>
      <c r="F305" s="11">
        <f t="shared" si="18"/>
        <v>1.5765219048256982E-2</v>
      </c>
      <c r="G305" s="11">
        <f t="shared" si="18"/>
        <v>3.5882325937793258E-3</v>
      </c>
      <c r="H305" s="11">
        <f t="shared" si="19"/>
        <v>1.5929324072303297E-2</v>
      </c>
    </row>
    <row r="306" spans="1:8">
      <c r="A306" s="65">
        <v>45034</v>
      </c>
      <c r="B306" s="11">
        <v>31.528853999999999</v>
      </c>
      <c r="C306" s="11">
        <v>409.56597900000003</v>
      </c>
      <c r="D306">
        <v>49.340384999999998</v>
      </c>
      <c r="F306" s="11">
        <f t="shared" si="18"/>
        <v>-2.4347425280026756E-3</v>
      </c>
      <c r="G306" s="11">
        <f t="shared" si="18"/>
        <v>6.5225664569226098E-4</v>
      </c>
      <c r="H306" s="11">
        <f t="shared" si="19"/>
        <v>-7.7432297621926746E-4</v>
      </c>
    </row>
    <row r="307" spans="1:8">
      <c r="A307" s="65">
        <v>45035</v>
      </c>
      <c r="B307" s="11">
        <v>31.663512999999998</v>
      </c>
      <c r="C307" s="11">
        <v>409.49679600000002</v>
      </c>
      <c r="D307">
        <v>49.311709999999998</v>
      </c>
      <c r="F307" s="11">
        <f t="shared" si="18"/>
        <v>4.2709766742552455E-3</v>
      </c>
      <c r="G307" s="11">
        <f t="shared" si="18"/>
        <v>-1.6891783875439893E-4</v>
      </c>
      <c r="H307" s="11">
        <f t="shared" si="19"/>
        <v>-5.8116692847045648E-4</v>
      </c>
    </row>
    <row r="308" spans="1:8">
      <c r="A308" s="65">
        <v>45036</v>
      </c>
      <c r="B308" s="11">
        <v>31.855879000000002</v>
      </c>
      <c r="C308" s="11">
        <v>407.26211499999999</v>
      </c>
      <c r="D308">
        <v>49.885212000000003</v>
      </c>
      <c r="F308" s="11">
        <f t="shared" si="18"/>
        <v>6.0753208274774619E-3</v>
      </c>
      <c r="G308" s="11">
        <f t="shared" si="18"/>
        <v>-5.4571391567127744E-3</v>
      </c>
      <c r="H308" s="11">
        <f t="shared" si="19"/>
        <v>1.1630138155825561E-2</v>
      </c>
    </row>
    <row r="309" spans="1:8">
      <c r="A309" s="65">
        <v>45037</v>
      </c>
      <c r="B309" s="11">
        <v>32.057868999999997</v>
      </c>
      <c r="C309" s="11">
        <v>407.57852200000002</v>
      </c>
      <c r="D309">
        <v>49.560223000000001</v>
      </c>
      <c r="F309" s="11">
        <f t="shared" si="18"/>
        <v>6.3407448276657187E-3</v>
      </c>
      <c r="G309" s="11">
        <f t="shared" si="18"/>
        <v>7.7691243144486089E-4</v>
      </c>
      <c r="H309" s="11">
        <f t="shared" si="19"/>
        <v>-6.5147362709414196E-3</v>
      </c>
    </row>
    <row r="310" spans="1:8">
      <c r="A310" s="65">
        <v>45040</v>
      </c>
      <c r="B310" s="11">
        <v>31.923210000000001</v>
      </c>
      <c r="C310" s="11">
        <v>408.003693</v>
      </c>
      <c r="D310">
        <v>49.292591000000002</v>
      </c>
      <c r="F310" s="11">
        <f t="shared" si="18"/>
        <v>-4.2004975439882061E-3</v>
      </c>
      <c r="G310" s="11">
        <f t="shared" si="18"/>
        <v>1.0431634079088631E-3</v>
      </c>
      <c r="H310" s="11">
        <f t="shared" si="19"/>
        <v>-5.400137122062566E-3</v>
      </c>
    </row>
    <row r="311" spans="1:8">
      <c r="A311" s="65">
        <v>45041</v>
      </c>
      <c r="B311" s="11">
        <v>31.788550999999998</v>
      </c>
      <c r="C311" s="11">
        <v>401.52710000000002</v>
      </c>
      <c r="D311">
        <v>48.919815</v>
      </c>
      <c r="F311" s="11">
        <f t="shared" si="18"/>
        <v>-4.218216150568904E-3</v>
      </c>
      <c r="G311" s="11">
        <f t="shared" si="18"/>
        <v>-1.5873858769214572E-2</v>
      </c>
      <c r="H311" s="11">
        <f t="shared" si="19"/>
        <v>-7.5625158352905768E-3</v>
      </c>
    </row>
    <row r="312" spans="1:8">
      <c r="A312" s="65">
        <v>45042</v>
      </c>
      <c r="B312" s="11">
        <v>31.557714000000001</v>
      </c>
      <c r="C312" s="11">
        <v>399.82641599999999</v>
      </c>
      <c r="D312">
        <v>48.575713999999998</v>
      </c>
      <c r="F312" s="11">
        <f t="shared" si="18"/>
        <v>-7.2616395758333726E-3</v>
      </c>
      <c r="G312" s="11">
        <f t="shared" si="18"/>
        <v>-4.235539768050584E-3</v>
      </c>
      <c r="H312" s="11">
        <f t="shared" si="19"/>
        <v>-7.0339799935875058E-3</v>
      </c>
    </row>
    <row r="313" spans="1:8">
      <c r="A313" s="65">
        <v>45043</v>
      </c>
      <c r="B313" s="11">
        <v>32.019393999999998</v>
      </c>
      <c r="C313" s="11">
        <v>407.78616299999999</v>
      </c>
      <c r="D313">
        <v>49.187449999999998</v>
      </c>
      <c r="F313" s="11">
        <f t="shared" si="18"/>
        <v>1.4629703533025163E-2</v>
      </c>
      <c r="G313" s="11">
        <f t="shared" si="18"/>
        <v>1.9908006778621635E-2</v>
      </c>
      <c r="H313" s="11">
        <f t="shared" si="19"/>
        <v>1.2593453592879778E-2</v>
      </c>
    </row>
    <row r="314" spans="1:8">
      <c r="A314" s="65">
        <v>45044</v>
      </c>
      <c r="B314" s="11">
        <v>32.644581000000002</v>
      </c>
      <c r="C314" s="11">
        <v>411.26672400000001</v>
      </c>
      <c r="D314">
        <v>49.703601999999997</v>
      </c>
      <c r="F314" s="11">
        <f t="shared" si="18"/>
        <v>1.9525260221976842E-2</v>
      </c>
      <c r="G314" s="11">
        <f t="shared" si="18"/>
        <v>8.5352601824305232E-3</v>
      </c>
      <c r="H314" s="11">
        <f t="shared" si="19"/>
        <v>1.0493571022689694E-2</v>
      </c>
    </row>
    <row r="315" spans="1:8">
      <c r="A315" s="65">
        <v>45047</v>
      </c>
      <c r="B315" s="11">
        <v>32.490692000000003</v>
      </c>
      <c r="C315" s="11">
        <v>410.85140999999999</v>
      </c>
      <c r="D315">
        <v>49.732277000000003</v>
      </c>
      <c r="F315" s="11">
        <f t="shared" si="18"/>
        <v>-4.7140749026614703E-3</v>
      </c>
      <c r="G315" s="11">
        <f t="shared" si="18"/>
        <v>-1.0098410004112648E-3</v>
      </c>
      <c r="H315" s="11">
        <f t="shared" si="19"/>
        <v>5.7691995843695378E-4</v>
      </c>
    </row>
    <row r="316" spans="1:8">
      <c r="A316" s="65">
        <v>45048</v>
      </c>
      <c r="B316" s="11">
        <v>31.451913999999999</v>
      </c>
      <c r="C316" s="11">
        <v>406.23373400000003</v>
      </c>
      <c r="D316">
        <v>48.537478999999998</v>
      </c>
      <c r="F316" s="11">
        <f t="shared" si="18"/>
        <v>-3.1971556653825783E-2</v>
      </c>
      <c r="G316" s="11">
        <f t="shared" si="18"/>
        <v>-1.1239284781814332E-2</v>
      </c>
      <c r="H316" s="11">
        <f t="shared" si="19"/>
        <v>-2.4024598753039313E-2</v>
      </c>
    </row>
    <row r="317" spans="1:8">
      <c r="A317" s="65">
        <v>45049</v>
      </c>
      <c r="B317" s="11">
        <v>30.894048999999999</v>
      </c>
      <c r="C317" s="11">
        <v>403.44537400000002</v>
      </c>
      <c r="D317">
        <v>48.164703000000003</v>
      </c>
      <c r="F317" s="11">
        <f t="shared" si="18"/>
        <v>-1.7737076350901878E-2</v>
      </c>
      <c r="G317" s="11">
        <f t="shared" si="18"/>
        <v>-6.8639302121571502E-3</v>
      </c>
      <c r="H317" s="11">
        <f t="shared" si="19"/>
        <v>-7.6801681438789741E-3</v>
      </c>
    </row>
    <row r="318" spans="1:8">
      <c r="A318" s="65">
        <v>45050</v>
      </c>
      <c r="B318" s="11">
        <v>31.163364000000001</v>
      </c>
      <c r="C318" s="11">
        <v>400.58776899999998</v>
      </c>
      <c r="D318">
        <v>48.317635000000003</v>
      </c>
      <c r="F318" s="11">
        <f t="shared" si="18"/>
        <v>8.7173746633211601E-3</v>
      </c>
      <c r="G318" s="11">
        <f t="shared" si="18"/>
        <v>-7.0830035096648173E-3</v>
      </c>
      <c r="H318" s="11">
        <f t="shared" si="19"/>
        <v>3.1751882701321721E-3</v>
      </c>
    </row>
    <row r="319" spans="1:8">
      <c r="A319" s="65">
        <v>45051</v>
      </c>
      <c r="B319" s="11">
        <v>31.557714000000001</v>
      </c>
      <c r="C319" s="11">
        <v>408.003693</v>
      </c>
      <c r="D319">
        <v>48.795555</v>
      </c>
      <c r="F319" s="11">
        <f t="shared" si="18"/>
        <v>1.2654282124356001E-2</v>
      </c>
      <c r="G319" s="11">
        <f t="shared" si="18"/>
        <v>1.8512607158507673E-2</v>
      </c>
      <c r="H319" s="11">
        <f t="shared" si="19"/>
        <v>9.8912125976364004E-3</v>
      </c>
    </row>
    <row r="320" spans="1:8">
      <c r="A320" s="65">
        <v>45054</v>
      </c>
      <c r="B320" s="11">
        <v>31.711608999999999</v>
      </c>
      <c r="C320" s="11">
        <v>408.11248799999998</v>
      </c>
      <c r="D320">
        <v>49.091866000000003</v>
      </c>
      <c r="F320" s="11">
        <f t="shared" si="18"/>
        <v>4.8766206576306053E-3</v>
      </c>
      <c r="G320" s="11">
        <f t="shared" si="18"/>
        <v>2.6665199817195386E-4</v>
      </c>
      <c r="H320" s="11">
        <f t="shared" si="19"/>
        <v>6.0724998414302877E-3</v>
      </c>
    </row>
    <row r="321" spans="1:8">
      <c r="A321" s="65">
        <v>45055</v>
      </c>
      <c r="B321" s="11">
        <v>31.692373</v>
      </c>
      <c r="C321" s="11">
        <v>406.322723</v>
      </c>
      <c r="D321">
        <v>48.690407</v>
      </c>
      <c r="F321" s="11">
        <f t="shared" si="18"/>
        <v>-6.0659173742963859E-4</v>
      </c>
      <c r="G321" s="11">
        <f t="shared" si="18"/>
        <v>-4.3854698217418641E-3</v>
      </c>
      <c r="H321" s="11">
        <f t="shared" si="19"/>
        <v>-8.1777091137664772E-3</v>
      </c>
    </row>
    <row r="322" spans="1:8">
      <c r="A322" s="65">
        <v>45056</v>
      </c>
      <c r="B322" s="11">
        <v>31.307635999999999</v>
      </c>
      <c r="C322" s="11">
        <v>408.22122200000001</v>
      </c>
      <c r="D322">
        <v>48.547035000000001</v>
      </c>
      <c r="F322" s="11">
        <f t="shared" si="18"/>
        <v>-1.213973469263413E-2</v>
      </c>
      <c r="G322" s="11">
        <f t="shared" si="18"/>
        <v>4.6723919006617194E-3</v>
      </c>
      <c r="H322" s="11">
        <f t="shared" si="19"/>
        <v>-2.9445635975069869E-3</v>
      </c>
    </row>
    <row r="323" spans="1:8">
      <c r="A323" s="65">
        <v>45057</v>
      </c>
      <c r="B323" s="11">
        <v>30.701685000000001</v>
      </c>
      <c r="C323" s="11">
        <v>407.50930799999998</v>
      </c>
      <c r="D323">
        <v>47.323563</v>
      </c>
      <c r="F323" s="11">
        <f t="shared" si="18"/>
        <v>-1.9354735055690488E-2</v>
      </c>
      <c r="G323" s="11">
        <f t="shared" si="18"/>
        <v>-1.7439416709208609E-3</v>
      </c>
      <c r="H323" s="11">
        <f t="shared" si="19"/>
        <v>-2.5201786267688663E-2</v>
      </c>
    </row>
    <row r="324" spans="1:8">
      <c r="A324" s="65">
        <v>45058</v>
      </c>
      <c r="B324" s="11">
        <v>30.682447</v>
      </c>
      <c r="C324" s="11">
        <v>406.97534200000001</v>
      </c>
      <c r="D324">
        <v>46.931671000000001</v>
      </c>
      <c r="F324" s="11">
        <f t="shared" ref="F324:G387" si="20">(B324-B323)/B323</f>
        <v>-6.2661055899705242E-4</v>
      </c>
      <c r="G324" s="11">
        <f t="shared" si="20"/>
        <v>-1.3103160823996786E-3</v>
      </c>
      <c r="H324" s="11">
        <f t="shared" ref="H324:H387" si="21">(D324-D323)/D323</f>
        <v>-8.2811178017174782E-3</v>
      </c>
    </row>
    <row r="325" spans="1:8">
      <c r="A325" s="65">
        <v>45061</v>
      </c>
      <c r="B325" s="11">
        <v>30.605497</v>
      </c>
      <c r="C325" s="11">
        <v>408.379456</v>
      </c>
      <c r="D325">
        <v>46.549334999999999</v>
      </c>
      <c r="F325" s="11">
        <f t="shared" si="20"/>
        <v>-2.5079486000578791E-3</v>
      </c>
      <c r="G325" s="11">
        <f t="shared" si="20"/>
        <v>3.4501205726611139E-3</v>
      </c>
      <c r="H325" s="11">
        <f t="shared" si="21"/>
        <v>-8.1466521829150762E-3</v>
      </c>
    </row>
    <row r="326" spans="1:8">
      <c r="A326" s="65">
        <v>45062</v>
      </c>
      <c r="B326" s="11">
        <v>29.912980999999998</v>
      </c>
      <c r="C326" s="11">
        <v>405.65035999999998</v>
      </c>
      <c r="D326">
        <v>46.109653000000002</v>
      </c>
      <c r="F326" s="11">
        <f t="shared" si="20"/>
        <v>-2.2627177072144955E-2</v>
      </c>
      <c r="G326" s="11">
        <f t="shared" si="20"/>
        <v>-6.6827455688662921E-3</v>
      </c>
      <c r="H326" s="11">
        <f t="shared" si="21"/>
        <v>-9.4455055050732244E-3</v>
      </c>
    </row>
    <row r="327" spans="1:8">
      <c r="A327" s="65">
        <v>45063</v>
      </c>
      <c r="B327" s="11">
        <v>30.297712000000001</v>
      </c>
      <c r="C327" s="11">
        <v>410.57455399999998</v>
      </c>
      <c r="D327">
        <v>46.912556000000002</v>
      </c>
      <c r="F327" s="11">
        <f t="shared" si="20"/>
        <v>1.2861673666024866E-2</v>
      </c>
      <c r="G327" s="11">
        <f t="shared" si="20"/>
        <v>1.2139010550859614E-2</v>
      </c>
      <c r="H327" s="11">
        <f t="shared" si="21"/>
        <v>1.7412904842289759E-2</v>
      </c>
    </row>
    <row r="328" spans="1:8">
      <c r="A328" s="65">
        <v>45064</v>
      </c>
      <c r="B328" s="11">
        <v>30.172675999999999</v>
      </c>
      <c r="C328" s="11">
        <v>414.52969400000001</v>
      </c>
      <c r="D328">
        <v>46.644919999999999</v>
      </c>
      <c r="F328" s="11">
        <f t="shared" si="20"/>
        <v>-4.126912289614525E-3</v>
      </c>
      <c r="G328" s="11">
        <f t="shared" si="20"/>
        <v>9.633183453449063E-3</v>
      </c>
      <c r="H328" s="11">
        <f t="shared" si="21"/>
        <v>-5.7049971866807488E-3</v>
      </c>
    </row>
    <row r="329" spans="1:8">
      <c r="A329" s="65">
        <v>45065</v>
      </c>
      <c r="B329" s="11">
        <v>30.393896000000002</v>
      </c>
      <c r="C329" s="11">
        <v>413.92654399999998</v>
      </c>
      <c r="D329">
        <v>46.472861999999999</v>
      </c>
      <c r="F329" s="11">
        <f t="shared" si="20"/>
        <v>7.3317991417135965E-3</v>
      </c>
      <c r="G329" s="11">
        <f t="shared" si="20"/>
        <v>-1.4550224235565326E-3</v>
      </c>
      <c r="H329" s="11">
        <f t="shared" si="21"/>
        <v>-3.6886760659038502E-3</v>
      </c>
    </row>
    <row r="330" spans="1:8">
      <c r="A330" s="65">
        <v>45068</v>
      </c>
      <c r="B330" s="11">
        <v>30.403517000000001</v>
      </c>
      <c r="C330" s="11">
        <v>414.094604</v>
      </c>
      <c r="D330">
        <v>46.310375000000001</v>
      </c>
      <c r="F330" s="11">
        <f t="shared" si="20"/>
        <v>3.1654382182525116E-4</v>
      </c>
      <c r="G330" s="11">
        <f t="shared" si="20"/>
        <v>4.0601406804204715E-4</v>
      </c>
      <c r="H330" s="11">
        <f t="shared" si="21"/>
        <v>-3.4963846212010511E-3</v>
      </c>
    </row>
    <row r="331" spans="1:8">
      <c r="A331" s="65">
        <v>45069</v>
      </c>
      <c r="B331" s="11">
        <v>29.903362000000001</v>
      </c>
      <c r="C331" s="11">
        <v>409.44732699999997</v>
      </c>
      <c r="D331">
        <v>45.746433000000003</v>
      </c>
      <c r="F331" s="11">
        <f t="shared" si="20"/>
        <v>-1.645056392653519E-2</v>
      </c>
      <c r="G331" s="11">
        <f t="shared" si="20"/>
        <v>-1.1222742231144917E-2</v>
      </c>
      <c r="H331" s="11">
        <f t="shared" si="21"/>
        <v>-1.21774440392676E-2</v>
      </c>
    </row>
    <row r="332" spans="1:8">
      <c r="A332" s="65">
        <v>45070</v>
      </c>
      <c r="B332" s="11">
        <v>29.441683000000001</v>
      </c>
      <c r="C332" s="11">
        <v>406.48095699999999</v>
      </c>
      <c r="D332">
        <v>45.086903</v>
      </c>
      <c r="F332" s="11">
        <f t="shared" si="20"/>
        <v>-1.5439033243151727E-2</v>
      </c>
      <c r="G332" s="11">
        <f t="shared" si="20"/>
        <v>-7.2448146669668789E-3</v>
      </c>
      <c r="H332" s="11">
        <f t="shared" si="21"/>
        <v>-1.4417080343728739E-2</v>
      </c>
    </row>
    <row r="333" spans="1:8">
      <c r="A333" s="65">
        <v>45071</v>
      </c>
      <c r="B333" s="11">
        <v>29.124279000000001</v>
      </c>
      <c r="C333" s="11">
        <v>410.00103799999999</v>
      </c>
      <c r="D333">
        <v>44.761921000000001</v>
      </c>
      <c r="F333" s="11">
        <f t="shared" si="20"/>
        <v>-1.0780769564022538E-2</v>
      </c>
      <c r="G333" s="11">
        <f t="shared" si="20"/>
        <v>8.6598915382892216E-3</v>
      </c>
      <c r="H333" s="11">
        <f t="shared" si="21"/>
        <v>-7.2079024811262495E-3</v>
      </c>
    </row>
    <row r="334" spans="1:8">
      <c r="A334" s="65">
        <v>45072</v>
      </c>
      <c r="B334" s="11">
        <v>29.364737000000002</v>
      </c>
      <c r="C334" s="11">
        <v>415.31082199999997</v>
      </c>
      <c r="D334">
        <v>45.000877000000003</v>
      </c>
      <c r="F334" s="11">
        <f t="shared" si="20"/>
        <v>8.2562730565793677E-3</v>
      </c>
      <c r="G334" s="11">
        <f t="shared" si="20"/>
        <v>1.2950659895646361E-2</v>
      </c>
      <c r="H334" s="11">
        <f t="shared" si="21"/>
        <v>5.3383767868229277E-3</v>
      </c>
    </row>
    <row r="335" spans="1:8">
      <c r="A335" s="65">
        <v>45076</v>
      </c>
      <c r="B335" s="11">
        <v>29.355119999999999</v>
      </c>
      <c r="C335" s="11">
        <v>415.46902499999999</v>
      </c>
      <c r="D335">
        <v>45.430999999999997</v>
      </c>
      <c r="F335" s="11">
        <f t="shared" si="20"/>
        <v>-3.2750165615316789E-4</v>
      </c>
      <c r="G335" s="11">
        <f t="shared" si="20"/>
        <v>3.8092674599270263E-4</v>
      </c>
      <c r="H335" s="11">
        <f t="shared" si="21"/>
        <v>9.5581026120889756E-3</v>
      </c>
    </row>
    <row r="336" spans="1:8">
      <c r="A336" s="65">
        <v>45077</v>
      </c>
      <c r="B336" s="11">
        <v>29.749469999999999</v>
      </c>
      <c r="C336" s="11">
        <v>413.16519199999999</v>
      </c>
      <c r="D336">
        <v>46.014065000000002</v>
      </c>
      <c r="F336" s="11">
        <f t="shared" si="20"/>
        <v>1.3433772370884511E-2</v>
      </c>
      <c r="G336" s="11">
        <f t="shared" si="20"/>
        <v>-5.545137811416862E-3</v>
      </c>
      <c r="H336" s="11">
        <f t="shared" si="21"/>
        <v>1.2834078052431266E-2</v>
      </c>
    </row>
    <row r="337" spans="1:8">
      <c r="A337" s="65">
        <v>45078</v>
      </c>
      <c r="B337" s="11">
        <v>29.759087000000001</v>
      </c>
      <c r="C337" s="11">
        <v>417.09066799999999</v>
      </c>
      <c r="D337">
        <v>46.482430000000001</v>
      </c>
      <c r="F337" s="11">
        <f t="shared" si="20"/>
        <v>3.2326626323098221E-4</v>
      </c>
      <c r="G337" s="11">
        <f t="shared" si="20"/>
        <v>9.5009842939528244E-3</v>
      </c>
      <c r="H337" s="11">
        <f t="shared" si="21"/>
        <v>1.0178735567048871E-2</v>
      </c>
    </row>
    <row r="338" spans="1:8">
      <c r="A338" s="65">
        <v>45079</v>
      </c>
      <c r="B338" s="11">
        <v>30.403517000000001</v>
      </c>
      <c r="C338" s="11">
        <v>423.12228399999998</v>
      </c>
      <c r="D338">
        <v>48.030884</v>
      </c>
      <c r="F338" s="11">
        <f t="shared" si="20"/>
        <v>2.1654898216467454E-2</v>
      </c>
      <c r="G338" s="11">
        <f t="shared" si="20"/>
        <v>1.4461162674586586E-2</v>
      </c>
      <c r="H338" s="11">
        <f t="shared" si="21"/>
        <v>3.3312673197162877E-2</v>
      </c>
    </row>
    <row r="339" spans="1:8">
      <c r="A339" s="65">
        <v>45082</v>
      </c>
      <c r="B339" s="11">
        <v>30.595880999999999</v>
      </c>
      <c r="C339" s="11">
        <v>422.31146200000001</v>
      </c>
      <c r="D339">
        <v>47.419150999999999</v>
      </c>
      <c r="F339" s="11">
        <f t="shared" si="20"/>
        <v>6.327031178662579E-3</v>
      </c>
      <c r="G339" s="11">
        <f t="shared" si="20"/>
        <v>-1.9162829060545847E-3</v>
      </c>
      <c r="H339" s="11">
        <f t="shared" si="21"/>
        <v>-1.2736242789118788E-2</v>
      </c>
    </row>
    <row r="340" spans="1:8">
      <c r="A340" s="65">
        <v>45083</v>
      </c>
      <c r="B340" s="11">
        <v>30.730537000000002</v>
      </c>
      <c r="C340" s="11">
        <v>423.23104899999998</v>
      </c>
      <c r="D340">
        <v>47.409587999999999</v>
      </c>
      <c r="F340" s="11">
        <f t="shared" si="20"/>
        <v>4.4011153004550911E-3</v>
      </c>
      <c r="G340" s="11">
        <f t="shared" si="20"/>
        <v>2.1775089779589706E-3</v>
      </c>
      <c r="H340" s="11">
        <f t="shared" si="21"/>
        <v>-2.0166957438778245E-4</v>
      </c>
    </row>
    <row r="341" spans="1:8">
      <c r="A341" s="65">
        <v>45084</v>
      </c>
      <c r="B341" s="11">
        <v>31.259547999999999</v>
      </c>
      <c r="C341" s="11">
        <v>421.76760899999999</v>
      </c>
      <c r="D341">
        <v>48.059559</v>
      </c>
      <c r="F341" s="11">
        <f t="shared" si="20"/>
        <v>1.7214505558428642E-2</v>
      </c>
      <c r="G341" s="11">
        <f t="shared" si="20"/>
        <v>-3.4577803387954918E-3</v>
      </c>
      <c r="H341" s="11">
        <f t="shared" si="21"/>
        <v>1.3709695178114619E-2</v>
      </c>
    </row>
    <row r="342" spans="1:8">
      <c r="A342" s="65">
        <v>45085</v>
      </c>
      <c r="B342" s="11">
        <v>31.115266999999999</v>
      </c>
      <c r="C342" s="11">
        <v>424.31869499999999</v>
      </c>
      <c r="D342">
        <v>47.916182999999997</v>
      </c>
      <c r="F342" s="11">
        <f t="shared" si="20"/>
        <v>-4.6155817736072014E-3</v>
      </c>
      <c r="G342" s="11">
        <f t="shared" si="20"/>
        <v>6.0485583661783714E-3</v>
      </c>
      <c r="H342" s="11">
        <f t="shared" si="21"/>
        <v>-2.9832982861953332E-3</v>
      </c>
    </row>
    <row r="343" spans="1:8">
      <c r="A343" s="65">
        <v>45086</v>
      </c>
      <c r="B343" s="11">
        <v>31.067178999999999</v>
      </c>
      <c r="C343" s="11">
        <v>425.08004799999998</v>
      </c>
      <c r="D343">
        <v>47.591197999999999</v>
      </c>
      <c r="F343" s="11">
        <f t="shared" si="20"/>
        <v>-1.5454792658536373E-3</v>
      </c>
      <c r="G343" s="11">
        <f t="shared" si="20"/>
        <v>1.7942952053997658E-3</v>
      </c>
      <c r="H343" s="11">
        <f t="shared" si="21"/>
        <v>-6.7823641127674568E-3</v>
      </c>
    </row>
    <row r="344" spans="1:8">
      <c r="A344" s="65">
        <v>45089</v>
      </c>
      <c r="B344" s="11">
        <v>30.874811000000001</v>
      </c>
      <c r="C344" s="11">
        <v>428.93633999999997</v>
      </c>
      <c r="D344">
        <v>47.275772000000003</v>
      </c>
      <c r="F344" s="11">
        <f t="shared" si="20"/>
        <v>-6.1920008894273378E-3</v>
      </c>
      <c r="G344" s="11">
        <f t="shared" si="20"/>
        <v>9.0719195552551469E-3</v>
      </c>
      <c r="H344" s="11">
        <f t="shared" si="21"/>
        <v>-6.6278222288078375E-3</v>
      </c>
    </row>
    <row r="345" spans="1:8">
      <c r="A345" s="65">
        <v>45090</v>
      </c>
      <c r="B345" s="11">
        <v>31.00947</v>
      </c>
      <c r="C345" s="11">
        <v>431.76431300000002</v>
      </c>
      <c r="D345">
        <v>47.371357000000003</v>
      </c>
      <c r="F345" s="11">
        <f t="shared" si="20"/>
        <v>4.3614517996563348E-3</v>
      </c>
      <c r="G345" s="11">
        <f t="shared" si="20"/>
        <v>6.592989999401876E-3</v>
      </c>
      <c r="H345" s="11">
        <f t="shared" si="21"/>
        <v>2.0218601612682244E-3</v>
      </c>
    </row>
    <row r="346" spans="1:8">
      <c r="A346" s="65">
        <v>45091</v>
      </c>
      <c r="B346" s="11">
        <v>31.144127000000001</v>
      </c>
      <c r="C346" s="11">
        <v>432.27844199999998</v>
      </c>
      <c r="D346">
        <v>47.916182999999997</v>
      </c>
      <c r="F346" s="11">
        <f t="shared" si="20"/>
        <v>4.3424476458320859E-3</v>
      </c>
      <c r="G346" s="11">
        <f t="shared" si="20"/>
        <v>1.1907630726302489E-3</v>
      </c>
      <c r="H346" s="11">
        <f t="shared" si="21"/>
        <v>1.150116936696564E-2</v>
      </c>
    </row>
    <row r="347" spans="1:8">
      <c r="A347" s="65">
        <v>45092</v>
      </c>
      <c r="B347" s="11">
        <v>31.298017999999999</v>
      </c>
      <c r="C347" s="11">
        <v>437.63769500000001</v>
      </c>
      <c r="D347">
        <v>48.439857000000003</v>
      </c>
      <c r="F347" s="11">
        <f t="shared" si="20"/>
        <v>4.9412526477302767E-3</v>
      </c>
      <c r="G347" s="11">
        <f t="shared" si="20"/>
        <v>1.2397687414631757E-2</v>
      </c>
      <c r="H347" s="11">
        <f t="shared" si="21"/>
        <v>1.0928959011614238E-2</v>
      </c>
    </row>
    <row r="348" spans="1:8">
      <c r="A348" s="65">
        <v>45093</v>
      </c>
      <c r="B348" s="11">
        <v>31.105651999999999</v>
      </c>
      <c r="C348" s="11">
        <v>436.146973</v>
      </c>
      <c r="D348">
        <v>48.323486000000003</v>
      </c>
      <c r="F348" s="11">
        <f t="shared" si="20"/>
        <v>-6.1462677924205879E-3</v>
      </c>
      <c r="G348" s="11">
        <f t="shared" si="20"/>
        <v>-3.4062925041226286E-3</v>
      </c>
      <c r="H348" s="11">
        <f t="shared" si="21"/>
        <v>-2.4023811630988277E-3</v>
      </c>
    </row>
    <row r="349" spans="1:8">
      <c r="A349" s="65">
        <v>45097</v>
      </c>
      <c r="B349" s="11">
        <v>30.692063999999998</v>
      </c>
      <c r="C349" s="11">
        <v>433.884186</v>
      </c>
      <c r="D349">
        <v>47.567065999999997</v>
      </c>
      <c r="F349" s="11">
        <f t="shared" si="20"/>
        <v>-1.3296233109018282E-2</v>
      </c>
      <c r="G349" s="11">
        <f t="shared" si="20"/>
        <v>-5.1881295528331062E-3</v>
      </c>
      <c r="H349" s="11">
        <f t="shared" si="21"/>
        <v>-1.5653258127942292E-2</v>
      </c>
    </row>
    <row r="350" spans="1:8">
      <c r="A350" s="65">
        <v>45098</v>
      </c>
      <c r="B350" s="11">
        <v>30.322044000000002</v>
      </c>
      <c r="C350" s="11">
        <v>431.66107199999999</v>
      </c>
      <c r="D350">
        <v>47.237347</v>
      </c>
      <c r="F350" s="11">
        <f t="shared" si="20"/>
        <v>-1.2055885195599641E-2</v>
      </c>
      <c r="G350" s="11">
        <f t="shared" si="20"/>
        <v>-5.1237497740929637E-3</v>
      </c>
      <c r="H350" s="11">
        <f t="shared" si="21"/>
        <v>-6.9316657033250111E-3</v>
      </c>
    </row>
    <row r="351" spans="1:8">
      <c r="A351" s="65">
        <v>45099</v>
      </c>
      <c r="B351" s="11">
        <v>30.302572000000001</v>
      </c>
      <c r="C351" s="11">
        <v>433.219269</v>
      </c>
      <c r="D351">
        <v>46.713673</v>
      </c>
      <c r="F351" s="11">
        <f t="shared" si="20"/>
        <v>-6.4217306722463624E-4</v>
      </c>
      <c r="G351" s="11">
        <f t="shared" si="20"/>
        <v>3.6097695647663288E-3</v>
      </c>
      <c r="H351" s="11">
        <f t="shared" si="21"/>
        <v>-1.108601632517592E-2</v>
      </c>
    </row>
    <row r="352" spans="1:8">
      <c r="A352" s="65">
        <v>45100</v>
      </c>
      <c r="B352" s="11">
        <v>29.825441000000001</v>
      </c>
      <c r="C352" s="11">
        <v>429.94409200000001</v>
      </c>
      <c r="D352">
        <v>45.792392999999997</v>
      </c>
      <c r="F352" s="11">
        <f t="shared" si="20"/>
        <v>-1.5745561135866618E-2</v>
      </c>
      <c r="G352" s="11">
        <f t="shared" si="20"/>
        <v>-7.560090777033247E-3</v>
      </c>
      <c r="H352" s="11">
        <f t="shared" si="21"/>
        <v>-1.9721848889938561E-2</v>
      </c>
    </row>
    <row r="353" spans="1:8">
      <c r="A353" s="65">
        <v>45103</v>
      </c>
      <c r="B353" s="11">
        <v>30.575216000000001</v>
      </c>
      <c r="C353" s="11">
        <v>428.18746900000002</v>
      </c>
      <c r="D353">
        <v>46.451836</v>
      </c>
      <c r="F353" s="11">
        <f t="shared" si="20"/>
        <v>2.5138773304307541E-2</v>
      </c>
      <c r="G353" s="11">
        <f t="shared" si="20"/>
        <v>-4.0857009845828756E-3</v>
      </c>
      <c r="H353" s="11">
        <f t="shared" si="21"/>
        <v>1.4400710615844059E-2</v>
      </c>
    </row>
    <row r="354" spans="1:8">
      <c r="A354" s="65">
        <v>45104</v>
      </c>
      <c r="B354" s="11">
        <v>30.273358999999999</v>
      </c>
      <c r="C354" s="11">
        <v>432.88183600000002</v>
      </c>
      <c r="D354">
        <v>46.267581999999997</v>
      </c>
      <c r="F354" s="11">
        <f t="shared" si="20"/>
        <v>-9.8726040071148418E-3</v>
      </c>
      <c r="G354" s="11">
        <f t="shared" si="20"/>
        <v>1.0963345123021336E-2</v>
      </c>
      <c r="H354" s="11">
        <f t="shared" si="21"/>
        <v>-3.9665601161599472E-3</v>
      </c>
    </row>
    <row r="355" spans="1:8">
      <c r="A355" s="65">
        <v>45105</v>
      </c>
      <c r="B355" s="11">
        <v>30.185721999999998</v>
      </c>
      <c r="C355" s="11">
        <v>433.100189</v>
      </c>
      <c r="D355">
        <v>46.160904000000002</v>
      </c>
      <c r="F355" s="11">
        <f t="shared" si="20"/>
        <v>-2.8948555064537388E-3</v>
      </c>
      <c r="G355" s="11">
        <f t="shared" si="20"/>
        <v>5.0441709917340848E-4</v>
      </c>
      <c r="H355" s="11">
        <f t="shared" si="21"/>
        <v>-2.3056748459427852E-3</v>
      </c>
    </row>
    <row r="356" spans="1:8">
      <c r="A356" s="65">
        <v>45106</v>
      </c>
      <c r="B356" s="11">
        <v>30.55574</v>
      </c>
      <c r="C356" s="11">
        <v>434.80715900000001</v>
      </c>
      <c r="D356">
        <v>47.091881000000001</v>
      </c>
      <c r="F356" s="11">
        <f t="shared" si="20"/>
        <v>1.2258047032964849E-2</v>
      </c>
      <c r="G356" s="11">
        <f t="shared" si="20"/>
        <v>3.9412820482514557E-3</v>
      </c>
      <c r="H356" s="11">
        <f t="shared" si="21"/>
        <v>2.0168084229892868E-2</v>
      </c>
    </row>
    <row r="357" spans="1:8">
      <c r="A357" s="65">
        <v>45107</v>
      </c>
      <c r="B357" s="11">
        <v>30.604429</v>
      </c>
      <c r="C357" s="11">
        <v>439.93820199999999</v>
      </c>
      <c r="D357">
        <v>46.994903999999998</v>
      </c>
      <c r="F357" s="11">
        <f t="shared" si="20"/>
        <v>1.5934485631832035E-3</v>
      </c>
      <c r="G357" s="11">
        <f t="shared" si="20"/>
        <v>1.1800732563375244E-2</v>
      </c>
      <c r="H357" s="11">
        <f t="shared" si="21"/>
        <v>-2.059314640670279E-3</v>
      </c>
    </row>
    <row r="358" spans="1:8">
      <c r="A358" s="65">
        <v>45110</v>
      </c>
      <c r="B358" s="11">
        <v>30.993921</v>
      </c>
      <c r="C358" s="11">
        <v>440.444366</v>
      </c>
      <c r="D358">
        <v>47.499184</v>
      </c>
      <c r="F358" s="11">
        <f t="shared" si="20"/>
        <v>1.2726654694325473E-2</v>
      </c>
      <c r="G358" s="11">
        <f t="shared" si="20"/>
        <v>1.1505343198179741E-3</v>
      </c>
      <c r="H358" s="11">
        <f t="shared" si="21"/>
        <v>1.0730525165026433E-2</v>
      </c>
    </row>
    <row r="359" spans="1:8">
      <c r="A359" s="65">
        <v>45112</v>
      </c>
      <c r="B359" s="11">
        <v>30.507055000000001</v>
      </c>
      <c r="C359" s="11">
        <v>439.78933699999999</v>
      </c>
      <c r="D359">
        <v>46.694274999999998</v>
      </c>
      <c r="F359" s="11">
        <f t="shared" si="20"/>
        <v>-1.5708435212182386E-2</v>
      </c>
      <c r="G359" s="11">
        <f t="shared" si="20"/>
        <v>-1.487200315328845E-3</v>
      </c>
      <c r="H359" s="11">
        <f t="shared" si="21"/>
        <v>-1.6945743741618849E-2</v>
      </c>
    </row>
    <row r="360" spans="1:8">
      <c r="A360" s="65">
        <v>45113</v>
      </c>
      <c r="B360" s="11">
        <v>30.127300000000002</v>
      </c>
      <c r="C360" s="11">
        <v>436.34548999999998</v>
      </c>
      <c r="D360">
        <v>45.918461000000001</v>
      </c>
      <c r="F360" s="11">
        <f t="shared" si="20"/>
        <v>-1.244810421720482E-2</v>
      </c>
      <c r="G360" s="11">
        <f t="shared" si="20"/>
        <v>-7.8306741666181075E-3</v>
      </c>
      <c r="H360" s="11">
        <f t="shared" si="21"/>
        <v>-1.6614756305778321E-2</v>
      </c>
    </row>
    <row r="361" spans="1:8">
      <c r="A361" s="65">
        <v>45114</v>
      </c>
      <c r="B361" s="11">
        <v>30.312308999999999</v>
      </c>
      <c r="C361" s="11">
        <v>435.24386600000003</v>
      </c>
      <c r="D361">
        <v>46.500323999999999</v>
      </c>
      <c r="F361" s="11">
        <f t="shared" si="20"/>
        <v>6.1409087438966418E-3</v>
      </c>
      <c r="G361" s="11">
        <f t="shared" si="20"/>
        <v>-2.5246599890374906E-3</v>
      </c>
      <c r="H361" s="11">
        <f t="shared" si="21"/>
        <v>1.2671657266562102E-2</v>
      </c>
    </row>
    <row r="362" spans="1:8">
      <c r="A362" s="65">
        <v>45117</v>
      </c>
      <c r="B362" s="11">
        <v>30.701803000000002</v>
      </c>
      <c r="C362" s="11">
        <v>436.34548999999998</v>
      </c>
      <c r="D362">
        <v>46.888229000000003</v>
      </c>
      <c r="F362" s="11">
        <f t="shared" si="20"/>
        <v>1.2849367562200646E-2</v>
      </c>
      <c r="G362" s="11">
        <f t="shared" si="20"/>
        <v>2.5310500297779231E-3</v>
      </c>
      <c r="H362" s="11">
        <f t="shared" si="21"/>
        <v>8.3419848859548479E-3</v>
      </c>
    </row>
    <row r="363" spans="1:8">
      <c r="A363" s="65">
        <v>45118</v>
      </c>
      <c r="B363" s="11">
        <v>30.954972999999999</v>
      </c>
      <c r="C363" s="11">
        <v>439.12435900000003</v>
      </c>
      <c r="D363">
        <v>47.159767000000002</v>
      </c>
      <c r="F363" s="11">
        <f t="shared" si="20"/>
        <v>8.2460955143252405E-3</v>
      </c>
      <c r="G363" s="11">
        <f t="shared" si="20"/>
        <v>6.3685062953212669E-3</v>
      </c>
      <c r="H363" s="11">
        <f t="shared" si="21"/>
        <v>5.7911762886160532E-3</v>
      </c>
    </row>
    <row r="364" spans="1:8">
      <c r="A364" s="65">
        <v>45119</v>
      </c>
      <c r="B364" s="11">
        <v>31.071821</v>
      </c>
      <c r="C364" s="11">
        <v>442.657532</v>
      </c>
      <c r="D364">
        <v>47.043391999999997</v>
      </c>
      <c r="F364" s="11">
        <f t="shared" si="20"/>
        <v>3.7747731196535353E-3</v>
      </c>
      <c r="G364" s="11">
        <f t="shared" si="20"/>
        <v>8.0459508282481242E-3</v>
      </c>
      <c r="H364" s="11">
        <f t="shared" si="21"/>
        <v>-2.4676754658267291E-3</v>
      </c>
    </row>
    <row r="365" spans="1:8">
      <c r="A365" s="65">
        <v>45120</v>
      </c>
      <c r="B365" s="11">
        <v>30.546006999999999</v>
      </c>
      <c r="C365" s="11">
        <v>446.17086799999998</v>
      </c>
      <c r="D365">
        <v>46.927021000000003</v>
      </c>
      <c r="F365" s="11">
        <f t="shared" si="20"/>
        <v>-1.6922535695606655E-2</v>
      </c>
      <c r="G365" s="11">
        <f t="shared" si="20"/>
        <v>7.9369167946293541E-3</v>
      </c>
      <c r="H365" s="11">
        <f t="shared" si="21"/>
        <v>-2.4736949240393592E-3</v>
      </c>
    </row>
    <row r="366" spans="1:8">
      <c r="A366" s="65">
        <v>45121</v>
      </c>
      <c r="B366" s="11">
        <v>30.682327000000001</v>
      </c>
      <c r="C366" s="11">
        <v>445.89297499999998</v>
      </c>
      <c r="D366">
        <v>47.101578000000003</v>
      </c>
      <c r="F366" s="11">
        <f t="shared" si="20"/>
        <v>4.4627764277013794E-3</v>
      </c>
      <c r="G366" s="11">
        <f t="shared" si="20"/>
        <v>-6.2283985784568514E-4</v>
      </c>
      <c r="H366" s="11">
        <f t="shared" si="21"/>
        <v>3.7197545524997222E-3</v>
      </c>
    </row>
    <row r="367" spans="1:8">
      <c r="A367" s="65">
        <v>45124</v>
      </c>
      <c r="B367" s="11">
        <v>30.721274999999999</v>
      </c>
      <c r="C367" s="11">
        <v>447.44122299999998</v>
      </c>
      <c r="D367">
        <v>46.849437999999999</v>
      </c>
      <c r="F367" s="11">
        <f t="shared" si="20"/>
        <v>1.269395245021597E-3</v>
      </c>
      <c r="G367" s="11">
        <f t="shared" si="20"/>
        <v>3.4722412928797565E-3</v>
      </c>
      <c r="H367" s="11">
        <f t="shared" si="21"/>
        <v>-5.3531115242042258E-3</v>
      </c>
    </row>
    <row r="368" spans="1:8">
      <c r="A368" s="65">
        <v>45125</v>
      </c>
      <c r="B368" s="11">
        <v>30.721274999999999</v>
      </c>
      <c r="C368" s="11">
        <v>450.765961</v>
      </c>
      <c r="D368">
        <v>46.771858000000002</v>
      </c>
      <c r="F368" s="11">
        <f t="shared" si="20"/>
        <v>0</v>
      </c>
      <c r="G368" s="11">
        <f t="shared" si="20"/>
        <v>7.4305580914256191E-3</v>
      </c>
      <c r="H368" s="11">
        <f t="shared" si="21"/>
        <v>-1.6559430232652426E-3</v>
      </c>
    </row>
    <row r="369" spans="1:8">
      <c r="A369" s="65">
        <v>45126</v>
      </c>
      <c r="B369" s="11">
        <v>31.305519</v>
      </c>
      <c r="C369" s="11">
        <v>451.768372</v>
      </c>
      <c r="D369">
        <v>47.421604000000002</v>
      </c>
      <c r="F369" s="11">
        <f t="shared" si="20"/>
        <v>1.9017570071554704E-2</v>
      </c>
      <c r="G369" s="11">
        <f t="shared" si="20"/>
        <v>2.223794799802985E-3</v>
      </c>
      <c r="H369" s="11">
        <f t="shared" si="21"/>
        <v>1.3891815031166826E-2</v>
      </c>
    </row>
    <row r="370" spans="1:8">
      <c r="A370" s="65">
        <v>45127</v>
      </c>
      <c r="B370" s="11">
        <v>31.850805000000001</v>
      </c>
      <c r="C370" s="11">
        <v>448.77108800000002</v>
      </c>
      <c r="D370">
        <v>47.896785999999999</v>
      </c>
      <c r="F370" s="11">
        <f t="shared" si="20"/>
        <v>1.7418206674676143E-2</v>
      </c>
      <c r="G370" s="11">
        <f t="shared" si="20"/>
        <v>-6.6345591806944359E-3</v>
      </c>
      <c r="H370" s="11">
        <f t="shared" si="21"/>
        <v>1.0020369618876592E-2</v>
      </c>
    </row>
    <row r="371" spans="1:8">
      <c r="A371" s="65">
        <v>45128</v>
      </c>
      <c r="B371" s="11">
        <v>31.928705000000001</v>
      </c>
      <c r="C371" s="11">
        <v>448.77108800000002</v>
      </c>
      <c r="D371">
        <v>48.226509</v>
      </c>
      <c r="F371" s="11">
        <f t="shared" si="20"/>
        <v>2.4457780580427915E-3</v>
      </c>
      <c r="G371" s="11">
        <f t="shared" si="20"/>
        <v>0</v>
      </c>
      <c r="H371" s="11">
        <f t="shared" si="21"/>
        <v>6.8840318429717043E-3</v>
      </c>
    </row>
    <row r="372" spans="1:8">
      <c r="A372" s="65">
        <v>45131</v>
      </c>
      <c r="B372" s="11">
        <v>32.016342000000002</v>
      </c>
      <c r="C372" s="11">
        <v>450.77590900000001</v>
      </c>
      <c r="D372">
        <v>47.964672</v>
      </c>
      <c r="F372" s="11">
        <f t="shared" si="20"/>
        <v>2.7447715151616972E-3</v>
      </c>
      <c r="G372" s="11">
        <f t="shared" si="20"/>
        <v>4.4673577545619259E-3</v>
      </c>
      <c r="H372" s="11">
        <f t="shared" si="21"/>
        <v>-5.4293168929146389E-3</v>
      </c>
    </row>
    <row r="373" spans="1:8">
      <c r="A373" s="65">
        <v>45132</v>
      </c>
      <c r="B373" s="11">
        <v>31.97739</v>
      </c>
      <c r="C373" s="11">
        <v>452.006531</v>
      </c>
      <c r="D373">
        <v>47.605854000000001</v>
      </c>
      <c r="F373" s="11">
        <f t="shared" si="20"/>
        <v>-1.2166286829395398E-3</v>
      </c>
      <c r="G373" s="11">
        <f t="shared" si="20"/>
        <v>2.7300083598744015E-3</v>
      </c>
      <c r="H373" s="11">
        <f t="shared" si="21"/>
        <v>-7.4808809283632635E-3</v>
      </c>
    </row>
    <row r="374" spans="1:8">
      <c r="A374" s="65">
        <v>45133</v>
      </c>
      <c r="B374" s="11">
        <v>31.889755000000001</v>
      </c>
      <c r="C374" s="11">
        <v>452.07601899999997</v>
      </c>
      <c r="D374">
        <v>47.722228999999999</v>
      </c>
      <c r="F374" s="11">
        <f t="shared" si="20"/>
        <v>-2.7405301058028436E-3</v>
      </c>
      <c r="G374" s="11">
        <f t="shared" si="20"/>
        <v>1.5373229197871579E-4</v>
      </c>
      <c r="H374" s="11">
        <f t="shared" si="21"/>
        <v>2.4445523023281525E-3</v>
      </c>
    </row>
    <row r="375" spans="1:8">
      <c r="A375" s="65">
        <v>45134</v>
      </c>
      <c r="B375" s="11">
        <v>31.091294999999999</v>
      </c>
      <c r="C375" s="11">
        <v>449.07876599999997</v>
      </c>
      <c r="D375">
        <v>46.500323999999999</v>
      </c>
      <c r="F375" s="11">
        <f t="shared" si="20"/>
        <v>-2.5038135288276819E-2</v>
      </c>
      <c r="G375" s="11">
        <f t="shared" si="20"/>
        <v>-6.6299756546033487E-3</v>
      </c>
      <c r="H375" s="11">
        <f t="shared" si="21"/>
        <v>-2.5604524885038366E-2</v>
      </c>
    </row>
    <row r="376" spans="1:8">
      <c r="A376" s="65">
        <v>45135</v>
      </c>
      <c r="B376" s="11">
        <v>30.954972999999999</v>
      </c>
      <c r="C376" s="11">
        <v>453.47537199999999</v>
      </c>
      <c r="D376">
        <v>46.025134999999999</v>
      </c>
      <c r="F376" s="11">
        <f t="shared" si="20"/>
        <v>-4.3845713084643091E-3</v>
      </c>
      <c r="G376" s="11">
        <f t="shared" si="20"/>
        <v>9.7902780823086611E-3</v>
      </c>
      <c r="H376" s="11">
        <f t="shared" si="21"/>
        <v>-1.0219047075887049E-2</v>
      </c>
    </row>
    <row r="377" spans="1:8">
      <c r="A377" s="65">
        <v>45138</v>
      </c>
      <c r="B377" s="11">
        <v>30.653113999999999</v>
      </c>
      <c r="C377" s="11">
        <v>454.33883700000001</v>
      </c>
      <c r="D377">
        <v>46.025134999999999</v>
      </c>
      <c r="F377" s="11">
        <f t="shared" si="20"/>
        <v>-9.7515510674165452E-3</v>
      </c>
      <c r="G377" s="11">
        <f t="shared" si="20"/>
        <v>1.9041056103924852E-3</v>
      </c>
      <c r="H377" s="11">
        <f t="shared" si="21"/>
        <v>0</v>
      </c>
    </row>
    <row r="378" spans="1:8">
      <c r="A378" s="65">
        <v>45139</v>
      </c>
      <c r="B378" s="11">
        <v>30.808911999999999</v>
      </c>
      <c r="C378" s="11">
        <v>453.03869600000002</v>
      </c>
      <c r="D378">
        <v>46.606997999999997</v>
      </c>
      <c r="F378" s="11">
        <f t="shared" si="20"/>
        <v>5.0826157499039336E-3</v>
      </c>
      <c r="G378" s="11">
        <f t="shared" si="20"/>
        <v>-2.8616109698762038E-3</v>
      </c>
      <c r="H378" s="11">
        <f t="shared" si="21"/>
        <v>1.2642287741252655E-2</v>
      </c>
    </row>
    <row r="379" spans="1:8">
      <c r="A379" s="65">
        <v>45140</v>
      </c>
      <c r="B379" s="11">
        <v>30.507055000000001</v>
      </c>
      <c r="C379" s="11">
        <v>446.73657200000002</v>
      </c>
      <c r="D379">
        <v>46.296677000000003</v>
      </c>
      <c r="F379" s="11">
        <f t="shared" si="20"/>
        <v>-9.797716972283807E-3</v>
      </c>
      <c r="G379" s="11">
        <f t="shared" si="20"/>
        <v>-1.3910785227935566E-2</v>
      </c>
      <c r="H379" s="11">
        <f t="shared" si="21"/>
        <v>-6.6582490466344721E-3</v>
      </c>
    </row>
    <row r="380" spans="1:8">
      <c r="A380" s="65">
        <v>45141</v>
      </c>
      <c r="B380" s="11">
        <v>30.263622000000002</v>
      </c>
      <c r="C380" s="11">
        <v>445.45626800000002</v>
      </c>
      <c r="D380">
        <v>46.228785999999999</v>
      </c>
      <c r="F380" s="11">
        <f t="shared" si="20"/>
        <v>-7.9795640713270933E-3</v>
      </c>
      <c r="G380" s="11">
        <f t="shared" si="20"/>
        <v>-2.8659037120426327E-3</v>
      </c>
      <c r="H380" s="11">
        <f t="shared" si="21"/>
        <v>-1.4664335412237692E-3</v>
      </c>
    </row>
    <row r="381" spans="1:8">
      <c r="A381" s="65">
        <v>45142</v>
      </c>
      <c r="B381" s="11">
        <v>30.244147999999999</v>
      </c>
      <c r="C381" s="11">
        <v>443.44158900000002</v>
      </c>
      <c r="D381">
        <v>46.180298000000001</v>
      </c>
      <c r="F381" s="11">
        <f t="shared" si="20"/>
        <v>-6.4347882748477467E-4</v>
      </c>
      <c r="G381" s="11">
        <f t="shared" si="20"/>
        <v>-4.5227312863852231E-3</v>
      </c>
      <c r="H381" s="11">
        <f t="shared" si="21"/>
        <v>-1.0488702861459302E-3</v>
      </c>
    </row>
    <row r="382" spans="1:8">
      <c r="A382" s="65">
        <v>45145</v>
      </c>
      <c r="B382" s="11">
        <v>30.458368</v>
      </c>
      <c r="C382" s="11">
        <v>447.31219499999997</v>
      </c>
      <c r="D382">
        <v>47.072487000000002</v>
      </c>
      <c r="F382" s="11">
        <f t="shared" si="20"/>
        <v>7.083023135583154E-3</v>
      </c>
      <c r="G382" s="11">
        <f t="shared" si="20"/>
        <v>8.7285588361897017E-3</v>
      </c>
      <c r="H382" s="11">
        <f t="shared" si="21"/>
        <v>1.9319689102049578E-2</v>
      </c>
    </row>
    <row r="383" spans="1:8">
      <c r="A383" s="65">
        <v>45146</v>
      </c>
      <c r="B383" s="11">
        <v>30.322044000000002</v>
      </c>
      <c r="C383" s="11">
        <v>445.36697400000003</v>
      </c>
      <c r="D383">
        <v>46.645786000000001</v>
      </c>
      <c r="F383" s="11">
        <f t="shared" si="20"/>
        <v>-4.475748667820887E-3</v>
      </c>
      <c r="G383" s="11">
        <f t="shared" si="20"/>
        <v>-4.3486876095563346E-3</v>
      </c>
      <c r="H383" s="11">
        <f t="shared" si="21"/>
        <v>-9.0647643070144411E-3</v>
      </c>
    </row>
    <row r="384" spans="1:8">
      <c r="A384" s="65">
        <v>45147</v>
      </c>
      <c r="B384" s="11">
        <v>30.546006999999999</v>
      </c>
      <c r="C384" s="11">
        <v>442.38958700000001</v>
      </c>
      <c r="D384">
        <v>46.849437999999999</v>
      </c>
      <c r="F384" s="11">
        <f t="shared" si="20"/>
        <v>7.3861445488304705E-3</v>
      </c>
      <c r="G384" s="11">
        <f t="shared" si="20"/>
        <v>-6.6852442453445623E-3</v>
      </c>
      <c r="H384" s="11">
        <f t="shared" si="21"/>
        <v>4.3659249304963616E-3</v>
      </c>
    </row>
    <row r="385" spans="1:8">
      <c r="A385" s="65">
        <v>45148</v>
      </c>
      <c r="B385" s="11">
        <v>30.146774000000001</v>
      </c>
      <c r="C385" s="11">
        <v>442.54836999999998</v>
      </c>
      <c r="D385">
        <v>46.490622999999999</v>
      </c>
      <c r="F385" s="11">
        <f t="shared" si="20"/>
        <v>-1.3069891590085697E-2</v>
      </c>
      <c r="G385" s="11">
        <f t="shared" si="20"/>
        <v>3.5892119675947807E-4</v>
      </c>
      <c r="H385" s="11">
        <f t="shared" si="21"/>
        <v>-7.6588965699012201E-3</v>
      </c>
    </row>
    <row r="386" spans="1:8">
      <c r="A386" s="65">
        <v>45149</v>
      </c>
      <c r="B386" s="11">
        <v>30.078613000000001</v>
      </c>
      <c r="C386" s="11">
        <v>442.29031400000002</v>
      </c>
      <c r="D386">
        <v>46.345160999999997</v>
      </c>
      <c r="F386" s="11">
        <f t="shared" si="20"/>
        <v>-2.2609716051209964E-3</v>
      </c>
      <c r="G386" s="11">
        <f t="shared" si="20"/>
        <v>-5.8311366054732876E-4</v>
      </c>
      <c r="H386" s="11">
        <f t="shared" si="21"/>
        <v>-3.1288460040641308E-3</v>
      </c>
    </row>
    <row r="387" spans="1:8">
      <c r="A387" s="65">
        <v>45152</v>
      </c>
      <c r="B387" s="11">
        <v>29.835177999999999</v>
      </c>
      <c r="C387" s="11">
        <v>444.73178100000001</v>
      </c>
      <c r="D387">
        <v>45.937854999999999</v>
      </c>
      <c r="F387" s="11">
        <f t="shared" si="20"/>
        <v>-8.0932920676894775E-3</v>
      </c>
      <c r="G387" s="11">
        <f t="shared" si="20"/>
        <v>5.5200553182360411E-3</v>
      </c>
      <c r="H387" s="11">
        <f t="shared" si="21"/>
        <v>-8.7885334997541264E-3</v>
      </c>
    </row>
    <row r="388" spans="1:8">
      <c r="A388" s="65">
        <v>45153</v>
      </c>
      <c r="B388" s="11">
        <v>29.250941999999998</v>
      </c>
      <c r="C388" s="11">
        <v>439.55117799999999</v>
      </c>
      <c r="D388">
        <v>45.268718999999997</v>
      </c>
      <c r="F388" s="11">
        <f t="shared" ref="F388:G451" si="22">(B388-B387)/B387</f>
        <v>-1.9582118799492353E-2</v>
      </c>
      <c r="G388" s="11">
        <f t="shared" si="22"/>
        <v>-1.1648825699731181E-2</v>
      </c>
      <c r="H388" s="11">
        <f t="shared" ref="H388:H451" si="23">(D388-D387)/D387</f>
        <v>-1.4566113285002135E-2</v>
      </c>
    </row>
    <row r="389" spans="1:8">
      <c r="A389" s="65">
        <v>45154</v>
      </c>
      <c r="B389" s="11">
        <v>29.026979000000001</v>
      </c>
      <c r="C389" s="11">
        <v>436.32568400000002</v>
      </c>
      <c r="D389">
        <v>44.793532999999996</v>
      </c>
      <c r="F389" s="11">
        <f t="shared" si="22"/>
        <v>-7.6566081188085399E-3</v>
      </c>
      <c r="G389" s="11">
        <f t="shared" si="22"/>
        <v>-7.3381534652603511E-3</v>
      </c>
      <c r="H389" s="11">
        <f t="shared" si="23"/>
        <v>-1.0497005669632508E-2</v>
      </c>
    </row>
    <row r="390" spans="1:8">
      <c r="A390" s="65">
        <v>45155</v>
      </c>
      <c r="B390" s="11">
        <v>28.890657000000001</v>
      </c>
      <c r="C390" s="11">
        <v>433.00091600000002</v>
      </c>
      <c r="D390">
        <v>44.201976999999999</v>
      </c>
      <c r="F390" s="11">
        <f t="shared" si="22"/>
        <v>-4.696389520934984E-3</v>
      </c>
      <c r="G390" s="11">
        <f t="shared" si="22"/>
        <v>-7.6199227364300787E-3</v>
      </c>
      <c r="H390" s="11">
        <f t="shared" si="23"/>
        <v>-1.3206281362088521E-2</v>
      </c>
    </row>
    <row r="391" spans="1:8">
      <c r="A391" s="65">
        <v>45156</v>
      </c>
      <c r="B391" s="11">
        <v>29.289888000000001</v>
      </c>
      <c r="C391" s="11">
        <v>433.20931999999999</v>
      </c>
      <c r="D391">
        <v>44.551090000000002</v>
      </c>
      <c r="F391" s="11">
        <f t="shared" si="22"/>
        <v>1.3818688858477684E-2</v>
      </c>
      <c r="G391" s="11">
        <f t="shared" si="22"/>
        <v>4.8130152223505496E-4</v>
      </c>
      <c r="H391" s="11">
        <f t="shared" si="23"/>
        <v>7.8981308912948103E-3</v>
      </c>
    </row>
    <row r="392" spans="1:8">
      <c r="A392" s="65">
        <v>45159</v>
      </c>
      <c r="B392" s="11">
        <v>29.075668</v>
      </c>
      <c r="C392" s="11">
        <v>436.02789300000001</v>
      </c>
      <c r="D392">
        <v>44.347442999999998</v>
      </c>
      <c r="F392" s="11">
        <f t="shared" si="22"/>
        <v>-7.3137869287858304E-3</v>
      </c>
      <c r="G392" s="11">
        <f t="shared" si="22"/>
        <v>6.5062612226348569E-3</v>
      </c>
      <c r="H392" s="11">
        <f t="shared" si="23"/>
        <v>-4.571089057529315E-3</v>
      </c>
    </row>
    <row r="393" spans="1:8">
      <c r="A393" s="65">
        <v>45160</v>
      </c>
      <c r="B393" s="11">
        <v>29.358049000000001</v>
      </c>
      <c r="C393" s="11">
        <v>434.84689300000002</v>
      </c>
      <c r="D393">
        <v>44.667465</v>
      </c>
      <c r="F393" s="11">
        <f t="shared" si="22"/>
        <v>9.7119350791872051E-3</v>
      </c>
      <c r="G393" s="11">
        <f t="shared" si="22"/>
        <v>-2.7085423179566705E-3</v>
      </c>
      <c r="H393" s="11">
        <f t="shared" si="23"/>
        <v>7.2162446885607719E-3</v>
      </c>
    </row>
    <row r="394" spans="1:8">
      <c r="A394" s="65">
        <v>45161</v>
      </c>
      <c r="B394" s="11">
        <v>29.805969000000001</v>
      </c>
      <c r="C394" s="11">
        <v>439.69009399999999</v>
      </c>
      <c r="D394">
        <v>44.900204000000002</v>
      </c>
      <c r="F394" s="11">
        <f t="shared" si="22"/>
        <v>1.5257144642002602E-2</v>
      </c>
      <c r="G394" s="11">
        <f t="shared" si="22"/>
        <v>1.1137715545319452E-2</v>
      </c>
      <c r="H394" s="11">
        <f t="shared" si="23"/>
        <v>5.210481499229971E-3</v>
      </c>
    </row>
    <row r="395" spans="1:8">
      <c r="A395" s="65">
        <v>45162</v>
      </c>
      <c r="B395" s="11">
        <v>29.543060000000001</v>
      </c>
      <c r="C395" s="11">
        <v>433.59637500000002</v>
      </c>
      <c r="D395">
        <v>44.434719000000001</v>
      </c>
      <c r="F395" s="11">
        <f t="shared" si="22"/>
        <v>-8.8206828638921451E-3</v>
      </c>
      <c r="G395" s="11">
        <f t="shared" si="22"/>
        <v>-1.3859122784785696E-2</v>
      </c>
      <c r="H395" s="11">
        <f t="shared" si="23"/>
        <v>-1.036710211828884E-2</v>
      </c>
    </row>
    <row r="396" spans="1:8">
      <c r="A396" s="65">
        <v>45163</v>
      </c>
      <c r="B396" s="11">
        <v>29.718330000000002</v>
      </c>
      <c r="C396" s="11">
        <v>436.65316799999999</v>
      </c>
      <c r="D396">
        <v>44.444415999999997</v>
      </c>
      <c r="F396" s="11">
        <f t="shared" si="22"/>
        <v>5.9326962068249238E-3</v>
      </c>
      <c r="G396" s="11">
        <f t="shared" si="22"/>
        <v>7.0498582927497272E-3</v>
      </c>
      <c r="H396" s="11">
        <f t="shared" si="23"/>
        <v>2.1823025368958957E-4</v>
      </c>
    </row>
    <row r="397" spans="1:8">
      <c r="A397" s="65">
        <v>45166</v>
      </c>
      <c r="B397" s="11">
        <v>29.932552000000001</v>
      </c>
      <c r="C397" s="11">
        <v>439.42214999999999</v>
      </c>
      <c r="D397">
        <v>44.657764</v>
      </c>
      <c r="F397" s="11">
        <f t="shared" si="22"/>
        <v>7.2084131241560157E-3</v>
      </c>
      <c r="G397" s="11">
        <f t="shared" si="22"/>
        <v>6.3413761834884797E-3</v>
      </c>
      <c r="H397" s="11">
        <f t="shared" si="23"/>
        <v>4.8003330722132436E-3</v>
      </c>
    </row>
    <row r="398" spans="1:8">
      <c r="A398" s="65">
        <v>45167</v>
      </c>
      <c r="B398" s="11">
        <v>30.068874000000001</v>
      </c>
      <c r="C398" s="11">
        <v>445.77389499999998</v>
      </c>
      <c r="D398">
        <v>45.016579</v>
      </c>
      <c r="F398" s="11">
        <f t="shared" si="22"/>
        <v>4.554305960948463E-3</v>
      </c>
      <c r="G398" s="11">
        <f t="shared" si="22"/>
        <v>1.4454767471325682E-2</v>
      </c>
      <c r="H398" s="11">
        <f t="shared" si="23"/>
        <v>8.0347730799956735E-3</v>
      </c>
    </row>
    <row r="399" spans="1:8">
      <c r="A399" s="65">
        <v>45168</v>
      </c>
      <c r="B399" s="11">
        <v>30.166248</v>
      </c>
      <c r="C399" s="11">
        <v>447.60992399999998</v>
      </c>
      <c r="D399">
        <v>45.986347000000002</v>
      </c>
      <c r="F399" s="11">
        <f t="shared" si="22"/>
        <v>3.2383653608046153E-3</v>
      </c>
      <c r="G399" s="11">
        <f t="shared" si="22"/>
        <v>4.118744997393794E-3</v>
      </c>
      <c r="H399" s="11">
        <f t="shared" si="23"/>
        <v>2.1542463277807095E-2</v>
      </c>
    </row>
    <row r="400" spans="1:8">
      <c r="A400" s="65">
        <v>45169</v>
      </c>
      <c r="B400" s="11">
        <v>30.029926</v>
      </c>
      <c r="C400" s="11">
        <v>446.95489500000002</v>
      </c>
      <c r="D400">
        <v>45.966952999999997</v>
      </c>
      <c r="F400" s="11">
        <f t="shared" si="22"/>
        <v>-4.5190240430298071E-3</v>
      </c>
      <c r="G400" s="11">
        <f t="shared" si="22"/>
        <v>-1.463392487249582E-3</v>
      </c>
      <c r="H400" s="11">
        <f t="shared" si="23"/>
        <v>-4.2173386809796963E-4</v>
      </c>
    </row>
    <row r="401" spans="1:8">
      <c r="A401" s="65">
        <v>45170</v>
      </c>
      <c r="B401" s="11">
        <v>30.175986999999999</v>
      </c>
      <c r="C401" s="11">
        <v>447.78857399999998</v>
      </c>
      <c r="D401">
        <v>45.986347000000002</v>
      </c>
      <c r="F401" s="11">
        <f t="shared" si="22"/>
        <v>4.8638481493427444E-3</v>
      </c>
      <c r="G401" s="11">
        <f t="shared" si="22"/>
        <v>1.8652419054499022E-3</v>
      </c>
      <c r="H401" s="11">
        <f t="shared" si="23"/>
        <v>4.2191180259447397E-4</v>
      </c>
    </row>
    <row r="402" spans="1:8">
      <c r="A402" s="65">
        <v>45174</v>
      </c>
      <c r="B402" s="11">
        <v>30.010452000000001</v>
      </c>
      <c r="C402" s="11">
        <v>445.85324100000003</v>
      </c>
      <c r="D402">
        <v>46.529415</v>
      </c>
      <c r="F402" s="11">
        <f t="shared" si="22"/>
        <v>-5.4856532116082379E-3</v>
      </c>
      <c r="G402" s="11">
        <f t="shared" si="22"/>
        <v>-4.3219794170093256E-3</v>
      </c>
      <c r="H402" s="11">
        <f t="shared" si="23"/>
        <v>1.180933114778606E-2</v>
      </c>
    </row>
    <row r="403" spans="1:8">
      <c r="A403" s="65">
        <v>45175</v>
      </c>
      <c r="B403" s="11">
        <v>30.195461000000002</v>
      </c>
      <c r="C403" s="11">
        <v>442.85604899999998</v>
      </c>
      <c r="D403">
        <v>46.868839000000001</v>
      </c>
      <c r="F403" s="11">
        <f t="shared" si="22"/>
        <v>6.1648188437815219E-3</v>
      </c>
      <c r="G403" s="11">
        <f t="shared" si="22"/>
        <v>-6.7223734726648329E-3</v>
      </c>
      <c r="H403" s="11">
        <f t="shared" si="23"/>
        <v>7.2948262942914939E-3</v>
      </c>
    </row>
    <row r="404" spans="1:8">
      <c r="A404" s="65">
        <v>45176</v>
      </c>
      <c r="B404" s="11">
        <v>30.399944000000001</v>
      </c>
      <c r="C404" s="11">
        <v>441.49636800000002</v>
      </c>
      <c r="D404">
        <v>47.120972000000002</v>
      </c>
      <c r="F404" s="11">
        <f t="shared" si="22"/>
        <v>6.7719780797517795E-3</v>
      </c>
      <c r="G404" s="11">
        <f t="shared" si="22"/>
        <v>-3.0702550028846201E-3</v>
      </c>
      <c r="H404" s="11">
        <f t="shared" si="23"/>
        <v>5.3795443919573216E-3</v>
      </c>
    </row>
    <row r="405" spans="1:8">
      <c r="A405" s="65">
        <v>45177</v>
      </c>
      <c r="B405" s="11">
        <v>30.370733000000001</v>
      </c>
      <c r="C405" s="11">
        <v>442.161316</v>
      </c>
      <c r="D405">
        <v>47.557369000000001</v>
      </c>
      <c r="F405" s="11">
        <f t="shared" si="22"/>
        <v>-9.6088992795513367E-4</v>
      </c>
      <c r="G405" s="11">
        <f t="shared" si="22"/>
        <v>1.5061233754022211E-3</v>
      </c>
      <c r="H405" s="11">
        <f t="shared" si="23"/>
        <v>9.2612053927919706E-3</v>
      </c>
    </row>
    <row r="406" spans="1:8">
      <c r="A406" s="65">
        <v>45180</v>
      </c>
      <c r="B406" s="11">
        <v>30.497318</v>
      </c>
      <c r="C406" s="11">
        <v>445.06924400000003</v>
      </c>
      <c r="D406">
        <v>47.247044000000002</v>
      </c>
      <c r="F406" s="11">
        <f t="shared" si="22"/>
        <v>4.1679929160747817E-3</v>
      </c>
      <c r="G406" s="11">
        <f t="shared" si="22"/>
        <v>6.5766223655803185E-3</v>
      </c>
      <c r="H406" s="11">
        <f t="shared" si="23"/>
        <v>-6.525276871392924E-3</v>
      </c>
    </row>
    <row r="407" spans="1:8">
      <c r="A407" s="65">
        <v>45181</v>
      </c>
      <c r="B407" s="11">
        <v>30.584952999999999</v>
      </c>
      <c r="C407" s="11">
        <v>442.627747</v>
      </c>
      <c r="D407">
        <v>47.460391999999999</v>
      </c>
      <c r="F407" s="11">
        <f t="shared" si="22"/>
        <v>2.8735313708568994E-3</v>
      </c>
      <c r="G407" s="11">
        <f t="shared" si="22"/>
        <v>-5.4856565195505321E-3</v>
      </c>
      <c r="H407" s="11">
        <f t="shared" si="23"/>
        <v>4.5155840860646498E-3</v>
      </c>
    </row>
    <row r="408" spans="1:8">
      <c r="A408" s="65">
        <v>45182</v>
      </c>
      <c r="B408" s="11">
        <v>30.458368</v>
      </c>
      <c r="C408" s="11">
        <v>443.14389</v>
      </c>
      <c r="D408">
        <v>47.198554999999999</v>
      </c>
      <c r="F408" s="11">
        <f t="shared" si="22"/>
        <v>-4.13879988633622E-3</v>
      </c>
      <c r="G408" s="11">
        <f t="shared" si="22"/>
        <v>1.1660882163358809E-3</v>
      </c>
      <c r="H408" s="11">
        <f t="shared" si="23"/>
        <v>-5.5169582248709593E-3</v>
      </c>
    </row>
    <row r="409" spans="1:8">
      <c r="A409" s="65">
        <v>45183</v>
      </c>
      <c r="B409" s="11">
        <v>30.682327000000001</v>
      </c>
      <c r="C409" s="11">
        <v>446.96481299999999</v>
      </c>
      <c r="D409">
        <v>47.749893</v>
      </c>
      <c r="F409" s="11">
        <f t="shared" si="22"/>
        <v>7.3529546954058961E-3</v>
      </c>
      <c r="G409" s="11">
        <f t="shared" si="22"/>
        <v>8.6223077565167235E-3</v>
      </c>
      <c r="H409" s="11">
        <f t="shared" si="23"/>
        <v>1.1681247444969475E-2</v>
      </c>
    </row>
    <row r="410" spans="1:8">
      <c r="A410" s="65">
        <v>45184</v>
      </c>
      <c r="B410" s="11">
        <v>30.55574</v>
      </c>
      <c r="C410" s="11">
        <v>441.57965100000001</v>
      </c>
      <c r="D410">
        <v>47.533295000000003</v>
      </c>
      <c r="F410" s="11">
        <f t="shared" si="22"/>
        <v>-4.125730098633023E-3</v>
      </c>
      <c r="G410" s="11">
        <f t="shared" si="22"/>
        <v>-1.2048290700682024E-2</v>
      </c>
      <c r="H410" s="11">
        <f t="shared" si="23"/>
        <v>-4.5360939342837404E-3</v>
      </c>
    </row>
    <row r="411" spans="1:8">
      <c r="A411" s="65">
        <v>45187</v>
      </c>
      <c r="B411" s="11">
        <v>30.039663000000001</v>
      </c>
      <c r="C411" s="11">
        <v>441.83862299999998</v>
      </c>
      <c r="D411">
        <v>46.991802</v>
      </c>
      <c r="F411" s="11">
        <f t="shared" si="22"/>
        <v>-1.6889690774957479E-2</v>
      </c>
      <c r="G411" s="11">
        <f t="shared" si="22"/>
        <v>5.864672418973662E-4</v>
      </c>
      <c r="H411" s="11">
        <f t="shared" si="23"/>
        <v>-1.1391867532011039E-2</v>
      </c>
    </row>
    <row r="412" spans="1:8">
      <c r="A412" s="65">
        <v>45188</v>
      </c>
      <c r="B412" s="11">
        <v>30.175986999999999</v>
      </c>
      <c r="C412" s="11">
        <v>440.922302</v>
      </c>
      <c r="D412">
        <v>47.356079000000001</v>
      </c>
      <c r="F412" s="11">
        <f t="shared" si="22"/>
        <v>4.5381334670764563E-3</v>
      </c>
      <c r="G412" s="11">
        <f t="shared" si="22"/>
        <v>-2.073881621706897E-3</v>
      </c>
      <c r="H412" s="11">
        <f t="shared" si="23"/>
        <v>7.7519266020060536E-3</v>
      </c>
    </row>
    <row r="413" spans="1:8">
      <c r="A413" s="65">
        <v>45189</v>
      </c>
      <c r="B413" s="11">
        <v>30.259875999999998</v>
      </c>
      <c r="C413" s="11">
        <v>436.86877399999997</v>
      </c>
      <c r="D413">
        <v>47.740051000000001</v>
      </c>
      <c r="F413" s="11">
        <f t="shared" si="22"/>
        <v>2.7799919187398649E-3</v>
      </c>
      <c r="G413" s="11">
        <f t="shared" si="22"/>
        <v>-9.1932931984012641E-3</v>
      </c>
      <c r="H413" s="11">
        <f t="shared" si="23"/>
        <v>8.1081881800222511E-3</v>
      </c>
    </row>
    <row r="414" spans="1:8">
      <c r="A414" s="65">
        <v>45190</v>
      </c>
      <c r="B414" s="11">
        <v>29.707186</v>
      </c>
      <c r="C414" s="11">
        <v>429.64804099999998</v>
      </c>
      <c r="D414">
        <v>46.401085000000002</v>
      </c>
      <c r="F414" s="11">
        <f t="shared" si="22"/>
        <v>-1.826478072811661E-2</v>
      </c>
      <c r="G414" s="11">
        <f t="shared" si="22"/>
        <v>-1.652837975551898E-2</v>
      </c>
      <c r="H414" s="11">
        <f t="shared" si="23"/>
        <v>-2.8047016539634598E-2</v>
      </c>
    </row>
    <row r="415" spans="1:8">
      <c r="A415" s="65">
        <v>45191</v>
      </c>
      <c r="B415" s="11">
        <v>29.342013999999999</v>
      </c>
      <c r="C415" s="11">
        <v>428.68197600000002</v>
      </c>
      <c r="D415">
        <v>45.889125999999997</v>
      </c>
      <c r="F415" s="11">
        <f t="shared" si="22"/>
        <v>-1.2292379358987457E-2</v>
      </c>
      <c r="G415" s="11">
        <f t="shared" si="22"/>
        <v>-2.2485032114924917E-3</v>
      </c>
      <c r="H415" s="11">
        <f t="shared" si="23"/>
        <v>-1.1033341138467009E-2</v>
      </c>
    </row>
    <row r="416" spans="1:8">
      <c r="A416" s="65">
        <v>45194</v>
      </c>
      <c r="B416" s="11">
        <v>29.361753</v>
      </c>
      <c r="C416" s="11">
        <v>430.48464999999999</v>
      </c>
      <c r="D416">
        <v>45.761135000000003</v>
      </c>
      <c r="F416" s="11">
        <f t="shared" si="22"/>
        <v>6.7272137488589851E-4</v>
      </c>
      <c r="G416" s="11">
        <f t="shared" si="22"/>
        <v>4.2051546389250752E-3</v>
      </c>
      <c r="H416" s="11">
        <f t="shared" si="23"/>
        <v>-2.7891357094051959E-3</v>
      </c>
    </row>
    <row r="417" spans="1:8">
      <c r="A417" s="65">
        <v>45195</v>
      </c>
      <c r="B417" s="11">
        <v>28.809061</v>
      </c>
      <c r="C417" s="11">
        <v>424.16027800000001</v>
      </c>
      <c r="D417">
        <v>44.560001</v>
      </c>
      <c r="F417" s="11">
        <f t="shared" si="22"/>
        <v>-1.882353550212075E-2</v>
      </c>
      <c r="G417" s="11">
        <f t="shared" si="22"/>
        <v>-1.4691283417422625E-2</v>
      </c>
      <c r="H417" s="11">
        <f t="shared" si="23"/>
        <v>-2.6247906657035566E-2</v>
      </c>
    </row>
    <row r="418" spans="1:8">
      <c r="A418" s="65">
        <v>45196</v>
      </c>
      <c r="B418" s="11">
        <v>28.503105000000001</v>
      </c>
      <c r="C418" s="11">
        <v>424.32959</v>
      </c>
      <c r="D418">
        <v>44.195728000000003</v>
      </c>
      <c r="F418" s="11">
        <f t="shared" si="22"/>
        <v>-1.0620130937276933E-2</v>
      </c>
      <c r="G418" s="11">
        <f t="shared" si="22"/>
        <v>3.9916986286016814E-4</v>
      </c>
      <c r="H418" s="11">
        <f t="shared" si="23"/>
        <v>-8.1748876082834293E-3</v>
      </c>
    </row>
    <row r="419" spans="1:8">
      <c r="A419" s="65">
        <v>45197</v>
      </c>
      <c r="B419" s="11">
        <v>29.085407</v>
      </c>
      <c r="C419" s="11">
        <v>426.78961199999998</v>
      </c>
      <c r="D419">
        <v>45.387011999999999</v>
      </c>
      <c r="F419" s="11">
        <f t="shared" si="22"/>
        <v>2.042942339089017E-2</v>
      </c>
      <c r="G419" s="11">
        <f t="shared" si="22"/>
        <v>5.797432132885149E-3</v>
      </c>
      <c r="H419" s="11">
        <f t="shared" si="23"/>
        <v>2.69547319143605E-2</v>
      </c>
    </row>
    <row r="420" spans="1:8">
      <c r="A420" s="65">
        <v>45198</v>
      </c>
      <c r="B420" s="11">
        <v>28.720236</v>
      </c>
      <c r="C420" s="11">
        <v>425.75384500000001</v>
      </c>
      <c r="D420">
        <v>44.84552</v>
      </c>
      <c r="F420" s="11">
        <f t="shared" si="22"/>
        <v>-1.2555127731236498E-2</v>
      </c>
      <c r="G420" s="11">
        <f t="shared" si="22"/>
        <v>-2.4268795933111054E-3</v>
      </c>
      <c r="H420" s="11">
        <f t="shared" si="23"/>
        <v>-1.1930549647110458E-2</v>
      </c>
    </row>
    <row r="421" spans="1:8">
      <c r="A421" s="65">
        <v>45201</v>
      </c>
      <c r="B421" s="11">
        <v>28.276108000000001</v>
      </c>
      <c r="C421" s="11">
        <v>425.58450299999998</v>
      </c>
      <c r="D421">
        <v>44.215415999999998</v>
      </c>
      <c r="F421" s="11">
        <f t="shared" si="22"/>
        <v>-1.5463939780996201E-2</v>
      </c>
      <c r="G421" s="11">
        <f t="shared" si="22"/>
        <v>-3.9774626110547219E-4</v>
      </c>
      <c r="H421" s="11">
        <f t="shared" si="23"/>
        <v>-1.4050545071168824E-2</v>
      </c>
    </row>
    <row r="422" spans="1:8">
      <c r="A422" s="65">
        <v>45202</v>
      </c>
      <c r="B422" s="11">
        <v>27.67407</v>
      </c>
      <c r="C422" s="11">
        <v>419.88760400000001</v>
      </c>
      <c r="D422">
        <v>43.575470000000003</v>
      </c>
      <c r="F422" s="11">
        <f t="shared" si="22"/>
        <v>-2.1291402621605501E-2</v>
      </c>
      <c r="G422" s="11">
        <f t="shared" si="22"/>
        <v>-1.3386058373464725E-2</v>
      </c>
      <c r="H422" s="11">
        <f t="shared" si="23"/>
        <v>-1.4473368293085716E-2</v>
      </c>
    </row>
    <row r="423" spans="1:8">
      <c r="A423" s="65">
        <v>45203</v>
      </c>
      <c r="B423" s="11">
        <v>27.980024</v>
      </c>
      <c r="C423" s="11">
        <v>422.945221</v>
      </c>
      <c r="D423">
        <v>44.333561000000003</v>
      </c>
      <c r="F423" s="11">
        <f t="shared" si="22"/>
        <v>1.1055619935918347E-2</v>
      </c>
      <c r="G423" s="11">
        <f t="shared" si="22"/>
        <v>7.2819892058542252E-3</v>
      </c>
      <c r="H423" s="11">
        <f t="shared" si="23"/>
        <v>1.7397196174820381E-2</v>
      </c>
    </row>
    <row r="424" spans="1:8">
      <c r="A424" s="65">
        <v>45204</v>
      </c>
      <c r="B424" s="11">
        <v>27.940543999999999</v>
      </c>
      <c r="C424" s="11">
        <v>422.78585800000002</v>
      </c>
      <c r="D424">
        <v>44.697842000000001</v>
      </c>
      <c r="F424" s="11">
        <f t="shared" si="22"/>
        <v>-1.4110066524603791E-3</v>
      </c>
      <c r="G424" s="11">
        <f t="shared" si="22"/>
        <v>-3.7679347605155901E-4</v>
      </c>
      <c r="H424" s="11">
        <f t="shared" si="23"/>
        <v>8.2168224654906082E-3</v>
      </c>
    </row>
    <row r="425" spans="1:8">
      <c r="A425" s="65">
        <v>45205</v>
      </c>
      <c r="B425" s="11">
        <v>28.236630999999999</v>
      </c>
      <c r="C425" s="11">
        <v>427.80551100000002</v>
      </c>
      <c r="D425">
        <v>44.815983000000003</v>
      </c>
      <c r="F425" s="11">
        <f t="shared" si="22"/>
        <v>1.0597037767052783E-2</v>
      </c>
      <c r="G425" s="11">
        <f t="shared" si="22"/>
        <v>1.1872802519331205E-2</v>
      </c>
      <c r="H425" s="11">
        <f t="shared" si="23"/>
        <v>2.6431029936523865E-3</v>
      </c>
    </row>
    <row r="426" spans="1:8">
      <c r="A426" s="65">
        <v>45208</v>
      </c>
      <c r="B426" s="11">
        <v>28.809061</v>
      </c>
      <c r="C426" s="11">
        <v>430.54440299999999</v>
      </c>
      <c r="D426">
        <v>45.908816999999999</v>
      </c>
      <c r="F426" s="11">
        <f t="shared" si="22"/>
        <v>2.027260263449987E-2</v>
      </c>
      <c r="G426" s="11">
        <f t="shared" si="22"/>
        <v>6.4021896155516435E-3</v>
      </c>
      <c r="H426" s="11">
        <f t="shared" si="23"/>
        <v>2.4384916425909842E-2</v>
      </c>
    </row>
    <row r="427" spans="1:8">
      <c r="A427" s="65">
        <v>45209</v>
      </c>
      <c r="B427" s="11">
        <v>28.848538999999999</v>
      </c>
      <c r="C427" s="11">
        <v>432.78530899999998</v>
      </c>
      <c r="D427">
        <v>45.761135000000003</v>
      </c>
      <c r="F427" s="11">
        <f t="shared" si="22"/>
        <v>1.3703327574612382E-3</v>
      </c>
      <c r="G427" s="11">
        <f t="shared" si="22"/>
        <v>5.2048197221599823E-3</v>
      </c>
      <c r="H427" s="11">
        <f t="shared" si="23"/>
        <v>-3.2168548364031272E-3</v>
      </c>
    </row>
    <row r="428" spans="1:8">
      <c r="A428" s="65">
        <v>45210</v>
      </c>
      <c r="B428" s="11">
        <v>28.976842999999999</v>
      </c>
      <c r="C428" s="11">
        <v>434.55813599999999</v>
      </c>
      <c r="D428">
        <v>46.479843000000002</v>
      </c>
      <c r="F428" s="11">
        <f t="shared" si="22"/>
        <v>4.4475042566280388E-3</v>
      </c>
      <c r="G428" s="11">
        <f t="shared" si="22"/>
        <v>4.0963197297438914E-3</v>
      </c>
      <c r="H428" s="11">
        <f t="shared" si="23"/>
        <v>1.5705641916442838E-2</v>
      </c>
    </row>
    <row r="429" spans="1:8">
      <c r="A429" s="65">
        <v>45211</v>
      </c>
      <c r="B429" s="11">
        <v>28.503105000000001</v>
      </c>
      <c r="C429" s="11">
        <v>431.90887500000002</v>
      </c>
      <c r="D429">
        <v>45.446083000000002</v>
      </c>
      <c r="F429" s="11">
        <f t="shared" si="22"/>
        <v>-1.6348847940405288E-2</v>
      </c>
      <c r="G429" s="11">
        <f t="shared" si="22"/>
        <v>-6.0964478179738124E-3</v>
      </c>
      <c r="H429" s="11">
        <f t="shared" si="23"/>
        <v>-2.2241038981134269E-2</v>
      </c>
    </row>
    <row r="430" spans="1:8">
      <c r="A430" s="65">
        <v>45212</v>
      </c>
      <c r="B430" s="11">
        <v>28.562325000000001</v>
      </c>
      <c r="C430" s="11">
        <v>429.75759900000003</v>
      </c>
      <c r="D430">
        <v>45.465775000000001</v>
      </c>
      <c r="F430" s="11">
        <f t="shared" si="22"/>
        <v>2.0776683803396096E-3</v>
      </c>
      <c r="G430" s="11">
        <f t="shared" si="22"/>
        <v>-4.980856204911269E-3</v>
      </c>
      <c r="H430" s="11">
        <f t="shared" si="23"/>
        <v>4.3330467006362581E-4</v>
      </c>
    </row>
    <row r="431" spans="1:8">
      <c r="A431" s="65">
        <v>45215</v>
      </c>
      <c r="B431" s="11">
        <v>28.937365</v>
      </c>
      <c r="C431" s="11">
        <v>434.27926600000001</v>
      </c>
      <c r="D431">
        <v>46.282935999999999</v>
      </c>
      <c r="F431" s="11">
        <f t="shared" si="22"/>
        <v>1.3130583732241631E-2</v>
      </c>
      <c r="G431" s="11">
        <f t="shared" si="22"/>
        <v>1.052143582922423E-2</v>
      </c>
      <c r="H431" s="11">
        <f t="shared" si="23"/>
        <v>1.7973101745213816E-2</v>
      </c>
    </row>
    <row r="432" spans="1:8">
      <c r="A432" s="65">
        <v>45216</v>
      </c>
      <c r="B432" s="11">
        <v>28.888017999999999</v>
      </c>
      <c r="C432" s="11">
        <v>434.25933800000001</v>
      </c>
      <c r="D432">
        <v>46.460155</v>
      </c>
      <c r="F432" s="11">
        <f t="shared" si="22"/>
        <v>-1.7053038519575269E-3</v>
      </c>
      <c r="G432" s="11">
        <f t="shared" si="22"/>
        <v>-4.5887523444402849E-5</v>
      </c>
      <c r="H432" s="11">
        <f t="shared" si="23"/>
        <v>3.8290353922231925E-3</v>
      </c>
    </row>
    <row r="433" spans="1:8">
      <c r="A433" s="65">
        <v>45217</v>
      </c>
      <c r="B433" s="11">
        <v>28.364933000000001</v>
      </c>
      <c r="C433" s="11">
        <v>428.47277800000001</v>
      </c>
      <c r="D433">
        <v>45.662685000000003</v>
      </c>
      <c r="F433" s="11">
        <f t="shared" si="22"/>
        <v>-1.8107334328024798E-2</v>
      </c>
      <c r="G433" s="11">
        <f t="shared" si="22"/>
        <v>-1.332512508919269E-2</v>
      </c>
      <c r="H433" s="11">
        <f t="shared" si="23"/>
        <v>-1.7164600505529891E-2</v>
      </c>
    </row>
    <row r="434" spans="1:8">
      <c r="A434" s="65">
        <v>45218</v>
      </c>
      <c r="B434" s="11">
        <v>27.713546999999998</v>
      </c>
      <c r="C434" s="11">
        <v>424.70803799999999</v>
      </c>
      <c r="D434">
        <v>44.943973999999997</v>
      </c>
      <c r="F434" s="11">
        <f t="shared" si="22"/>
        <v>-2.2964482235865048E-2</v>
      </c>
      <c r="G434" s="11">
        <f t="shared" si="22"/>
        <v>-8.7864158315327495E-3</v>
      </c>
      <c r="H434" s="11">
        <f t="shared" si="23"/>
        <v>-1.5739569409902333E-2</v>
      </c>
    </row>
    <row r="435" spans="1:8">
      <c r="A435" s="65">
        <v>45219</v>
      </c>
      <c r="B435" s="11">
        <v>27.150986</v>
      </c>
      <c r="C435" s="11">
        <v>419.48922700000003</v>
      </c>
      <c r="D435">
        <v>44.38279</v>
      </c>
      <c r="F435" s="11">
        <f t="shared" si="22"/>
        <v>-2.0299133849593441E-2</v>
      </c>
      <c r="G435" s="11">
        <f t="shared" si="22"/>
        <v>-1.2287996772031802E-2</v>
      </c>
      <c r="H435" s="11">
        <f t="shared" si="23"/>
        <v>-1.2486301278120115E-2</v>
      </c>
    </row>
    <row r="436" spans="1:8">
      <c r="A436" s="65">
        <v>45222</v>
      </c>
      <c r="B436" s="11">
        <v>26.923988000000001</v>
      </c>
      <c r="C436" s="11">
        <v>418.76214599999997</v>
      </c>
      <c r="D436">
        <v>44.146500000000003</v>
      </c>
      <c r="F436" s="11">
        <f t="shared" si="22"/>
        <v>-8.3605803487209734E-3</v>
      </c>
      <c r="G436" s="11">
        <f t="shared" si="22"/>
        <v>-1.7332530925759748E-3</v>
      </c>
      <c r="H436" s="11">
        <f t="shared" si="23"/>
        <v>-5.3239104616901456E-3</v>
      </c>
    </row>
    <row r="437" spans="1:8">
      <c r="A437" s="65">
        <v>45223</v>
      </c>
      <c r="B437" s="11">
        <v>27.585245</v>
      </c>
      <c r="C437" s="11">
        <v>421.91937300000001</v>
      </c>
      <c r="D437">
        <v>45.219642999999998</v>
      </c>
      <c r="F437" s="11">
        <f t="shared" si="22"/>
        <v>2.4560143170469364E-2</v>
      </c>
      <c r="G437" s="11">
        <f t="shared" si="22"/>
        <v>7.539427883245289E-3</v>
      </c>
      <c r="H437" s="11">
        <f t="shared" si="23"/>
        <v>2.4308676792044546E-2</v>
      </c>
    </row>
    <row r="438" spans="1:8">
      <c r="A438" s="65">
        <v>45224</v>
      </c>
      <c r="B438" s="11">
        <v>27.200333000000001</v>
      </c>
      <c r="C438" s="11">
        <v>415.86389200000002</v>
      </c>
      <c r="D438">
        <v>44.412326999999998</v>
      </c>
      <c r="F438" s="11">
        <f t="shared" si="22"/>
        <v>-1.3953546542726009E-2</v>
      </c>
      <c r="G438" s="11">
        <f t="shared" si="22"/>
        <v>-1.4352223167529181E-2</v>
      </c>
      <c r="H438" s="11">
        <f t="shared" si="23"/>
        <v>-1.7853214807556091E-2</v>
      </c>
    </row>
    <row r="439" spans="1:8">
      <c r="A439" s="65">
        <v>45225</v>
      </c>
      <c r="B439" s="11">
        <v>27.190462</v>
      </c>
      <c r="C439" s="11">
        <v>410.884094</v>
      </c>
      <c r="D439">
        <v>44.500934999999998</v>
      </c>
      <c r="F439" s="11">
        <f t="shared" si="22"/>
        <v>-3.6289996890848385E-4</v>
      </c>
      <c r="G439" s="11">
        <f t="shared" si="22"/>
        <v>-1.1974586146565512E-2</v>
      </c>
      <c r="H439" s="11">
        <f t="shared" si="23"/>
        <v>1.9951217597763047E-3</v>
      </c>
    </row>
    <row r="440" spans="1:8">
      <c r="A440" s="65">
        <v>45226</v>
      </c>
      <c r="B440" s="11">
        <v>26.983204000000001</v>
      </c>
      <c r="C440" s="11">
        <v>409.021637</v>
      </c>
      <c r="D440">
        <v>43.900368</v>
      </c>
      <c r="F440" s="11">
        <f t="shared" si="22"/>
        <v>-7.6224523143446216E-3</v>
      </c>
      <c r="G440" s="11">
        <f t="shared" si="22"/>
        <v>-4.5328038422436621E-3</v>
      </c>
      <c r="H440" s="11">
        <f t="shared" si="23"/>
        <v>-1.3495604081127691E-2</v>
      </c>
    </row>
    <row r="441" spans="1:8">
      <c r="A441" s="65">
        <v>45229</v>
      </c>
      <c r="B441" s="11">
        <v>26.825292999999999</v>
      </c>
      <c r="C441" s="11">
        <v>413.911835</v>
      </c>
      <c r="D441">
        <v>43.486862000000002</v>
      </c>
      <c r="F441" s="11">
        <f t="shared" si="22"/>
        <v>-5.852196054997847E-3</v>
      </c>
      <c r="G441" s="11">
        <f t="shared" si="22"/>
        <v>1.1955841837286466E-2</v>
      </c>
      <c r="H441" s="11">
        <f t="shared" si="23"/>
        <v>-9.419192112466987E-3</v>
      </c>
    </row>
    <row r="442" spans="1:8">
      <c r="A442" s="65">
        <v>45230</v>
      </c>
      <c r="B442" s="11">
        <v>27.535896000000001</v>
      </c>
      <c r="C442" s="11">
        <v>416.51129200000003</v>
      </c>
      <c r="D442">
        <v>44.687992000000001</v>
      </c>
      <c r="F442" s="11">
        <f t="shared" si="22"/>
        <v>2.6490036846941525E-2</v>
      </c>
      <c r="G442" s="11">
        <f t="shared" si="22"/>
        <v>6.280219071290942E-3</v>
      </c>
      <c r="H442" s="11">
        <f t="shared" si="23"/>
        <v>2.7620525941835009E-2</v>
      </c>
    </row>
    <row r="443" spans="1:8">
      <c r="A443" s="65">
        <v>45231</v>
      </c>
      <c r="B443" s="11">
        <v>27.506288999999999</v>
      </c>
      <c r="C443" s="11">
        <v>420.95327800000001</v>
      </c>
      <c r="D443">
        <v>44.402476999999998</v>
      </c>
      <c r="F443" s="11">
        <f t="shared" si="22"/>
        <v>-1.0752146943031073E-3</v>
      </c>
      <c r="G443" s="11">
        <f t="shared" si="22"/>
        <v>1.0664743274235134E-2</v>
      </c>
      <c r="H443" s="11">
        <f t="shared" si="23"/>
        <v>-6.3890765107549189E-3</v>
      </c>
    </row>
    <row r="444" spans="1:8">
      <c r="A444" s="65">
        <v>45232</v>
      </c>
      <c r="B444" s="11">
        <v>28.216892000000001</v>
      </c>
      <c r="C444" s="11">
        <v>429.020599</v>
      </c>
      <c r="D444">
        <v>45.239333999999999</v>
      </c>
      <c r="F444" s="11">
        <f t="shared" si="22"/>
        <v>2.5834201043986798E-2</v>
      </c>
      <c r="G444" s="11">
        <f t="shared" si="22"/>
        <v>1.9164409500096569E-2</v>
      </c>
      <c r="H444" s="11">
        <f t="shared" si="23"/>
        <v>1.8847079184343748E-2</v>
      </c>
    </row>
    <row r="445" spans="1:8">
      <c r="A445" s="65">
        <v>45233</v>
      </c>
      <c r="B445" s="11">
        <v>28.789321999999999</v>
      </c>
      <c r="C445" s="11">
        <v>432.93472300000002</v>
      </c>
      <c r="D445">
        <v>45.534694999999999</v>
      </c>
      <c r="F445" s="11">
        <f t="shared" si="22"/>
        <v>2.028678424257346E-2</v>
      </c>
      <c r="G445" s="11">
        <f t="shared" si="22"/>
        <v>9.1233940960490229E-3</v>
      </c>
      <c r="H445" s="11">
        <f t="shared" si="23"/>
        <v>6.5288538509430697E-3</v>
      </c>
    </row>
    <row r="446" spans="1:8">
      <c r="A446" s="65">
        <v>45236</v>
      </c>
      <c r="B446" s="11">
        <v>28.62154</v>
      </c>
      <c r="C446" s="11">
        <v>433.93066399999998</v>
      </c>
      <c r="D446">
        <v>45.131034999999997</v>
      </c>
      <c r="F446" s="11">
        <f t="shared" si="22"/>
        <v>-5.8279246729047319E-3</v>
      </c>
      <c r="G446" s="11">
        <f t="shared" si="22"/>
        <v>2.3004414917302887E-3</v>
      </c>
      <c r="H446" s="11">
        <f t="shared" si="23"/>
        <v>-8.8648886305267259E-3</v>
      </c>
    </row>
    <row r="447" spans="1:8">
      <c r="A447" s="65">
        <v>45237</v>
      </c>
      <c r="B447" s="11">
        <v>28.374804000000001</v>
      </c>
      <c r="C447" s="11">
        <v>435.16564899999997</v>
      </c>
      <c r="D447">
        <v>44.747065999999997</v>
      </c>
      <c r="F447" s="11">
        <f t="shared" si="22"/>
        <v>-8.6206402590496018E-3</v>
      </c>
      <c r="G447" s="11">
        <f t="shared" si="22"/>
        <v>2.8460422423615462E-3</v>
      </c>
      <c r="H447" s="11">
        <f t="shared" si="23"/>
        <v>-8.5078704709519847E-3</v>
      </c>
    </row>
    <row r="448" spans="1:8">
      <c r="A448" s="65">
        <v>45238</v>
      </c>
      <c r="B448" s="11">
        <v>28.226761</v>
      </c>
      <c r="C448" s="11">
        <v>435.484375</v>
      </c>
      <c r="D448">
        <v>44.550159000000001</v>
      </c>
      <c r="F448" s="11">
        <f t="shared" si="22"/>
        <v>-5.2174104885447407E-3</v>
      </c>
      <c r="G448" s="11">
        <f t="shared" si="22"/>
        <v>7.3242453932761248E-4</v>
      </c>
      <c r="H448" s="11">
        <f t="shared" si="23"/>
        <v>-4.4004449364344013E-3</v>
      </c>
    </row>
    <row r="449" spans="1:8">
      <c r="A449" s="65">
        <v>45239</v>
      </c>
      <c r="B449" s="11">
        <v>27.743155999999999</v>
      </c>
      <c r="C449" s="11">
        <v>432.08813500000002</v>
      </c>
      <c r="D449">
        <v>44.294181999999999</v>
      </c>
      <c r="F449" s="11">
        <f t="shared" si="22"/>
        <v>-1.7132854881932814E-2</v>
      </c>
      <c r="G449" s="11">
        <f t="shared" si="22"/>
        <v>-7.7987643069857039E-3</v>
      </c>
      <c r="H449" s="11">
        <f t="shared" si="23"/>
        <v>-5.74581563221809E-3</v>
      </c>
    </row>
    <row r="450" spans="1:8">
      <c r="A450" s="65">
        <v>45240</v>
      </c>
      <c r="B450" s="11">
        <v>28.088587</v>
      </c>
      <c r="C450" s="11">
        <v>438.83078</v>
      </c>
      <c r="D450">
        <v>44.550159000000001</v>
      </c>
      <c r="F450" s="11">
        <f t="shared" si="22"/>
        <v>1.2451034770521471E-2</v>
      </c>
      <c r="G450" s="11">
        <f t="shared" si="22"/>
        <v>1.5604790906836591E-2</v>
      </c>
      <c r="H450" s="11">
        <f t="shared" si="23"/>
        <v>5.779020820386783E-3</v>
      </c>
    </row>
    <row r="451" spans="1:8">
      <c r="A451" s="65">
        <v>45243</v>
      </c>
      <c r="B451" s="11">
        <v>27.723417000000001</v>
      </c>
      <c r="C451" s="11">
        <v>438.41250600000001</v>
      </c>
      <c r="D451">
        <v>44.353251999999998</v>
      </c>
      <c r="F451" s="11">
        <f t="shared" si="22"/>
        <v>-1.3000653966680457E-2</v>
      </c>
      <c r="G451" s="11">
        <f t="shared" si="22"/>
        <v>-9.5315556488539087E-4</v>
      </c>
      <c r="H451" s="11">
        <f t="shared" si="23"/>
        <v>-4.4198944385361915E-3</v>
      </c>
    </row>
    <row r="452" spans="1:8">
      <c r="A452" s="65">
        <v>45244</v>
      </c>
      <c r="B452" s="11">
        <v>28.769583000000001</v>
      </c>
      <c r="C452" s="11">
        <v>446.91802999999999</v>
      </c>
      <c r="D452">
        <v>45.387011999999999</v>
      </c>
      <c r="F452" s="11">
        <f t="shared" ref="F452:G501" si="24">(B452-B451)/B451</f>
        <v>3.7735824555825838E-2</v>
      </c>
      <c r="G452" s="11">
        <f t="shared" si="24"/>
        <v>1.9400733062117485E-2</v>
      </c>
      <c r="H452" s="11">
        <f t="shared" ref="H452:H501" si="25">(D452-D451)/D451</f>
        <v>2.3307422869466278E-2</v>
      </c>
    </row>
    <row r="453" spans="1:8">
      <c r="A453" s="65">
        <v>45245</v>
      </c>
      <c r="B453" s="11">
        <v>28.522846000000001</v>
      </c>
      <c r="C453" s="11">
        <v>447.86416600000001</v>
      </c>
      <c r="D453">
        <v>45.052269000000003</v>
      </c>
      <c r="F453" s="11">
        <f t="shared" si="24"/>
        <v>-8.5763147835684495E-3</v>
      </c>
      <c r="G453" s="11">
        <f t="shared" si="24"/>
        <v>2.1170235624640701E-3</v>
      </c>
      <c r="H453" s="11">
        <f t="shared" si="25"/>
        <v>-7.3753037542986094E-3</v>
      </c>
    </row>
    <row r="454" spans="1:8">
      <c r="A454" s="65">
        <v>45246</v>
      </c>
      <c r="B454" s="11">
        <v>28.325457</v>
      </c>
      <c r="C454" s="11">
        <v>448.41195699999997</v>
      </c>
      <c r="D454">
        <v>44.796290999999997</v>
      </c>
      <c r="F454" s="11">
        <f t="shared" si="24"/>
        <v>-6.9203823489423577E-3</v>
      </c>
      <c r="G454" s="11">
        <f t="shared" si="24"/>
        <v>1.2231186185142596E-3</v>
      </c>
      <c r="H454" s="11">
        <f t="shared" si="25"/>
        <v>-5.6818003994428346E-3</v>
      </c>
    </row>
    <row r="455" spans="1:8">
      <c r="A455" s="65">
        <v>45247</v>
      </c>
      <c r="B455" s="11">
        <v>28.207021999999998</v>
      </c>
      <c r="C455" s="11">
        <v>448.969696</v>
      </c>
      <c r="D455">
        <v>44.707684</v>
      </c>
      <c r="F455" s="11">
        <f t="shared" si="24"/>
        <v>-4.1812211538193936E-3</v>
      </c>
      <c r="G455" s="11">
        <f t="shared" si="24"/>
        <v>1.2438093839679356E-3</v>
      </c>
      <c r="H455" s="11">
        <f t="shared" si="25"/>
        <v>-1.9779985802841605E-3</v>
      </c>
    </row>
    <row r="456" spans="1:8">
      <c r="A456" s="65">
        <v>45250</v>
      </c>
      <c r="B456" s="11">
        <v>28.226761</v>
      </c>
      <c r="C456" s="11">
        <v>452.42568999999997</v>
      </c>
      <c r="D456">
        <v>44.520626</v>
      </c>
      <c r="F456" s="11">
        <f t="shared" si="24"/>
        <v>6.9979028626280658E-4</v>
      </c>
      <c r="G456" s="11">
        <f t="shared" si="24"/>
        <v>7.6976108427593646E-3</v>
      </c>
      <c r="H456" s="11">
        <f t="shared" si="25"/>
        <v>-4.1840234891165548E-3</v>
      </c>
    </row>
    <row r="457" spans="1:8">
      <c r="A457" s="65">
        <v>45251</v>
      </c>
      <c r="B457" s="11">
        <v>27.831982</v>
      </c>
      <c r="C457" s="11">
        <v>451.43966699999999</v>
      </c>
      <c r="D457">
        <v>44.048050000000003</v>
      </c>
      <c r="F457" s="11">
        <f t="shared" si="24"/>
        <v>-1.3985983018030293E-2</v>
      </c>
      <c r="G457" s="11">
        <f t="shared" si="24"/>
        <v>-2.1794142591681494E-3</v>
      </c>
      <c r="H457" s="11">
        <f t="shared" si="25"/>
        <v>-1.0614765389866634E-2</v>
      </c>
    </row>
    <row r="458" spans="1:8">
      <c r="A458" s="65">
        <v>45252</v>
      </c>
      <c r="B458" s="11">
        <v>28.236630999999999</v>
      </c>
      <c r="C458" s="11">
        <v>453.18261699999999</v>
      </c>
      <c r="D458">
        <v>44.107117000000002</v>
      </c>
      <c r="F458" s="11">
        <f t="shared" si="24"/>
        <v>1.4538993306333669E-2</v>
      </c>
      <c r="G458" s="11">
        <f t="shared" si="24"/>
        <v>3.8608702943244188E-3</v>
      </c>
      <c r="H458" s="11">
        <f t="shared" si="25"/>
        <v>1.3409674208052086E-3</v>
      </c>
    </row>
    <row r="459" spans="1:8">
      <c r="A459" s="65">
        <v>45254</v>
      </c>
      <c r="B459" s="11">
        <v>28.285978</v>
      </c>
      <c r="C459" s="11">
        <v>453.461456</v>
      </c>
      <c r="D459">
        <v>44.146500000000003</v>
      </c>
      <c r="F459" s="11">
        <f t="shared" si="24"/>
        <v>1.7476235036680162E-3</v>
      </c>
      <c r="G459" s="11">
        <f t="shared" si="24"/>
        <v>6.152905904597063E-4</v>
      </c>
      <c r="H459" s="11">
        <f t="shared" si="25"/>
        <v>8.9289445057134053E-4</v>
      </c>
    </row>
    <row r="460" spans="1:8">
      <c r="A460" s="65">
        <v>45257</v>
      </c>
      <c r="B460" s="11">
        <v>28.384671999999998</v>
      </c>
      <c r="C460" s="11">
        <v>452.64480600000002</v>
      </c>
      <c r="D460">
        <v>44.097275000000003</v>
      </c>
      <c r="F460" s="11">
        <f t="shared" si="24"/>
        <v>3.4891492880323345E-3</v>
      </c>
      <c r="G460" s="11">
        <f t="shared" si="24"/>
        <v>-1.8009248397949428E-3</v>
      </c>
      <c r="H460" s="11">
        <f t="shared" si="25"/>
        <v>-1.1150374321860137E-3</v>
      </c>
    </row>
    <row r="461" spans="1:8">
      <c r="A461" s="65">
        <v>45258</v>
      </c>
      <c r="B461" s="11">
        <v>28.838668999999999</v>
      </c>
      <c r="C461" s="11">
        <v>453.09295700000001</v>
      </c>
      <c r="D461">
        <v>44.648612999999997</v>
      </c>
      <c r="F461" s="11">
        <f t="shared" si="24"/>
        <v>1.5994442352548627E-2</v>
      </c>
      <c r="G461" s="11">
        <f t="shared" si="24"/>
        <v>9.9007211407170265E-4</v>
      </c>
      <c r="H461" s="11">
        <f t="shared" si="25"/>
        <v>1.2502768028183012E-2</v>
      </c>
    </row>
    <row r="462" spans="1:8">
      <c r="A462" s="65">
        <v>45259</v>
      </c>
      <c r="B462" s="11">
        <v>29.233450000000001</v>
      </c>
      <c r="C462" s="11">
        <v>452.77426100000002</v>
      </c>
      <c r="D462">
        <v>45.170417999999998</v>
      </c>
      <c r="F462" s="11">
        <f t="shared" si="24"/>
        <v>1.368929335816441E-2</v>
      </c>
      <c r="G462" s="11">
        <f t="shared" si="24"/>
        <v>-7.0337884329547973E-4</v>
      </c>
      <c r="H462" s="11">
        <f t="shared" si="25"/>
        <v>1.1686925190710865E-2</v>
      </c>
    </row>
    <row r="463" spans="1:8">
      <c r="A463" s="65">
        <v>45260</v>
      </c>
      <c r="B463" s="11">
        <v>29.499925999999999</v>
      </c>
      <c r="C463" s="11">
        <v>454.55703699999998</v>
      </c>
      <c r="D463">
        <v>46.007271000000003</v>
      </c>
      <c r="F463" s="11">
        <f t="shared" si="24"/>
        <v>9.1154482279716311E-3</v>
      </c>
      <c r="G463" s="11">
        <f t="shared" si="24"/>
        <v>3.9374499691358462E-3</v>
      </c>
      <c r="H463" s="11">
        <f t="shared" si="25"/>
        <v>1.8526571970177583E-2</v>
      </c>
    </row>
    <row r="464" spans="1:8">
      <c r="A464" s="65">
        <v>45261</v>
      </c>
      <c r="B464" s="11">
        <v>30.101965</v>
      </c>
      <c r="C464" s="11">
        <v>457.24615499999999</v>
      </c>
      <c r="D464">
        <v>46.942577</v>
      </c>
      <c r="F464" s="11">
        <f t="shared" si="24"/>
        <v>2.0408152888247971E-2</v>
      </c>
      <c r="G464" s="11">
        <f t="shared" si="24"/>
        <v>5.9159088543601357E-3</v>
      </c>
      <c r="H464" s="11">
        <f t="shared" si="25"/>
        <v>2.0329525739529238E-2</v>
      </c>
    </row>
    <row r="465" spans="1:8">
      <c r="A465" s="65">
        <v>45264</v>
      </c>
      <c r="B465" s="11">
        <v>30.151312000000001</v>
      </c>
      <c r="C465" s="11">
        <v>454.84588600000001</v>
      </c>
      <c r="D465">
        <v>47.050877</v>
      </c>
      <c r="F465" s="11">
        <f t="shared" si="24"/>
        <v>1.6393281966808784E-3</v>
      </c>
      <c r="G465" s="11">
        <f t="shared" si="24"/>
        <v>-5.2494022612393108E-3</v>
      </c>
      <c r="H465" s="11">
        <f t="shared" si="25"/>
        <v>2.307074023652341E-3</v>
      </c>
    </row>
    <row r="466" spans="1:8">
      <c r="A466" s="65">
        <v>45265</v>
      </c>
      <c r="B466" s="11">
        <v>29.865096999999999</v>
      </c>
      <c r="C466" s="11">
        <v>454.75622600000003</v>
      </c>
      <c r="D466">
        <v>46.676754000000003</v>
      </c>
      <c r="F466" s="11">
        <f t="shared" si="24"/>
        <v>-9.4926217472726254E-3</v>
      </c>
      <c r="G466" s="11">
        <f t="shared" si="24"/>
        <v>-1.9712171256173734E-4</v>
      </c>
      <c r="H466" s="11">
        <f t="shared" si="25"/>
        <v>-7.9514564627562057E-3</v>
      </c>
    </row>
    <row r="467" spans="1:8">
      <c r="A467" s="65">
        <v>45266</v>
      </c>
      <c r="B467" s="11">
        <v>29.845358000000001</v>
      </c>
      <c r="C467" s="11">
        <v>452.923676</v>
      </c>
      <c r="D467">
        <v>46.470001000000003</v>
      </c>
      <c r="F467" s="11">
        <f t="shared" si="24"/>
        <v>-6.6093875402439611E-4</v>
      </c>
      <c r="G467" s="11">
        <f t="shared" si="24"/>
        <v>-4.0297414201867924E-3</v>
      </c>
      <c r="H467" s="11">
        <f t="shared" si="25"/>
        <v>-4.4294639682956327E-3</v>
      </c>
    </row>
    <row r="468" spans="1:8">
      <c r="A468" s="65">
        <v>45267</v>
      </c>
      <c r="B468" s="11">
        <v>30.032879000000001</v>
      </c>
      <c r="C468" s="11">
        <v>456.37966899999998</v>
      </c>
      <c r="D468">
        <v>46.360000999999997</v>
      </c>
      <c r="F468" s="11">
        <f t="shared" si="24"/>
        <v>6.2830876413008776E-3</v>
      </c>
      <c r="G468" s="11">
        <f t="shared" si="24"/>
        <v>7.6304092347779543E-3</v>
      </c>
      <c r="H468" s="11">
        <f t="shared" si="25"/>
        <v>-2.3671185201826557E-3</v>
      </c>
    </row>
    <row r="469" spans="1:8">
      <c r="A469" s="65">
        <v>45268</v>
      </c>
      <c r="B469" s="11">
        <v>30.111834999999999</v>
      </c>
      <c r="C469" s="11">
        <v>458.34170499999999</v>
      </c>
      <c r="D469">
        <v>46.080002</v>
      </c>
      <c r="F469" s="11">
        <f t="shared" si="24"/>
        <v>2.6289853863160446E-3</v>
      </c>
      <c r="G469" s="11">
        <f t="shared" si="24"/>
        <v>4.2991310377588536E-3</v>
      </c>
      <c r="H469" s="11">
        <f t="shared" si="25"/>
        <v>-6.0396676868060585E-3</v>
      </c>
    </row>
    <row r="470" spans="1:8">
      <c r="A470" s="65">
        <v>45271</v>
      </c>
      <c r="B470" s="11">
        <v>30.388182</v>
      </c>
      <c r="C470" s="11">
        <v>460.12445100000002</v>
      </c>
      <c r="D470">
        <v>45.860000999999997</v>
      </c>
      <c r="F470" s="11">
        <f t="shared" si="24"/>
        <v>9.1773550167235322E-3</v>
      </c>
      <c r="G470" s="11">
        <f t="shared" si="24"/>
        <v>3.8895565918445748E-3</v>
      </c>
      <c r="H470" s="11">
        <f t="shared" si="25"/>
        <v>-4.7743270497254634E-3</v>
      </c>
    </row>
    <row r="471" spans="1:8">
      <c r="A471" s="65">
        <v>45272</v>
      </c>
      <c r="B471" s="11">
        <v>30.328963999999999</v>
      </c>
      <c r="C471" s="11">
        <v>462.22595200000001</v>
      </c>
      <c r="D471">
        <v>46.41</v>
      </c>
      <c r="F471" s="11">
        <f t="shared" si="24"/>
        <v>-1.9487180904735047E-3</v>
      </c>
      <c r="G471" s="11">
        <f t="shared" si="24"/>
        <v>4.5672447865631564E-3</v>
      </c>
      <c r="H471" s="11">
        <f t="shared" si="25"/>
        <v>1.1993000174596589E-2</v>
      </c>
    </row>
    <row r="472" spans="1:8">
      <c r="A472" s="65">
        <v>45273</v>
      </c>
      <c r="B472" s="11">
        <v>31.118525000000002</v>
      </c>
      <c r="C472" s="11">
        <v>468.600098</v>
      </c>
      <c r="D472">
        <v>47.450001</v>
      </c>
      <c r="F472" s="11">
        <f t="shared" si="24"/>
        <v>2.6033233446417843E-2</v>
      </c>
      <c r="G472" s="11">
        <f t="shared" si="24"/>
        <v>1.379010843597115E-2</v>
      </c>
      <c r="H472" s="11">
        <f t="shared" si="25"/>
        <v>2.2408985132514627E-2</v>
      </c>
    </row>
    <row r="473" spans="1:8">
      <c r="A473" s="65">
        <v>45274</v>
      </c>
      <c r="B473" s="11">
        <v>31.513304000000002</v>
      </c>
      <c r="C473" s="11">
        <v>470.10400399999997</v>
      </c>
      <c r="D473">
        <v>47.849997999999999</v>
      </c>
      <c r="F473" s="11">
        <f t="shared" si="24"/>
        <v>1.2686301808970693E-2</v>
      </c>
      <c r="G473" s="11">
        <f t="shared" si="24"/>
        <v>3.2093591239495903E-3</v>
      </c>
      <c r="H473" s="11">
        <f t="shared" si="25"/>
        <v>8.4298628360408058E-3</v>
      </c>
    </row>
    <row r="474" spans="1:8">
      <c r="A474" s="65">
        <v>45275</v>
      </c>
      <c r="B474" s="11">
        <v>30.931004000000001</v>
      </c>
      <c r="C474" s="11">
        <v>469.32998700000002</v>
      </c>
      <c r="D474">
        <v>47.740001999999997</v>
      </c>
      <c r="F474" s="11">
        <f t="shared" si="24"/>
        <v>-1.8477910155025319E-2</v>
      </c>
      <c r="G474" s="11">
        <f t="shared" si="24"/>
        <v>-1.6464803392739408E-3</v>
      </c>
      <c r="H474" s="11">
        <f t="shared" si="25"/>
        <v>-2.2987670762285597E-3</v>
      </c>
    </row>
    <row r="475" spans="1:8">
      <c r="A475" s="65">
        <v>45278</v>
      </c>
      <c r="B475" s="11">
        <v>30.822437000000001</v>
      </c>
      <c r="C475" s="11">
        <v>471.97000100000002</v>
      </c>
      <c r="D475">
        <v>47.959999000000003</v>
      </c>
      <c r="F475" s="11">
        <f t="shared" si="24"/>
        <v>-3.5099733587697557E-3</v>
      </c>
      <c r="G475" s="11">
        <f t="shared" si="24"/>
        <v>5.6250699361343123E-3</v>
      </c>
      <c r="H475" s="11">
        <f t="shared" si="25"/>
        <v>4.6082318974349111E-3</v>
      </c>
    </row>
    <row r="476" spans="1:8">
      <c r="A476" s="65">
        <v>45279</v>
      </c>
      <c r="B476" s="11">
        <v>31.384998</v>
      </c>
      <c r="C476" s="11">
        <v>474.83999599999999</v>
      </c>
      <c r="D476">
        <v>48.41</v>
      </c>
      <c r="F476" s="11">
        <f t="shared" si="24"/>
        <v>1.825167166372986E-2</v>
      </c>
      <c r="G476" s="11">
        <f t="shared" si="24"/>
        <v>6.0808843653602472E-3</v>
      </c>
      <c r="H476" s="11">
        <f t="shared" si="25"/>
        <v>9.3828400621941872E-3</v>
      </c>
    </row>
    <row r="477" spans="1:8">
      <c r="A477" s="65">
        <v>45280</v>
      </c>
      <c r="B477" s="11">
        <v>31.120000999999998</v>
      </c>
      <c r="C477" s="11">
        <v>468.26001000000002</v>
      </c>
      <c r="D477">
        <v>48.209999000000003</v>
      </c>
      <c r="F477" s="11">
        <f t="shared" si="24"/>
        <v>-8.4434289274130606E-3</v>
      </c>
      <c r="G477" s="11">
        <f t="shared" si="24"/>
        <v>-1.3857269933933625E-2</v>
      </c>
      <c r="H477" s="11">
        <f t="shared" si="25"/>
        <v>-4.131398471390069E-3</v>
      </c>
    </row>
    <row r="478" spans="1:8">
      <c r="A478" s="65">
        <v>45281</v>
      </c>
      <c r="B478" s="11">
        <v>31.42</v>
      </c>
      <c r="C478" s="11">
        <v>472.70001200000002</v>
      </c>
      <c r="D478">
        <v>48.43</v>
      </c>
      <c r="F478" s="11">
        <f t="shared" si="24"/>
        <v>9.6400703843166086E-3</v>
      </c>
      <c r="G478" s="11">
        <f t="shared" si="24"/>
        <v>9.4819158270636698E-3</v>
      </c>
      <c r="H478" s="11">
        <f t="shared" si="25"/>
        <v>4.5633894329679681E-3</v>
      </c>
    </row>
    <row r="479" spans="1:8">
      <c r="A479" s="65">
        <v>45282</v>
      </c>
      <c r="B479" s="11">
        <v>31.34</v>
      </c>
      <c r="C479" s="11">
        <v>473.64999399999999</v>
      </c>
      <c r="D479">
        <v>48.669998</v>
      </c>
      <c r="F479" s="11">
        <f t="shared" si="24"/>
        <v>-2.546148949713617E-3</v>
      </c>
      <c r="G479" s="11">
        <f t="shared" si="24"/>
        <v>2.0096932005154618E-3</v>
      </c>
      <c r="H479" s="11">
        <f t="shared" si="25"/>
        <v>4.9555647326037563E-3</v>
      </c>
    </row>
    <row r="480" spans="1:8">
      <c r="A480" s="65">
        <v>45286</v>
      </c>
      <c r="B480" s="11">
        <v>31.66</v>
      </c>
      <c r="C480" s="11">
        <v>475.64999399999999</v>
      </c>
      <c r="D480">
        <v>49.209999000000003</v>
      </c>
      <c r="F480" s="11">
        <f t="shared" si="24"/>
        <v>1.0210593490746659E-2</v>
      </c>
      <c r="G480" s="11">
        <f t="shared" si="24"/>
        <v>4.222527236007946E-3</v>
      </c>
      <c r="H480" s="11">
        <f t="shared" si="25"/>
        <v>1.1095151472987603E-2</v>
      </c>
    </row>
    <row r="481" spans="1:8">
      <c r="A481" s="65">
        <v>45287</v>
      </c>
      <c r="B481" s="11">
        <v>31.82</v>
      </c>
      <c r="C481" s="11">
        <v>476.51001000000002</v>
      </c>
      <c r="D481">
        <v>49.23</v>
      </c>
      <c r="F481" s="11">
        <f t="shared" si="24"/>
        <v>5.0536955148452354E-3</v>
      </c>
      <c r="G481" s="11">
        <f t="shared" si="24"/>
        <v>1.8080858001651317E-3</v>
      </c>
      <c r="H481" s="11">
        <f t="shared" si="25"/>
        <v>4.0644178838519172E-4</v>
      </c>
    </row>
    <row r="482" spans="1:8">
      <c r="A482" s="65">
        <v>45288</v>
      </c>
      <c r="B482" s="11">
        <v>32.18</v>
      </c>
      <c r="C482" s="11">
        <v>476.69000199999999</v>
      </c>
      <c r="D482">
        <v>49.669998</v>
      </c>
      <c r="F482" s="11">
        <f t="shared" si="24"/>
        <v>1.1313639220615946E-2</v>
      </c>
      <c r="G482" s="11">
        <f t="shared" si="24"/>
        <v>3.7772973541514934E-4</v>
      </c>
      <c r="H482" s="11">
        <f t="shared" si="25"/>
        <v>8.9375990249848224E-3</v>
      </c>
    </row>
    <row r="483" spans="1:8">
      <c r="A483" s="65">
        <v>45289</v>
      </c>
      <c r="B483" s="11">
        <v>31.879999000000002</v>
      </c>
      <c r="C483" s="11">
        <v>475.30999800000001</v>
      </c>
      <c r="D483">
        <v>49.349997999999999</v>
      </c>
      <c r="F483" s="11">
        <f t="shared" si="24"/>
        <v>-9.3225916718458115E-3</v>
      </c>
      <c r="G483" s="11">
        <f t="shared" si="24"/>
        <v>-2.8949715626718458E-3</v>
      </c>
      <c r="H483" s="11">
        <f t="shared" si="25"/>
        <v>-6.44252089561188E-3</v>
      </c>
    </row>
    <row r="484" spans="1:8">
      <c r="A484" s="65">
        <v>45293</v>
      </c>
      <c r="B484" s="11">
        <v>32.659999999999997</v>
      </c>
      <c r="C484" s="11">
        <v>472.64999399999999</v>
      </c>
      <c r="D484">
        <v>49.880001</v>
      </c>
      <c r="F484" s="11">
        <f t="shared" si="24"/>
        <v>2.4466782448769681E-2</v>
      </c>
      <c r="G484" s="11">
        <f t="shared" si="24"/>
        <v>-5.5963560859075695E-3</v>
      </c>
      <c r="H484" s="11">
        <f t="shared" si="25"/>
        <v>1.0739676220452951E-2</v>
      </c>
    </row>
    <row r="485" spans="1:8">
      <c r="A485" s="65">
        <v>45294</v>
      </c>
      <c r="B485" s="11">
        <v>32.439999</v>
      </c>
      <c r="C485" s="11">
        <v>468.790009</v>
      </c>
      <c r="D485">
        <v>49.09</v>
      </c>
      <c r="F485" s="11">
        <f t="shared" si="24"/>
        <v>-6.7360992039190559E-3</v>
      </c>
      <c r="G485" s="11">
        <f t="shared" si="24"/>
        <v>-8.1666879276422778E-3</v>
      </c>
      <c r="H485" s="11">
        <f t="shared" si="25"/>
        <v>-1.5838030957537403E-2</v>
      </c>
    </row>
    <row r="486" spans="1:8">
      <c r="A486" s="65">
        <v>45295</v>
      </c>
      <c r="B486" s="11">
        <v>31.92</v>
      </c>
      <c r="C486" s="11">
        <v>467.27999899999998</v>
      </c>
      <c r="D486">
        <v>48.509998000000003</v>
      </c>
      <c r="F486" s="11">
        <f t="shared" si="24"/>
        <v>-1.6029562762933457E-2</v>
      </c>
      <c r="G486" s="11">
        <f t="shared" si="24"/>
        <v>-3.2210797393508925E-3</v>
      </c>
      <c r="H486" s="11">
        <f t="shared" si="25"/>
        <v>-1.1815074353228769E-2</v>
      </c>
    </row>
    <row r="487" spans="1:8">
      <c r="A487" s="65">
        <v>45296</v>
      </c>
      <c r="B487" s="11">
        <v>31.68</v>
      </c>
      <c r="C487" s="11">
        <v>467.92001299999998</v>
      </c>
      <c r="D487">
        <v>48.169998</v>
      </c>
      <c r="F487" s="11">
        <f t="shared" si="24"/>
        <v>-7.518796992481265E-3</v>
      </c>
      <c r="G487" s="11">
        <f t="shared" si="24"/>
        <v>1.369658451826884E-3</v>
      </c>
      <c r="H487" s="11">
        <f t="shared" si="25"/>
        <v>-7.0088644406871214E-3</v>
      </c>
    </row>
    <row r="488" spans="1:8">
      <c r="A488" s="65">
        <v>45299</v>
      </c>
      <c r="B488" s="11">
        <v>32.090000000000003</v>
      </c>
      <c r="C488" s="11">
        <v>474.60000600000001</v>
      </c>
      <c r="D488">
        <v>48.52</v>
      </c>
      <c r="F488" s="11">
        <f t="shared" si="24"/>
        <v>1.2941919191919308E-2</v>
      </c>
      <c r="G488" s="11">
        <f t="shared" si="24"/>
        <v>1.4275929249472014E-2</v>
      </c>
      <c r="H488" s="11">
        <f t="shared" si="25"/>
        <v>7.2659749747135856E-3</v>
      </c>
    </row>
    <row r="489" spans="1:8">
      <c r="A489" s="65">
        <v>45300</v>
      </c>
      <c r="B489" s="11">
        <v>31.65</v>
      </c>
      <c r="C489" s="11">
        <v>473.88000499999998</v>
      </c>
      <c r="D489">
        <v>47.689999</v>
      </c>
      <c r="F489" s="11">
        <f t="shared" si="24"/>
        <v>-1.3711436584605946E-2</v>
      </c>
      <c r="G489" s="11">
        <f t="shared" si="24"/>
        <v>-1.517069091651096E-3</v>
      </c>
      <c r="H489" s="11">
        <f t="shared" si="25"/>
        <v>-1.7106368507831881E-2</v>
      </c>
    </row>
    <row r="490" spans="1:8">
      <c r="A490" s="65">
        <v>45301</v>
      </c>
      <c r="B490" s="11">
        <v>31.51</v>
      </c>
      <c r="C490" s="11">
        <v>476.55999800000001</v>
      </c>
      <c r="D490">
        <v>47.27</v>
      </c>
      <c r="F490" s="11">
        <f t="shared" si="24"/>
        <v>-4.423380726698168E-3</v>
      </c>
      <c r="G490" s="11">
        <f t="shared" si="24"/>
        <v>5.6554253644865741E-3</v>
      </c>
      <c r="H490" s="11">
        <f t="shared" si="25"/>
        <v>-8.8068569680615234E-3</v>
      </c>
    </row>
    <row r="491" spans="1:8">
      <c r="A491" s="65">
        <v>45302</v>
      </c>
      <c r="B491" s="11">
        <v>31.16</v>
      </c>
      <c r="C491" s="11">
        <v>476.35000600000001</v>
      </c>
      <c r="D491">
        <v>46.889999000000003</v>
      </c>
      <c r="F491" s="11">
        <f t="shared" si="24"/>
        <v>-1.1107584893684588E-2</v>
      </c>
      <c r="G491" s="11">
        <f t="shared" si="24"/>
        <v>-4.4064126422965055E-4</v>
      </c>
      <c r="H491" s="11">
        <f t="shared" si="25"/>
        <v>-8.0389464776814048E-3</v>
      </c>
    </row>
    <row r="492" spans="1:8">
      <c r="A492" s="65">
        <v>45303</v>
      </c>
      <c r="B492" s="11">
        <v>31.1</v>
      </c>
      <c r="C492" s="11">
        <v>476.67999300000002</v>
      </c>
      <c r="D492">
        <v>46.93</v>
      </c>
      <c r="F492" s="11">
        <f t="shared" si="24"/>
        <v>-1.925545571245145E-3</v>
      </c>
      <c r="G492" s="11">
        <f t="shared" si="24"/>
        <v>6.9274062316274413E-4</v>
      </c>
      <c r="H492" s="11">
        <f t="shared" si="25"/>
        <v>8.5308169872207976E-4</v>
      </c>
    </row>
    <row r="493" spans="1:8">
      <c r="A493" s="65">
        <v>45307</v>
      </c>
      <c r="B493" s="11">
        <v>31.1</v>
      </c>
      <c r="C493" s="11">
        <v>474.92999300000002</v>
      </c>
      <c r="D493">
        <v>47</v>
      </c>
      <c r="F493" s="11">
        <f t="shared" si="24"/>
        <v>0</v>
      </c>
      <c r="G493" s="11">
        <f t="shared" si="24"/>
        <v>-3.6712260336044769E-3</v>
      </c>
      <c r="H493" s="11">
        <f t="shared" si="25"/>
        <v>1.4915832090347386E-3</v>
      </c>
    </row>
    <row r="494" spans="1:8">
      <c r="A494" s="65">
        <v>45308</v>
      </c>
      <c r="B494" s="11">
        <v>30.58</v>
      </c>
      <c r="C494" s="11">
        <v>472.290009</v>
      </c>
      <c r="D494">
        <v>46.540000999999997</v>
      </c>
      <c r="F494" s="11">
        <f t="shared" si="24"/>
        <v>-1.6720257234726789E-2</v>
      </c>
      <c r="G494" s="11">
        <f t="shared" si="24"/>
        <v>-5.5586803084892271E-3</v>
      </c>
      <c r="H494" s="11">
        <f t="shared" si="25"/>
        <v>-9.7872127659575179E-3</v>
      </c>
    </row>
    <row r="495" spans="1:8">
      <c r="A495" s="65">
        <v>45309</v>
      </c>
      <c r="B495" s="11">
        <v>30.26</v>
      </c>
      <c r="C495" s="11">
        <v>476.48998999999998</v>
      </c>
      <c r="D495">
        <v>46.330002</v>
      </c>
      <c r="F495" s="11">
        <f t="shared" si="24"/>
        <v>-1.0464355788096688E-2</v>
      </c>
      <c r="G495" s="11">
        <f t="shared" si="24"/>
        <v>8.8928008638014186E-3</v>
      </c>
      <c r="H495" s="11">
        <f t="shared" si="25"/>
        <v>-4.512225945160514E-3</v>
      </c>
    </row>
    <row r="496" spans="1:8">
      <c r="A496" s="65">
        <v>45310</v>
      </c>
      <c r="B496" s="11">
        <v>30.559999000000001</v>
      </c>
      <c r="C496" s="11">
        <v>482.42999300000002</v>
      </c>
      <c r="D496">
        <v>46.509998000000003</v>
      </c>
      <c r="F496" s="11">
        <f t="shared" si="24"/>
        <v>9.9140449438202133E-3</v>
      </c>
      <c r="G496" s="11">
        <f t="shared" si="24"/>
        <v>1.2466165343788329E-2</v>
      </c>
      <c r="H496" s="11">
        <f t="shared" si="25"/>
        <v>3.8850850902187035E-3</v>
      </c>
    </row>
    <row r="497" spans="1:8">
      <c r="A497" s="65">
        <v>45313</v>
      </c>
      <c r="B497" s="11">
        <v>30.73</v>
      </c>
      <c r="C497" s="11">
        <v>483.45001200000002</v>
      </c>
      <c r="D497">
        <v>46.259998000000003</v>
      </c>
      <c r="F497" s="11">
        <f t="shared" si="24"/>
        <v>5.5628601296747156E-3</v>
      </c>
      <c r="G497" s="11">
        <f t="shared" si="24"/>
        <v>2.1143357892343785E-3</v>
      </c>
      <c r="H497" s="11">
        <f t="shared" si="25"/>
        <v>-5.3751883627257951E-3</v>
      </c>
    </row>
    <row r="498" spans="1:8">
      <c r="A498" s="65">
        <v>45314</v>
      </c>
      <c r="B498" s="11">
        <v>30.84</v>
      </c>
      <c r="C498" s="11">
        <v>484.85998499999999</v>
      </c>
      <c r="D498">
        <v>46.549999</v>
      </c>
      <c r="F498" s="11">
        <f t="shared" si="24"/>
        <v>3.5795639440286179E-3</v>
      </c>
      <c r="G498" s="11">
        <f t="shared" si="24"/>
        <v>2.9164814665471133E-3</v>
      </c>
      <c r="H498" s="11">
        <f t="shared" si="25"/>
        <v>6.2689367172042813E-3</v>
      </c>
    </row>
    <row r="499" spans="1:8">
      <c r="A499" s="65">
        <v>45315</v>
      </c>
      <c r="B499" s="11">
        <v>30.34</v>
      </c>
      <c r="C499" s="11">
        <v>485.39001500000001</v>
      </c>
      <c r="D499">
        <v>45.900002000000001</v>
      </c>
      <c r="F499" s="11">
        <f t="shared" si="24"/>
        <v>-1.621271076523995E-2</v>
      </c>
      <c r="G499" s="11">
        <f t="shared" si="24"/>
        <v>1.0931609462472155E-3</v>
      </c>
      <c r="H499" s="11">
        <f t="shared" si="25"/>
        <v>-1.396341598202825E-2</v>
      </c>
    </row>
    <row r="500" spans="1:8">
      <c r="A500" s="65">
        <v>45316</v>
      </c>
      <c r="B500" s="11">
        <v>30.52</v>
      </c>
      <c r="C500" s="11">
        <v>488.02999899999998</v>
      </c>
      <c r="D500">
        <v>46.049999</v>
      </c>
      <c r="F500" s="11">
        <f t="shared" si="24"/>
        <v>5.932762030322997E-3</v>
      </c>
      <c r="G500" s="11">
        <f t="shared" si="24"/>
        <v>5.4388922689313458E-3</v>
      </c>
      <c r="H500" s="11">
        <f t="shared" si="25"/>
        <v>3.2679083543394843E-3</v>
      </c>
    </row>
    <row r="501" spans="1:8">
      <c r="A501" s="65">
        <v>45317</v>
      </c>
      <c r="B501" s="11">
        <v>30.4</v>
      </c>
      <c r="C501" s="11">
        <v>487.41000400000001</v>
      </c>
      <c r="D501">
        <v>46</v>
      </c>
      <c r="F501" s="11">
        <f t="shared" si="24"/>
        <v>-3.9318479685452488E-3</v>
      </c>
      <c r="G501" s="11">
        <f t="shared" si="24"/>
        <v>-1.2704034614068067E-3</v>
      </c>
      <c r="H501" s="11">
        <f t="shared" si="25"/>
        <v>-1.0857546381271297E-3</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3194-4461-446D-AF28-25A8B0461EC8}">
  <dimension ref="A1:AQ86"/>
  <sheetViews>
    <sheetView topLeftCell="A4" zoomScale="83" workbookViewId="0">
      <selection activeCell="T80" sqref="T80"/>
    </sheetView>
  </sheetViews>
  <sheetFormatPr defaultRowHeight="14.4"/>
  <cols>
    <col min="1" max="1" width="80" customWidth="1"/>
    <col min="2" max="2" width="16" customWidth="1"/>
    <col min="3" max="4" width="14" customWidth="1"/>
    <col min="5" max="5" width="70.44140625" customWidth="1"/>
    <col min="6" max="8" width="12.44140625" bestFit="1" customWidth="1"/>
    <col min="10" max="10" width="30.109375" bestFit="1" customWidth="1"/>
    <col min="11" max="11" width="13.44140625" bestFit="1" customWidth="1"/>
  </cols>
  <sheetData>
    <row r="1" spans="1:4">
      <c r="A1" s="417" t="s">
        <v>219</v>
      </c>
      <c r="B1" s="419" t="s">
        <v>35</v>
      </c>
      <c r="C1" s="418"/>
      <c r="D1" s="418"/>
    </row>
    <row r="2" spans="1:4">
      <c r="A2" s="418"/>
      <c r="B2" s="5" t="s">
        <v>34</v>
      </c>
      <c r="C2" s="5" t="s">
        <v>33</v>
      </c>
      <c r="D2" s="5" t="s">
        <v>32</v>
      </c>
    </row>
    <row r="3" spans="1:4">
      <c r="A3" s="4" t="s">
        <v>220</v>
      </c>
      <c r="B3" s="2" t="s">
        <v>4</v>
      </c>
      <c r="C3" s="2" t="s">
        <v>4</v>
      </c>
      <c r="D3" s="2" t="s">
        <v>4</v>
      </c>
    </row>
    <row r="4" spans="1:4">
      <c r="A4" s="2" t="s">
        <v>221</v>
      </c>
      <c r="B4" s="1">
        <v>239220</v>
      </c>
      <c r="C4" s="1">
        <v>215469</v>
      </c>
      <c r="D4" s="1">
        <v>188378</v>
      </c>
    </row>
    <row r="5" spans="1:4">
      <c r="A5" s="2" t="s">
        <v>222</v>
      </c>
      <c r="B5" s="151">
        <v>0.21</v>
      </c>
      <c r="C5" s="151">
        <v>0.21</v>
      </c>
      <c r="D5" s="151">
        <v>0.21</v>
      </c>
    </row>
    <row r="6" spans="1:4">
      <c r="A6" s="2" t="s">
        <v>223</v>
      </c>
      <c r="B6" s="1">
        <v>-237069</v>
      </c>
      <c r="C6" s="1">
        <v>-214037</v>
      </c>
      <c r="D6" s="1">
        <v>-187839</v>
      </c>
    </row>
    <row r="7" spans="1:4">
      <c r="A7" s="2" t="s">
        <v>224</v>
      </c>
      <c r="B7" s="2" t="s">
        <v>225</v>
      </c>
      <c r="C7" s="2" t="s">
        <v>226</v>
      </c>
      <c r="D7" s="2" t="s">
        <v>226</v>
      </c>
    </row>
    <row r="8" spans="1:4">
      <c r="A8" s="2" t="s">
        <v>227</v>
      </c>
      <c r="B8" s="1">
        <v>2151</v>
      </c>
      <c r="C8" s="1">
        <v>1432</v>
      </c>
      <c r="D8" s="1">
        <v>539</v>
      </c>
    </row>
    <row r="9" spans="1:4">
      <c r="A9" s="2" t="s">
        <v>228</v>
      </c>
      <c r="B9" s="152">
        <v>2E-3</v>
      </c>
      <c r="C9" s="152">
        <v>1E-3</v>
      </c>
      <c r="D9" s="152">
        <v>1E-3</v>
      </c>
    </row>
    <row r="10" spans="1:4">
      <c r="A10" s="2" t="s">
        <v>229</v>
      </c>
      <c r="B10" s="1">
        <v>648</v>
      </c>
      <c r="C10" s="1">
        <v>1444</v>
      </c>
      <c r="D10" s="1">
        <v>296</v>
      </c>
    </row>
    <row r="11" spans="1:4">
      <c r="A11" s="2" t="s">
        <v>230</v>
      </c>
      <c r="B11" s="152">
        <v>1E-3</v>
      </c>
      <c r="C11" s="152">
        <v>1E-3</v>
      </c>
      <c r="D11" s="151">
        <v>0</v>
      </c>
    </row>
    <row r="12" spans="1:4">
      <c r="A12" s="2" t="s">
        <v>231</v>
      </c>
      <c r="B12" s="1">
        <v>77</v>
      </c>
      <c r="C12" s="1">
        <v>11</v>
      </c>
      <c r="D12" s="1">
        <v>-4</v>
      </c>
    </row>
    <row r="13" spans="1:4">
      <c r="A13" s="2" t="s">
        <v>232</v>
      </c>
      <c r="B13" s="151">
        <v>0</v>
      </c>
      <c r="C13" s="151">
        <v>0</v>
      </c>
      <c r="D13" s="151">
        <v>0</v>
      </c>
    </row>
    <row r="14" spans="1:4">
      <c r="A14" s="2" t="s">
        <v>14</v>
      </c>
      <c r="B14" s="1">
        <v>2876</v>
      </c>
      <c r="C14" s="1">
        <v>2887</v>
      </c>
      <c r="D14" s="1">
        <v>831</v>
      </c>
    </row>
    <row r="15" spans="1:4">
      <c r="A15" s="2" t="s">
        <v>233</v>
      </c>
      <c r="B15" s="152">
        <v>3.0000000000000001E-3</v>
      </c>
      <c r="C15" s="152">
        <v>2E-3</v>
      </c>
      <c r="D15" s="152">
        <v>1E-3</v>
      </c>
    </row>
    <row r="18" spans="1:8" ht="28.8">
      <c r="A18" s="66" t="s">
        <v>234</v>
      </c>
      <c r="B18" s="5" t="s">
        <v>235</v>
      </c>
    </row>
    <row r="19" spans="1:8">
      <c r="A19" s="4" t="s">
        <v>236</v>
      </c>
      <c r="B19" s="2" t="s">
        <v>4</v>
      </c>
    </row>
    <row r="20" spans="1:8">
      <c r="A20" s="2" t="s">
        <v>237</v>
      </c>
      <c r="B20" s="1">
        <v>0</v>
      </c>
    </row>
    <row r="21" spans="1:8">
      <c r="A21" s="2" t="s">
        <v>238</v>
      </c>
      <c r="B21" s="3">
        <v>1050000</v>
      </c>
    </row>
    <row r="22" spans="1:8">
      <c r="A22" s="2" t="s">
        <v>239</v>
      </c>
      <c r="B22" s="3">
        <v>2050000</v>
      </c>
    </row>
    <row r="23" spans="1:8">
      <c r="A23" s="2" t="s">
        <v>240</v>
      </c>
      <c r="B23" s="3">
        <v>1750000</v>
      </c>
    </row>
    <row r="24" spans="1:8">
      <c r="A24" s="2" t="s">
        <v>241</v>
      </c>
      <c r="B24" s="3">
        <v>1500000</v>
      </c>
    </row>
    <row r="25" spans="1:8">
      <c r="A25" s="2" t="s">
        <v>242</v>
      </c>
      <c r="B25" s="3">
        <v>7600000</v>
      </c>
    </row>
    <row r="26" spans="1:8">
      <c r="A26" s="2" t="s">
        <v>243</v>
      </c>
      <c r="B26" s="1">
        <v>13950000</v>
      </c>
    </row>
    <row r="27" spans="1:8" ht="28.8">
      <c r="E27" s="66" t="s">
        <v>244</v>
      </c>
      <c r="F27" s="5" t="s">
        <v>34</v>
      </c>
      <c r="G27" s="5" t="s">
        <v>33</v>
      </c>
      <c r="H27" s="5" t="s">
        <v>32</v>
      </c>
    </row>
    <row r="28" spans="1:8">
      <c r="E28" s="4" t="s">
        <v>245</v>
      </c>
      <c r="F28" s="2" t="s">
        <v>4</v>
      </c>
      <c r="G28" s="2" t="s">
        <v>4</v>
      </c>
      <c r="H28" s="2" t="s">
        <v>4</v>
      </c>
    </row>
    <row r="29" spans="1:8" ht="28.8">
      <c r="E29" s="2" t="s">
        <v>246</v>
      </c>
      <c r="F29" s="1">
        <v>36687106</v>
      </c>
      <c r="G29" s="1">
        <v>17086749</v>
      </c>
      <c r="H29" s="1">
        <v>17014288</v>
      </c>
    </row>
    <row r="30" spans="1:8">
      <c r="E30" s="2" t="s">
        <v>247</v>
      </c>
      <c r="F30" s="2" t="s">
        <v>4</v>
      </c>
      <c r="G30" s="2" t="s">
        <v>4</v>
      </c>
      <c r="H30" s="2" t="s">
        <v>4</v>
      </c>
    </row>
    <row r="31" spans="1:8">
      <c r="E31" s="4" t="s">
        <v>245</v>
      </c>
      <c r="F31" s="2" t="s">
        <v>4</v>
      </c>
      <c r="G31" s="2" t="s">
        <v>4</v>
      </c>
      <c r="H31" s="2" t="s">
        <v>4</v>
      </c>
    </row>
    <row r="32" spans="1:8" ht="28.8">
      <c r="E32" s="2" t="s">
        <v>246</v>
      </c>
      <c r="F32" s="3">
        <v>4247315</v>
      </c>
      <c r="G32" s="3">
        <v>0</v>
      </c>
      <c r="H32" s="3">
        <v>0</v>
      </c>
    </row>
    <row r="33" spans="5:8">
      <c r="E33" s="2" t="s">
        <v>248</v>
      </c>
      <c r="F33" s="2" t="s">
        <v>4</v>
      </c>
      <c r="G33" s="2" t="s">
        <v>4</v>
      </c>
      <c r="H33" s="2" t="s">
        <v>4</v>
      </c>
    </row>
    <row r="34" spans="5:8">
      <c r="E34" s="4" t="s">
        <v>245</v>
      </c>
      <c r="F34" s="2" t="s">
        <v>4</v>
      </c>
      <c r="G34" s="2" t="s">
        <v>4</v>
      </c>
      <c r="H34" s="2" t="s">
        <v>4</v>
      </c>
    </row>
    <row r="35" spans="5:8" ht="28.8">
      <c r="E35" s="2" t="s">
        <v>246</v>
      </c>
      <c r="F35" s="3">
        <v>28095234</v>
      </c>
      <c r="G35" s="3">
        <v>951033</v>
      </c>
      <c r="H35" s="3">
        <v>0</v>
      </c>
    </row>
    <row r="36" spans="5:8">
      <c r="E36" s="2" t="s">
        <v>249</v>
      </c>
      <c r="F36" s="2" t="s">
        <v>4</v>
      </c>
      <c r="G36" s="2" t="s">
        <v>4</v>
      </c>
      <c r="H36" s="2" t="s">
        <v>4</v>
      </c>
    </row>
    <row r="37" spans="5:8">
      <c r="E37" s="4" t="s">
        <v>245</v>
      </c>
      <c r="F37" s="2" t="s">
        <v>4</v>
      </c>
      <c r="G37" s="2" t="s">
        <v>4</v>
      </c>
      <c r="H37" s="2" t="s">
        <v>4</v>
      </c>
    </row>
    <row r="38" spans="5:8" ht="28.8">
      <c r="E38" s="2" t="s">
        <v>246</v>
      </c>
      <c r="F38" s="3">
        <v>2594203</v>
      </c>
      <c r="G38" s="3">
        <v>14888770</v>
      </c>
      <c r="H38" s="3">
        <v>15733402</v>
      </c>
    </row>
    <row r="39" spans="5:8">
      <c r="E39" s="2" t="s">
        <v>250</v>
      </c>
      <c r="F39" s="2" t="s">
        <v>4</v>
      </c>
      <c r="G39" s="2" t="s">
        <v>4</v>
      </c>
      <c r="H39" s="2" t="s">
        <v>4</v>
      </c>
    </row>
    <row r="40" spans="5:8">
      <c r="E40" s="4" t="s">
        <v>245</v>
      </c>
      <c r="F40" s="2" t="s">
        <v>4</v>
      </c>
      <c r="G40" s="2" t="s">
        <v>4</v>
      </c>
      <c r="H40" s="2" t="s">
        <v>4</v>
      </c>
    </row>
    <row r="41" spans="5:8" ht="28.8">
      <c r="E41" s="2" t="s">
        <v>246</v>
      </c>
      <c r="F41" s="3">
        <v>875749</v>
      </c>
      <c r="G41" s="3">
        <v>868629</v>
      </c>
      <c r="H41" s="3">
        <v>934628</v>
      </c>
    </row>
    <row r="42" spans="5:8">
      <c r="E42" s="2" t="s">
        <v>251</v>
      </c>
      <c r="F42" s="2" t="s">
        <v>4</v>
      </c>
      <c r="G42" s="2" t="s">
        <v>4</v>
      </c>
      <c r="H42" s="2" t="s">
        <v>4</v>
      </c>
    </row>
    <row r="43" spans="5:8">
      <c r="E43" s="4" t="s">
        <v>245</v>
      </c>
      <c r="F43" s="2" t="s">
        <v>4</v>
      </c>
      <c r="G43" s="2" t="s">
        <v>4</v>
      </c>
      <c r="H43" s="2" t="s">
        <v>4</v>
      </c>
    </row>
    <row r="44" spans="5:8" ht="28.8">
      <c r="E44" s="2" t="s">
        <v>246</v>
      </c>
      <c r="F44" s="3">
        <v>581973</v>
      </c>
      <c r="G44" s="3">
        <v>279579</v>
      </c>
      <c r="H44" s="3">
        <v>281246</v>
      </c>
    </row>
    <row r="45" spans="5:8">
      <c r="E45" s="2" t="s">
        <v>252</v>
      </c>
      <c r="F45" s="2" t="s">
        <v>4</v>
      </c>
      <c r="G45" s="2" t="s">
        <v>4</v>
      </c>
      <c r="H45" s="2" t="s">
        <v>4</v>
      </c>
    </row>
    <row r="46" spans="5:8">
      <c r="E46" s="4" t="s">
        <v>245</v>
      </c>
      <c r="F46" s="2" t="s">
        <v>4</v>
      </c>
      <c r="G46" s="2" t="s">
        <v>4</v>
      </c>
      <c r="H46" s="2" t="s">
        <v>4</v>
      </c>
    </row>
    <row r="47" spans="5:8" ht="28.8">
      <c r="E47" s="2" t="s">
        <v>246</v>
      </c>
      <c r="F47" s="1">
        <v>292632</v>
      </c>
      <c r="G47" s="1">
        <v>98739</v>
      </c>
      <c r="H47" s="1">
        <v>65012</v>
      </c>
    </row>
    <row r="49" spans="10:11" ht="28.8">
      <c r="J49" s="417" t="s">
        <v>253</v>
      </c>
      <c r="K49" s="5" t="s">
        <v>35</v>
      </c>
    </row>
    <row r="50" spans="10:11" ht="28.8">
      <c r="J50" s="418"/>
      <c r="K50" s="5" t="s">
        <v>235</v>
      </c>
    </row>
    <row r="51" spans="10:11">
      <c r="J51" s="4" t="s">
        <v>153</v>
      </c>
      <c r="K51" s="2" t="s">
        <v>4</v>
      </c>
    </row>
    <row r="52" spans="10:11">
      <c r="J52" s="2" t="s">
        <v>237</v>
      </c>
      <c r="K52" s="1">
        <v>1344189</v>
      </c>
    </row>
    <row r="53" spans="10:11">
      <c r="J53" s="2" t="s">
        <v>238</v>
      </c>
      <c r="K53" s="3">
        <v>1366127</v>
      </c>
    </row>
    <row r="54" spans="10:11">
      <c r="J54" s="2" t="s">
        <v>239</v>
      </c>
      <c r="K54" s="3">
        <v>1389500</v>
      </c>
    </row>
    <row r="55" spans="10:11">
      <c r="J55" s="2" t="s">
        <v>240</v>
      </c>
      <c r="K55" s="3">
        <v>1409190</v>
      </c>
    </row>
    <row r="56" spans="10:11">
      <c r="J56" s="2" t="s">
        <v>241</v>
      </c>
      <c r="K56" s="3">
        <v>1429526</v>
      </c>
    </row>
    <row r="57" spans="10:11">
      <c r="J57" s="2" t="s">
        <v>242</v>
      </c>
      <c r="K57" s="3">
        <v>56743837</v>
      </c>
    </row>
    <row r="58" spans="10:11">
      <c r="J58" s="2" t="s">
        <v>254</v>
      </c>
      <c r="K58" s="3">
        <v>63682369</v>
      </c>
    </row>
    <row r="59" spans="10:11">
      <c r="J59" s="4" t="s">
        <v>255</v>
      </c>
      <c r="K59" s="2" t="s">
        <v>4</v>
      </c>
    </row>
    <row r="60" spans="10:11">
      <c r="J60" s="2" t="s">
        <v>237</v>
      </c>
      <c r="K60" s="3">
        <v>1126837</v>
      </c>
    </row>
    <row r="61" spans="10:11">
      <c r="J61" s="2" t="s">
        <v>238</v>
      </c>
      <c r="K61" s="3">
        <v>1148616</v>
      </c>
    </row>
    <row r="62" spans="10:11">
      <c r="J62" s="2" t="s">
        <v>239</v>
      </c>
      <c r="K62" s="3">
        <v>1169998</v>
      </c>
    </row>
    <row r="63" spans="10:11">
      <c r="J63" s="2" t="s">
        <v>240</v>
      </c>
      <c r="K63" s="3">
        <v>1191924</v>
      </c>
    </row>
    <row r="64" spans="10:11">
      <c r="J64" s="2" t="s">
        <v>241</v>
      </c>
      <c r="K64" s="3">
        <v>1214331</v>
      </c>
    </row>
    <row r="65" spans="10:43">
      <c r="J65" s="2" t="s">
        <v>242</v>
      </c>
      <c r="K65" s="3">
        <v>87539154</v>
      </c>
    </row>
    <row r="66" spans="10:43">
      <c r="J66" s="2" t="s">
        <v>254</v>
      </c>
      <c r="K66" s="3">
        <v>93390860</v>
      </c>
    </row>
    <row r="67" spans="10:43">
      <c r="J67" s="2" t="s">
        <v>237</v>
      </c>
      <c r="K67" s="3">
        <v>2471026</v>
      </c>
      <c r="AO67" t="s">
        <v>367</v>
      </c>
      <c r="AP67" s="313">
        <f>3900%/100</f>
        <v>0.39</v>
      </c>
    </row>
    <row r="68" spans="10:43">
      <c r="J68" s="2" t="s">
        <v>238</v>
      </c>
      <c r="K68" s="3">
        <v>2514743</v>
      </c>
      <c r="AO68" t="s">
        <v>361</v>
      </c>
      <c r="AP68" s="313">
        <v>0.36</v>
      </c>
    </row>
    <row r="69" spans="10:43">
      <c r="J69" s="2" t="s">
        <v>239</v>
      </c>
      <c r="K69" s="3">
        <v>2559498</v>
      </c>
      <c r="AO69" t="s">
        <v>368</v>
      </c>
      <c r="AP69" s="313">
        <v>0.09</v>
      </c>
    </row>
    <row r="70" spans="10:43">
      <c r="J70" s="2" t="s">
        <v>240</v>
      </c>
      <c r="K70" s="3">
        <v>2601114</v>
      </c>
      <c r="AO70" t="s">
        <v>273</v>
      </c>
      <c r="AP70" s="313">
        <v>0.16</v>
      </c>
    </row>
    <row r="71" spans="10:43">
      <c r="J71" s="2" t="s">
        <v>241</v>
      </c>
      <c r="K71" s="3">
        <v>2643857</v>
      </c>
      <c r="AO71" t="s">
        <v>369</v>
      </c>
      <c r="AP71">
        <v>4</v>
      </c>
      <c r="AQ71" s="314">
        <f>SUM(AP67:AP70)</f>
        <v>1</v>
      </c>
    </row>
    <row r="72" spans="10:43">
      <c r="J72" s="2" t="s">
        <v>242</v>
      </c>
      <c r="K72" s="3">
        <v>144282991</v>
      </c>
      <c r="AO72" t="s">
        <v>370</v>
      </c>
      <c r="AP72">
        <v>3</v>
      </c>
    </row>
    <row r="73" spans="10:43">
      <c r="J73" s="2" t="s">
        <v>254</v>
      </c>
      <c r="K73" s="1">
        <v>157073229</v>
      </c>
      <c r="AO73" t="s">
        <v>371</v>
      </c>
      <c r="AP73">
        <v>2</v>
      </c>
    </row>
    <row r="74" spans="10:43" ht="43.2">
      <c r="J74" s="2" t="s">
        <v>256</v>
      </c>
      <c r="K74" s="2" t="s">
        <v>257</v>
      </c>
      <c r="AO74" t="s">
        <v>372</v>
      </c>
      <c r="AP74">
        <v>2</v>
      </c>
    </row>
    <row r="75" spans="10:43" ht="28.8">
      <c r="J75" s="2" t="s">
        <v>258</v>
      </c>
      <c r="K75" s="2" t="s">
        <v>259</v>
      </c>
      <c r="AO75" t="s">
        <v>373</v>
      </c>
      <c r="AP75">
        <v>1</v>
      </c>
    </row>
    <row r="76" spans="10:43" ht="43.2">
      <c r="J76" s="2" t="s">
        <v>260</v>
      </c>
      <c r="K76" s="2" t="s">
        <v>261</v>
      </c>
      <c r="AO76" t="s">
        <v>374</v>
      </c>
      <c r="AP76">
        <v>1</v>
      </c>
    </row>
    <row r="77" spans="10:43">
      <c r="AO77" t="s">
        <v>375</v>
      </c>
      <c r="AP77">
        <v>1</v>
      </c>
    </row>
    <row r="78" spans="10:43">
      <c r="AO78" t="s">
        <v>376</v>
      </c>
      <c r="AP78">
        <v>1</v>
      </c>
    </row>
    <row r="79" spans="10:43">
      <c r="Q79">
        <v>2022</v>
      </c>
      <c r="S79" t="s">
        <v>381</v>
      </c>
      <c r="T79" t="s">
        <v>446</v>
      </c>
      <c r="U79" t="s">
        <v>382</v>
      </c>
      <c r="AN79" t="s">
        <v>377</v>
      </c>
      <c r="AO79">
        <v>1</v>
      </c>
    </row>
    <row r="80" spans="10:43">
      <c r="Q80" s="202">
        <v>6.7199999999999996E-2</v>
      </c>
      <c r="R80" t="s">
        <v>323</v>
      </c>
      <c r="S80" s="202">
        <v>0.06</v>
      </c>
      <c r="T80" s="202">
        <v>6.0900000000000003E-2</v>
      </c>
      <c r="U80" s="202">
        <v>6.1800000000000001E-2</v>
      </c>
    </row>
    <row r="81" spans="17:29">
      <c r="Q81" s="202">
        <v>5.7799999999999997E-2</v>
      </c>
      <c r="R81" t="s">
        <v>383</v>
      </c>
      <c r="S81" s="202">
        <v>6.6500000000000004E-2</v>
      </c>
      <c r="T81" s="202">
        <v>6.7100000000000007E-2</v>
      </c>
      <c r="U81" s="202">
        <v>6.9800000000000001E-2</v>
      </c>
    </row>
    <row r="82" spans="17:29">
      <c r="R82" t="s">
        <v>323</v>
      </c>
      <c r="S82" s="202">
        <v>0.06</v>
      </c>
      <c r="T82" s="202">
        <v>6.0900000000000003E-2</v>
      </c>
      <c r="U82" s="202">
        <v>6.1800000000000001E-2</v>
      </c>
    </row>
    <row r="84" spans="17:29" ht="15" thickBot="1"/>
    <row r="85" spans="17:29" ht="15" thickBot="1">
      <c r="Y85" s="322"/>
      <c r="Z85" s="323">
        <v>2020</v>
      </c>
      <c r="AA85" s="323">
        <v>2021</v>
      </c>
      <c r="AB85" s="323">
        <v>2022</v>
      </c>
      <c r="AC85" s="323">
        <v>2023</v>
      </c>
    </row>
    <row r="86" spans="17:29" ht="15" thickBot="1">
      <c r="Y86" s="324" t="s">
        <v>392</v>
      </c>
      <c r="Z86" s="325">
        <v>0.01</v>
      </c>
      <c r="AA86" s="325">
        <v>5.3999999999999999E-2</v>
      </c>
      <c r="AB86" s="325">
        <v>8.5000000000000006E-2</v>
      </c>
      <c r="AC86" s="325">
        <v>3.2000000000000001E-2</v>
      </c>
    </row>
  </sheetData>
  <mergeCells count="3">
    <mergeCell ref="A1:A2"/>
    <mergeCell ref="B1:D1"/>
    <mergeCell ref="J49:J5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44ABA-E782-4845-A487-E44A8490A435}">
  <dimension ref="A1:AG47"/>
  <sheetViews>
    <sheetView tabSelected="1" topLeftCell="I8" zoomScale="58" workbookViewId="0">
      <selection activeCell="AG43" sqref="AG43"/>
    </sheetView>
  </sheetViews>
  <sheetFormatPr defaultRowHeight="14.4"/>
  <cols>
    <col min="1" max="1" width="10.88671875" bestFit="1" customWidth="1"/>
    <col min="2" max="4" width="9" bestFit="1" customWidth="1"/>
    <col min="6" max="8" width="9" bestFit="1" customWidth="1"/>
    <col min="10" max="13" width="9" bestFit="1" customWidth="1"/>
    <col min="33" max="33" width="9" bestFit="1" customWidth="1"/>
  </cols>
  <sheetData>
    <row r="1" spans="1:13">
      <c r="A1" t="s">
        <v>159</v>
      </c>
      <c r="B1" t="s">
        <v>359</v>
      </c>
      <c r="C1" t="s">
        <v>358</v>
      </c>
      <c r="D1" t="s">
        <v>164</v>
      </c>
    </row>
    <row r="2" spans="1:13">
      <c r="A2" s="64">
        <v>45175</v>
      </c>
      <c r="B2">
        <v>43.470001000000003</v>
      </c>
      <c r="C2">
        <v>53.740001999999997</v>
      </c>
      <c r="D2">
        <v>30.195461000000002</v>
      </c>
      <c r="F2" t="s">
        <v>360</v>
      </c>
      <c r="J2" t="s">
        <v>361</v>
      </c>
      <c r="K2" t="s">
        <v>362</v>
      </c>
      <c r="L2" t="s">
        <v>361</v>
      </c>
      <c r="M2" t="s">
        <v>323</v>
      </c>
    </row>
    <row r="3" spans="1:13">
      <c r="A3" s="64">
        <v>45176</v>
      </c>
      <c r="B3">
        <v>43.400002000000001</v>
      </c>
      <c r="C3">
        <v>53.369999</v>
      </c>
      <c r="D3">
        <v>30.399941999999999</v>
      </c>
      <c r="F3">
        <f>(B3-B2)/B2</f>
        <v>-1.6102829167177338E-3</v>
      </c>
      <c r="G3">
        <f t="shared" ref="G3:H3" si="0">(C3-C2)/C2</f>
        <v>-6.8850574289148142E-3</v>
      </c>
      <c r="H3">
        <f t="shared" si="0"/>
        <v>6.7719118446311413E-3</v>
      </c>
      <c r="J3" s="299">
        <f>-($B$24-$B$3)/$B$3</f>
        <v>0.1594470433434543</v>
      </c>
      <c r="K3" s="299">
        <f>-(C24-C2)/C2</f>
        <v>0.1700782221779597</v>
      </c>
      <c r="L3" s="299">
        <f>-($B$24-$B$2)/$B$2</f>
        <v>0.16080057141015491</v>
      </c>
      <c r="M3" s="299">
        <f>-(D24-D3)/D3</f>
        <v>7.1161681821629796E-2</v>
      </c>
    </row>
    <row r="4" spans="1:13">
      <c r="A4" s="64">
        <v>45177</v>
      </c>
      <c r="B4">
        <v>43.740001999999997</v>
      </c>
      <c r="C4">
        <v>54.950001</v>
      </c>
      <c r="D4">
        <v>30.370733000000001</v>
      </c>
      <c r="F4">
        <f t="shared" ref="F4:F46" si="1">(B4-B3)/B3</f>
        <v>7.834101021469914E-3</v>
      </c>
      <c r="G4">
        <f t="shared" ref="G4:G46" si="2">(C4-C3)/C3</f>
        <v>2.9604684834264292E-2</v>
      </c>
      <c r="H4">
        <f t="shared" ref="H4:H46" si="3">(D4-D3)/D3</f>
        <v>-9.6082420157242541E-4</v>
      </c>
    </row>
    <row r="5" spans="1:13">
      <c r="A5" s="64">
        <v>45180</v>
      </c>
      <c r="B5">
        <v>42.700001</v>
      </c>
      <c r="C5">
        <v>53.439999</v>
      </c>
      <c r="D5">
        <v>30.497316000000001</v>
      </c>
      <c r="F5">
        <f t="shared" si="1"/>
        <v>-2.3776885058212769E-2</v>
      </c>
      <c r="G5">
        <f t="shared" si="2"/>
        <v>-2.747956273922543E-2</v>
      </c>
      <c r="H5">
        <f t="shared" si="3"/>
        <v>4.1679270632025943E-3</v>
      </c>
      <c r="K5" s="299">
        <f>-(C24-C2)/C2</f>
        <v>0.1700782221779597</v>
      </c>
      <c r="L5" s="299">
        <f>-($B$24-$B$2)/$B$2</f>
        <v>0.16080057141015491</v>
      </c>
      <c r="M5" s="299">
        <f>-(D26-D5)/D5</f>
        <v>5.4063019840828043E-2</v>
      </c>
    </row>
    <row r="6" spans="1:13">
      <c r="A6" s="64">
        <v>45181</v>
      </c>
      <c r="B6">
        <v>41.990001999999997</v>
      </c>
      <c r="C6">
        <v>53.82</v>
      </c>
      <c r="D6">
        <v>30.584952999999999</v>
      </c>
      <c r="F6">
        <f t="shared" si="1"/>
        <v>-1.6627610851812472E-2</v>
      </c>
      <c r="G6">
        <f t="shared" si="2"/>
        <v>7.1107972887499496E-3</v>
      </c>
      <c r="H6">
        <f t="shared" si="3"/>
        <v>2.8735971388432115E-3</v>
      </c>
    </row>
    <row r="7" spans="1:13">
      <c r="A7" s="64">
        <v>45182</v>
      </c>
      <c r="B7">
        <v>41.470001000000003</v>
      </c>
      <c r="C7">
        <v>52.349997999999999</v>
      </c>
      <c r="D7">
        <v>30.458368</v>
      </c>
      <c r="F7">
        <f t="shared" si="1"/>
        <v>-1.2383924154135395E-2</v>
      </c>
      <c r="G7">
        <f t="shared" si="2"/>
        <v>-2.7313303604607968E-2</v>
      </c>
      <c r="H7">
        <f t="shared" si="3"/>
        <v>-4.13879988633622E-3</v>
      </c>
    </row>
    <row r="8" spans="1:13">
      <c r="A8" s="64">
        <v>45183</v>
      </c>
      <c r="B8">
        <v>41.580002</v>
      </c>
      <c r="C8">
        <v>53.57</v>
      </c>
      <c r="D8">
        <v>30.682327000000001</v>
      </c>
      <c r="F8">
        <f t="shared" si="1"/>
        <v>2.6525439437533869E-3</v>
      </c>
      <c r="G8">
        <f t="shared" si="2"/>
        <v>2.3304719132940577E-2</v>
      </c>
      <c r="H8">
        <f t="shared" si="3"/>
        <v>7.3529546954058961E-3</v>
      </c>
    </row>
    <row r="9" spans="1:13">
      <c r="A9" s="64">
        <v>45184</v>
      </c>
      <c r="B9">
        <v>41.080002</v>
      </c>
      <c r="C9">
        <v>52.869999</v>
      </c>
      <c r="D9">
        <v>30.55574</v>
      </c>
      <c r="F9">
        <f t="shared" si="1"/>
        <v>-1.2025011446608396E-2</v>
      </c>
      <c r="G9">
        <f t="shared" si="2"/>
        <v>-1.3067033787567675E-2</v>
      </c>
      <c r="H9">
        <f t="shared" si="3"/>
        <v>-4.125730098633023E-3</v>
      </c>
    </row>
    <row r="10" spans="1:13">
      <c r="A10" s="64">
        <v>45187</v>
      </c>
      <c r="B10">
        <v>40.290000999999997</v>
      </c>
      <c r="C10">
        <v>50.98</v>
      </c>
      <c r="D10">
        <v>30.039663000000001</v>
      </c>
      <c r="F10">
        <f t="shared" si="1"/>
        <v>-1.9230792637254586E-2</v>
      </c>
      <c r="G10">
        <f t="shared" si="2"/>
        <v>-3.5748043044222549E-2</v>
      </c>
      <c r="H10">
        <f t="shared" si="3"/>
        <v>-1.6889690774957479E-2</v>
      </c>
    </row>
    <row r="11" spans="1:13">
      <c r="A11" s="64">
        <v>45188</v>
      </c>
      <c r="B11">
        <v>39.200001</v>
      </c>
      <c r="C11">
        <v>49.810001</v>
      </c>
      <c r="D11">
        <v>30.175985000000001</v>
      </c>
      <c r="F11">
        <f t="shared" si="1"/>
        <v>-2.7053858847012599E-2</v>
      </c>
      <c r="G11">
        <f t="shared" si="2"/>
        <v>-2.2950156924283979E-2</v>
      </c>
      <c r="H11">
        <f t="shared" si="3"/>
        <v>4.5380668884334634E-3</v>
      </c>
    </row>
    <row r="12" spans="1:13">
      <c r="A12" s="64">
        <v>45189</v>
      </c>
      <c r="B12">
        <v>38.770000000000003</v>
      </c>
      <c r="C12">
        <v>50.169998</v>
      </c>
      <c r="D12">
        <v>30.259875999999998</v>
      </c>
      <c r="F12">
        <f t="shared" si="1"/>
        <v>-1.0969412985474087E-2</v>
      </c>
      <c r="G12">
        <f t="shared" si="2"/>
        <v>7.2274039906162603E-3</v>
      </c>
      <c r="H12">
        <f t="shared" si="3"/>
        <v>2.7800583808613943E-3</v>
      </c>
    </row>
    <row r="13" spans="1:13">
      <c r="A13" s="64">
        <v>45190</v>
      </c>
      <c r="B13">
        <v>37.029998999999997</v>
      </c>
      <c r="C13">
        <v>47.509998000000003</v>
      </c>
      <c r="D13">
        <v>29.707186</v>
      </c>
      <c r="F13">
        <f t="shared" si="1"/>
        <v>-4.488008769667285E-2</v>
      </c>
      <c r="G13">
        <f t="shared" si="2"/>
        <v>-5.3019735021715503E-2</v>
      </c>
      <c r="H13">
        <f t="shared" si="3"/>
        <v>-1.826478072811661E-2</v>
      </c>
    </row>
    <row r="14" spans="1:13">
      <c r="A14" s="64">
        <v>45191</v>
      </c>
      <c r="B14">
        <v>36.540000999999997</v>
      </c>
      <c r="C14">
        <v>46</v>
      </c>
      <c r="D14">
        <v>29.342013999999999</v>
      </c>
      <c r="F14">
        <f t="shared" si="1"/>
        <v>-1.3232460524776141E-2</v>
      </c>
      <c r="G14">
        <f t="shared" si="2"/>
        <v>-3.1782741813628425E-2</v>
      </c>
      <c r="H14">
        <f t="shared" si="3"/>
        <v>-1.2292379358987457E-2</v>
      </c>
    </row>
    <row r="15" spans="1:13">
      <c r="A15" s="64">
        <v>45194</v>
      </c>
      <c r="B15">
        <v>36.860000999999997</v>
      </c>
      <c r="C15">
        <v>46.119999</v>
      </c>
      <c r="D15">
        <v>29.361753</v>
      </c>
      <c r="F15">
        <f t="shared" si="1"/>
        <v>8.7575257592357562E-3</v>
      </c>
      <c r="G15">
        <f t="shared" si="2"/>
        <v>2.6086739130434774E-3</v>
      </c>
      <c r="H15">
        <f t="shared" si="3"/>
        <v>6.7272137488589851E-4</v>
      </c>
    </row>
    <row r="16" spans="1:13">
      <c r="A16" s="64">
        <v>45195</v>
      </c>
      <c r="B16">
        <v>36.849997999999999</v>
      </c>
      <c r="C16">
        <v>45.82</v>
      </c>
      <c r="D16">
        <v>28.809061</v>
      </c>
      <c r="F16">
        <f t="shared" si="1"/>
        <v>-2.7137818037491489E-4</v>
      </c>
      <c r="G16">
        <f t="shared" si="2"/>
        <v>-6.504748623259937E-3</v>
      </c>
      <c r="H16">
        <f t="shared" si="3"/>
        <v>-1.882353550212075E-2</v>
      </c>
    </row>
    <row r="17" spans="1:8">
      <c r="A17" s="64">
        <v>45196</v>
      </c>
      <c r="B17">
        <v>36.490001999999997</v>
      </c>
      <c r="C17">
        <v>45.98</v>
      </c>
      <c r="D17">
        <v>28.503105000000001</v>
      </c>
      <c r="F17">
        <f t="shared" si="1"/>
        <v>-9.7692271245171415E-3</v>
      </c>
      <c r="G17">
        <f t="shared" si="2"/>
        <v>3.491924923614068E-3</v>
      </c>
      <c r="H17">
        <f t="shared" si="3"/>
        <v>-1.0620130937276933E-2</v>
      </c>
    </row>
    <row r="18" spans="1:8">
      <c r="A18" s="64">
        <v>45197</v>
      </c>
      <c r="B18">
        <v>36.639999000000003</v>
      </c>
      <c r="C18">
        <v>46.779998999999997</v>
      </c>
      <c r="D18">
        <v>29.085407</v>
      </c>
      <c r="F18">
        <f t="shared" si="1"/>
        <v>4.1106328248490141E-3</v>
      </c>
      <c r="G18">
        <f t="shared" si="2"/>
        <v>1.7398847324923875E-2</v>
      </c>
      <c r="H18">
        <f t="shared" si="3"/>
        <v>2.042942339089017E-2</v>
      </c>
    </row>
    <row r="19" spans="1:8">
      <c r="A19" s="64">
        <v>45198</v>
      </c>
      <c r="B19">
        <v>36.759998000000003</v>
      </c>
      <c r="C19">
        <v>46.349997999999999</v>
      </c>
      <c r="D19">
        <v>28.720236</v>
      </c>
      <c r="F19">
        <f t="shared" si="1"/>
        <v>3.2750819671146813E-3</v>
      </c>
      <c r="G19">
        <f t="shared" si="2"/>
        <v>-9.1919839502347406E-3</v>
      </c>
      <c r="H19">
        <f t="shared" si="3"/>
        <v>-1.2555127731236498E-2</v>
      </c>
    </row>
    <row r="20" spans="1:8">
      <c r="A20" s="64">
        <v>45201</v>
      </c>
      <c r="B20">
        <v>36.790000999999997</v>
      </c>
      <c r="C20">
        <v>46.860000999999997</v>
      </c>
      <c r="D20">
        <v>28.276108000000001</v>
      </c>
      <c r="F20">
        <f t="shared" si="1"/>
        <v>8.1618611622322613E-4</v>
      </c>
      <c r="G20">
        <f t="shared" si="2"/>
        <v>1.1003301445665598E-2</v>
      </c>
      <c r="H20">
        <f t="shared" si="3"/>
        <v>-1.5463939780996201E-2</v>
      </c>
    </row>
    <row r="21" spans="1:8">
      <c r="A21" s="64">
        <v>45202</v>
      </c>
      <c r="B21">
        <v>35.720001000000003</v>
      </c>
      <c r="C21">
        <v>45.09</v>
      </c>
      <c r="D21">
        <v>27.67407</v>
      </c>
      <c r="F21">
        <f t="shared" si="1"/>
        <v>-2.9083989424191461E-2</v>
      </c>
      <c r="G21">
        <f t="shared" si="2"/>
        <v>-3.7772107601960862E-2</v>
      </c>
      <c r="H21">
        <f t="shared" si="3"/>
        <v>-2.1291402621605501E-2</v>
      </c>
    </row>
    <row r="22" spans="1:8">
      <c r="A22" s="64">
        <v>45203</v>
      </c>
      <c r="B22">
        <v>35.159999999999997</v>
      </c>
      <c r="C22">
        <v>44.34</v>
      </c>
      <c r="D22">
        <v>27.980024</v>
      </c>
      <c r="F22">
        <f t="shared" si="1"/>
        <v>-1.5677519157964379E-2</v>
      </c>
      <c r="G22">
        <f t="shared" si="2"/>
        <v>-1.66333998669328E-2</v>
      </c>
      <c r="H22">
        <f t="shared" si="3"/>
        <v>1.1055619935918347E-2</v>
      </c>
    </row>
    <row r="23" spans="1:8">
      <c r="A23" s="64">
        <v>45204</v>
      </c>
      <c r="B23">
        <v>34.790000999999997</v>
      </c>
      <c r="C23">
        <v>43.68</v>
      </c>
      <c r="D23">
        <v>27.940543999999999</v>
      </c>
      <c r="F23">
        <f t="shared" si="1"/>
        <v>-1.0523293515358361E-2</v>
      </c>
      <c r="G23">
        <f t="shared" si="2"/>
        <v>-1.4884979702300488E-2</v>
      </c>
      <c r="H23">
        <f t="shared" si="3"/>
        <v>-1.4110066524603791E-3</v>
      </c>
    </row>
    <row r="24" spans="1:8">
      <c r="A24" s="64">
        <v>45205</v>
      </c>
      <c r="B24">
        <v>36.479999999999997</v>
      </c>
      <c r="C24">
        <v>44.599997999999999</v>
      </c>
      <c r="D24">
        <v>28.236630999999999</v>
      </c>
      <c r="F24">
        <f t="shared" si="1"/>
        <v>4.8577147209624985E-2</v>
      </c>
      <c r="G24">
        <f t="shared" si="2"/>
        <v>2.1062225274725267E-2</v>
      </c>
      <c r="H24">
        <f t="shared" si="3"/>
        <v>1.0597037767052783E-2</v>
      </c>
    </row>
    <row r="25" spans="1:8">
      <c r="A25" s="64">
        <v>45208</v>
      </c>
      <c r="B25">
        <v>37.18</v>
      </c>
      <c r="C25">
        <v>44.720001000000003</v>
      </c>
      <c r="D25">
        <v>28.809061</v>
      </c>
      <c r="F25">
        <f t="shared" si="1"/>
        <v>1.9188596491228151E-2</v>
      </c>
      <c r="G25">
        <f t="shared" si="2"/>
        <v>2.6906503448723041E-3</v>
      </c>
      <c r="H25">
        <f t="shared" si="3"/>
        <v>2.027260263449987E-2</v>
      </c>
    </row>
    <row r="26" spans="1:8">
      <c r="A26" s="64">
        <v>45209</v>
      </c>
      <c r="B26">
        <v>37.389999000000003</v>
      </c>
      <c r="C26">
        <v>45.759998000000003</v>
      </c>
      <c r="D26">
        <v>28.848538999999999</v>
      </c>
      <c r="F26">
        <f t="shared" si="1"/>
        <v>5.6481710597096118E-3</v>
      </c>
      <c r="G26">
        <f t="shared" si="2"/>
        <v>2.3255746349379543E-2</v>
      </c>
      <c r="H26">
        <f t="shared" si="3"/>
        <v>1.3703327574612382E-3</v>
      </c>
    </row>
    <row r="27" spans="1:8">
      <c r="A27" s="64">
        <v>45210</v>
      </c>
      <c r="B27">
        <v>38.009998000000003</v>
      </c>
      <c r="C27">
        <v>47.009998000000003</v>
      </c>
      <c r="D27">
        <v>28.976842999999999</v>
      </c>
      <c r="F27">
        <f t="shared" si="1"/>
        <v>1.6581947488150506E-2</v>
      </c>
      <c r="G27">
        <f t="shared" si="2"/>
        <v>2.7316434760333685E-2</v>
      </c>
      <c r="H27">
        <f t="shared" si="3"/>
        <v>4.4475042566280388E-3</v>
      </c>
    </row>
    <row r="28" spans="1:8">
      <c r="A28" s="64">
        <v>45211</v>
      </c>
      <c r="B28">
        <v>37.159999999999997</v>
      </c>
      <c r="C28">
        <v>43.98</v>
      </c>
      <c r="D28">
        <v>28.503105000000001</v>
      </c>
      <c r="F28">
        <f t="shared" si="1"/>
        <v>-2.2362484733622096E-2</v>
      </c>
      <c r="G28">
        <f t="shared" si="2"/>
        <v>-6.4454331608352886E-2</v>
      </c>
      <c r="H28">
        <f t="shared" si="3"/>
        <v>-1.6348847940405288E-2</v>
      </c>
    </row>
    <row r="29" spans="1:8">
      <c r="A29" s="64">
        <v>45212</v>
      </c>
      <c r="B29">
        <v>36.439999</v>
      </c>
      <c r="C29">
        <v>42.380001</v>
      </c>
      <c r="D29">
        <v>28.562325000000001</v>
      </c>
      <c r="F29">
        <f t="shared" si="1"/>
        <v>-1.9375699677072023E-2</v>
      </c>
      <c r="G29">
        <f t="shared" si="2"/>
        <v>-3.6380150068212755E-2</v>
      </c>
      <c r="H29">
        <f t="shared" si="3"/>
        <v>2.0776683803396096E-3</v>
      </c>
    </row>
    <row r="30" spans="1:8">
      <c r="A30" s="64">
        <v>45215</v>
      </c>
      <c r="B30">
        <v>36.950001</v>
      </c>
      <c r="C30">
        <v>43.610000999999997</v>
      </c>
      <c r="D30">
        <v>28.937365</v>
      </c>
      <c r="F30">
        <f t="shared" si="1"/>
        <v>1.3995664489452924E-2</v>
      </c>
      <c r="G30">
        <f t="shared" si="2"/>
        <v>2.9023123430317922E-2</v>
      </c>
      <c r="H30">
        <f t="shared" si="3"/>
        <v>1.3130583732241631E-2</v>
      </c>
    </row>
    <row r="31" spans="1:8">
      <c r="A31" s="64">
        <v>45216</v>
      </c>
      <c r="B31">
        <v>36.840000000000003</v>
      </c>
      <c r="C31">
        <v>43.869999</v>
      </c>
      <c r="D31">
        <v>28.888017999999999</v>
      </c>
      <c r="F31">
        <f t="shared" si="1"/>
        <v>-2.9770229234905004E-3</v>
      </c>
      <c r="G31">
        <f t="shared" si="2"/>
        <v>5.9618893381819249E-3</v>
      </c>
      <c r="H31">
        <f t="shared" si="3"/>
        <v>-1.7053038519575269E-3</v>
      </c>
    </row>
    <row r="32" spans="1:8">
      <c r="A32" s="64">
        <v>45217</v>
      </c>
      <c r="B32">
        <v>35.630001</v>
      </c>
      <c r="C32">
        <v>42.52</v>
      </c>
      <c r="D32">
        <v>28.364933000000001</v>
      </c>
      <c r="F32">
        <f t="shared" si="1"/>
        <v>-3.2844706840390966E-2</v>
      </c>
      <c r="G32">
        <f t="shared" si="2"/>
        <v>-3.0772715540750225E-2</v>
      </c>
      <c r="H32">
        <f t="shared" si="3"/>
        <v>-1.8107334328024798E-2</v>
      </c>
    </row>
    <row r="33" spans="1:33">
      <c r="A33" s="64">
        <v>45218</v>
      </c>
      <c r="B33">
        <v>35.990001999999997</v>
      </c>
      <c r="C33">
        <v>41.91</v>
      </c>
      <c r="D33">
        <v>27.713546999999998</v>
      </c>
      <c r="F33">
        <f t="shared" si="1"/>
        <v>1.0103872857034074E-2</v>
      </c>
      <c r="G33">
        <f t="shared" si="2"/>
        <v>-1.4346190028222166E-2</v>
      </c>
      <c r="H33">
        <f t="shared" si="3"/>
        <v>-2.2964482235865048E-2</v>
      </c>
    </row>
    <row r="34" spans="1:33">
      <c r="A34" s="64">
        <v>45219</v>
      </c>
      <c r="B34">
        <v>35.25</v>
      </c>
      <c r="C34">
        <v>41.34</v>
      </c>
      <c r="D34">
        <v>27.150986</v>
      </c>
      <c r="F34">
        <f t="shared" si="1"/>
        <v>-2.0561321446995112E-2</v>
      </c>
      <c r="G34">
        <f t="shared" si="2"/>
        <v>-1.3600572655690604E-2</v>
      </c>
      <c r="H34">
        <f t="shared" si="3"/>
        <v>-2.0299133849593441E-2</v>
      </c>
    </row>
    <row r="35" spans="1:33">
      <c r="A35" s="64">
        <v>45222</v>
      </c>
      <c r="B35">
        <v>36.639999000000003</v>
      </c>
      <c r="C35">
        <v>41.360000999999997</v>
      </c>
      <c r="D35">
        <v>26.923988000000001</v>
      </c>
      <c r="F35">
        <f t="shared" si="1"/>
        <v>3.9432595744680936E-2</v>
      </c>
      <c r="G35">
        <f t="shared" si="2"/>
        <v>4.8381712626979908E-4</v>
      </c>
      <c r="H35">
        <f t="shared" si="3"/>
        <v>-8.3605803487209734E-3</v>
      </c>
    </row>
    <row r="36" spans="1:33">
      <c r="A36" s="64">
        <v>45223</v>
      </c>
      <c r="B36">
        <v>36.659999999999997</v>
      </c>
      <c r="C36">
        <v>41.66</v>
      </c>
      <c r="D36">
        <v>27.585245</v>
      </c>
      <c r="F36">
        <f t="shared" si="1"/>
        <v>5.4587883585896101E-4</v>
      </c>
      <c r="G36">
        <f t="shared" si="2"/>
        <v>7.2533605596382771E-3</v>
      </c>
      <c r="H36">
        <f t="shared" si="3"/>
        <v>2.4560143170469364E-2</v>
      </c>
    </row>
    <row r="37" spans="1:33">
      <c r="A37" s="64">
        <v>45224</v>
      </c>
      <c r="B37">
        <v>34.630001</v>
      </c>
      <c r="C37">
        <v>38.540000999999997</v>
      </c>
      <c r="D37">
        <v>27.200333000000001</v>
      </c>
      <c r="F37">
        <f t="shared" si="1"/>
        <v>-5.5373677032187582E-2</v>
      </c>
      <c r="G37">
        <f t="shared" si="2"/>
        <v>-7.4891958713394144E-2</v>
      </c>
      <c r="H37">
        <f t="shared" si="3"/>
        <v>-1.3953546542726009E-2</v>
      </c>
    </row>
    <row r="38" spans="1:33">
      <c r="A38" s="64">
        <v>45225</v>
      </c>
      <c r="B38">
        <v>34.840000000000003</v>
      </c>
      <c r="C38">
        <v>38.759998000000003</v>
      </c>
      <c r="D38">
        <v>27.190462</v>
      </c>
      <c r="F38">
        <f t="shared" si="1"/>
        <v>6.0640772144362164E-3</v>
      </c>
      <c r="G38">
        <f t="shared" si="2"/>
        <v>5.7082769665731574E-3</v>
      </c>
      <c r="H38">
        <f t="shared" si="3"/>
        <v>-3.6289996890848385E-4</v>
      </c>
    </row>
    <row r="39" spans="1:33">
      <c r="A39" s="64">
        <v>45226</v>
      </c>
      <c r="B39">
        <v>34.229999999999997</v>
      </c>
      <c r="C39">
        <v>39.139999000000003</v>
      </c>
      <c r="D39">
        <v>26.983204000000001</v>
      </c>
      <c r="F39">
        <f t="shared" si="1"/>
        <v>-1.7508610792193069E-2</v>
      </c>
      <c r="G39">
        <f t="shared" si="2"/>
        <v>9.8039478743007155E-3</v>
      </c>
      <c r="H39">
        <f t="shared" si="3"/>
        <v>-7.6224523143446216E-3</v>
      </c>
    </row>
    <row r="40" spans="1:33">
      <c r="A40" s="64">
        <v>45229</v>
      </c>
      <c r="B40">
        <v>34.830002</v>
      </c>
      <c r="C40">
        <v>40.090000000000003</v>
      </c>
      <c r="D40">
        <v>26.825292999999999</v>
      </c>
      <c r="F40">
        <f t="shared" si="1"/>
        <v>1.7528542214431887E-2</v>
      </c>
      <c r="G40">
        <f t="shared" si="2"/>
        <v>2.4271870829633904E-2</v>
      </c>
      <c r="H40">
        <f t="shared" si="3"/>
        <v>-5.852196054997847E-3</v>
      </c>
    </row>
    <row r="41" spans="1:33">
      <c r="A41" s="64">
        <v>45230</v>
      </c>
      <c r="B41">
        <v>34.919998</v>
      </c>
      <c r="C41">
        <v>39.889999000000003</v>
      </c>
      <c r="D41">
        <v>27.535896000000001</v>
      </c>
      <c r="F41">
        <f t="shared" si="1"/>
        <v>2.5838643362696132E-3</v>
      </c>
      <c r="G41">
        <f t="shared" si="2"/>
        <v>-4.9888001995510179E-3</v>
      </c>
      <c r="H41">
        <f t="shared" si="3"/>
        <v>2.6490036846941525E-2</v>
      </c>
      <c r="AG41">
        <v>37.090000000000003</v>
      </c>
    </row>
    <row r="42" spans="1:33">
      <c r="A42" s="64">
        <v>45231</v>
      </c>
      <c r="B42">
        <v>34.970001000000003</v>
      </c>
      <c r="C42">
        <v>39.470001000000003</v>
      </c>
      <c r="D42">
        <v>27.506288999999999</v>
      </c>
      <c r="F42">
        <f t="shared" si="1"/>
        <v>1.4319302080144391E-3</v>
      </c>
      <c r="G42">
        <f t="shared" si="2"/>
        <v>-1.0528904751288653E-2</v>
      </c>
      <c r="H42">
        <f t="shared" si="3"/>
        <v>-1.0752146943031073E-3</v>
      </c>
      <c r="AG42">
        <v>29.75</v>
      </c>
    </row>
    <row r="43" spans="1:33">
      <c r="A43" s="64">
        <v>45232</v>
      </c>
      <c r="B43">
        <v>36.25</v>
      </c>
      <c r="C43">
        <v>40.630001</v>
      </c>
      <c r="D43">
        <v>28.216892000000001</v>
      </c>
      <c r="F43">
        <f t="shared" si="1"/>
        <v>3.6602772759428755E-2</v>
      </c>
      <c r="G43">
        <f t="shared" si="2"/>
        <v>2.9389408933635359E-2</v>
      </c>
      <c r="H43">
        <f t="shared" si="3"/>
        <v>2.5834201043986798E-2</v>
      </c>
      <c r="AG43" s="299">
        <f>(AG41-AG42)/AG42</f>
        <v>0.24672268907563036</v>
      </c>
    </row>
    <row r="44" spans="1:33">
      <c r="A44" s="64">
        <v>45233</v>
      </c>
      <c r="B44">
        <v>38.159999999999997</v>
      </c>
      <c r="C44">
        <v>44.400002000000001</v>
      </c>
      <c r="D44">
        <v>28.789321999999999</v>
      </c>
      <c r="F44">
        <f t="shared" si="1"/>
        <v>5.2689655172413696E-2</v>
      </c>
      <c r="G44">
        <f t="shared" si="2"/>
        <v>9.2788602195702646E-2</v>
      </c>
      <c r="H44">
        <f t="shared" si="3"/>
        <v>2.028678424257346E-2</v>
      </c>
    </row>
    <row r="45" spans="1:33">
      <c r="A45" s="64">
        <v>45236</v>
      </c>
      <c r="B45">
        <v>38.279998999999997</v>
      </c>
      <c r="C45">
        <v>43.900002000000001</v>
      </c>
      <c r="D45">
        <v>28.62154</v>
      </c>
      <c r="F45">
        <f t="shared" si="1"/>
        <v>3.1446278825995803E-3</v>
      </c>
      <c r="G45">
        <f t="shared" si="2"/>
        <v>-1.1261260753997263E-2</v>
      </c>
      <c r="H45">
        <f t="shared" si="3"/>
        <v>-5.8279246729047319E-3</v>
      </c>
    </row>
    <row r="46" spans="1:33">
      <c r="A46" s="64">
        <v>45237</v>
      </c>
      <c r="B46">
        <v>38.270000000000003</v>
      </c>
      <c r="C46">
        <v>43.639999000000003</v>
      </c>
      <c r="D46">
        <v>28.374804000000001</v>
      </c>
      <c r="F46">
        <f t="shared" si="1"/>
        <v>-2.6120690337513933E-4</v>
      </c>
      <c r="G46">
        <f t="shared" si="2"/>
        <v>-5.9226193201539611E-3</v>
      </c>
      <c r="H46">
        <f t="shared" si="3"/>
        <v>-8.6206402590496018E-3</v>
      </c>
    </row>
    <row r="47" spans="1:33">
      <c r="A47" s="64">
        <v>45238</v>
      </c>
      <c r="B47">
        <v>38.650002000000001</v>
      </c>
      <c r="C47">
        <v>44.080002</v>
      </c>
      <c r="D47">
        <v>28.226761</v>
      </c>
      <c r="F47">
        <f t="shared" ref="F47" si="4">(B47-B46)/B46</f>
        <v>9.9295009145544157E-3</v>
      </c>
      <c r="G47">
        <f t="shared" ref="G47" si="5">(C47-C46)/C46</f>
        <v>1.0082562100883577E-2</v>
      </c>
      <c r="H47">
        <f t="shared" ref="H47" si="6">(D47-D46)/D46</f>
        <v>-5.2174104885447407E-3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CE52-3A76-4282-9146-D8603D153F59}">
  <dimension ref="B1:I26"/>
  <sheetViews>
    <sheetView topLeftCell="C1" workbookViewId="0">
      <selection activeCell="H24" sqref="H24"/>
    </sheetView>
  </sheetViews>
  <sheetFormatPr defaultRowHeight="14.4"/>
  <cols>
    <col min="2" max="2" width="9.33203125" bestFit="1" customWidth="1"/>
    <col min="6" max="6" width="9.33203125" bestFit="1" customWidth="1"/>
  </cols>
  <sheetData>
    <row r="1" spans="2:9">
      <c r="C1" t="s">
        <v>323</v>
      </c>
      <c r="D1" t="s">
        <v>391</v>
      </c>
      <c r="E1" t="s">
        <v>324</v>
      </c>
    </row>
    <row r="2" spans="2:9">
      <c r="B2" s="64">
        <v>44562</v>
      </c>
      <c r="C2" s="320">
        <v>25.887212999999999</v>
      </c>
      <c r="D2" s="320">
        <v>44.172054000000003</v>
      </c>
      <c r="E2">
        <v>40.006821000000002</v>
      </c>
      <c r="G2" t="s">
        <v>323</v>
      </c>
      <c r="H2" t="s">
        <v>391</v>
      </c>
      <c r="I2" t="s">
        <v>324</v>
      </c>
    </row>
    <row r="3" spans="2:9">
      <c r="B3" s="64">
        <v>44593</v>
      </c>
      <c r="C3" s="320">
        <v>25.290234000000002</v>
      </c>
      <c r="D3" s="320">
        <v>42.053958999999999</v>
      </c>
      <c r="E3">
        <v>40.210490999999998</v>
      </c>
      <c r="F3" s="321">
        <v>44593</v>
      </c>
      <c r="G3" s="313">
        <f>(C3-$C$2)/$C$2</f>
        <v>-2.3060767491656885E-2</v>
      </c>
      <c r="H3" s="313">
        <f>(D3-$D$2)/$D$2</f>
        <v>-4.7951018985895558E-2</v>
      </c>
      <c r="I3" s="313">
        <f>(E3-$E$2)/$E$2</f>
        <v>5.0908818773677455E-3</v>
      </c>
    </row>
    <row r="4" spans="2:9">
      <c r="B4" s="64">
        <v>44621</v>
      </c>
      <c r="C4" s="320">
        <v>25.742488999999999</v>
      </c>
      <c r="D4" s="320">
        <v>45.086472000000001</v>
      </c>
      <c r="E4">
        <v>41.556438</v>
      </c>
      <c r="F4" s="321">
        <v>44621</v>
      </c>
      <c r="G4" s="313">
        <f t="shared" ref="G4:G26" si="0">(C4-$C$2)/$C$2</f>
        <v>-5.5905593236320987E-3</v>
      </c>
      <c r="H4" s="313">
        <f t="shared" ref="H4:H26" si="1">(D4-$D$2)/$D$2</f>
        <v>2.0701278686293321E-2</v>
      </c>
      <c r="I4" s="313">
        <f t="shared" ref="I4:I26" si="2">(E4-$E$2)/$E$2</f>
        <v>3.8733819915358875E-2</v>
      </c>
    </row>
    <row r="5" spans="2:9">
      <c r="B5" s="64">
        <v>44652</v>
      </c>
      <c r="C5" s="320">
        <v>27.319799</v>
      </c>
      <c r="D5" s="320">
        <v>43.730637000000002</v>
      </c>
      <c r="E5">
        <v>39.903964999999999</v>
      </c>
      <c r="F5" s="321">
        <v>44652</v>
      </c>
      <c r="G5" s="313">
        <f t="shared" si="0"/>
        <v>5.5339522257571744E-2</v>
      </c>
      <c r="H5" s="313">
        <f t="shared" si="1"/>
        <v>-9.9931282344262566E-3</v>
      </c>
      <c r="I5" s="313">
        <f t="shared" si="2"/>
        <v>-2.5709615867754829E-3</v>
      </c>
    </row>
    <row r="6" spans="2:9">
      <c r="B6" s="64">
        <v>44682</v>
      </c>
      <c r="C6" s="320">
        <v>28.272924</v>
      </c>
      <c r="D6" s="320">
        <v>41.497188999999999</v>
      </c>
      <c r="E6">
        <v>42.09787</v>
      </c>
      <c r="F6" s="321">
        <v>44682</v>
      </c>
      <c r="G6" s="313">
        <f t="shared" si="0"/>
        <v>9.2157892778956182E-2</v>
      </c>
      <c r="H6" s="313">
        <f t="shared" si="1"/>
        <v>-6.0555594720589717E-2</v>
      </c>
      <c r="I6" s="313">
        <f t="shared" si="2"/>
        <v>5.2267312116601267E-2</v>
      </c>
    </row>
    <row r="7" spans="2:9">
      <c r="B7" s="64">
        <v>44713</v>
      </c>
      <c r="C7" s="320">
        <v>27.301473999999999</v>
      </c>
      <c r="D7" s="320">
        <v>38.344073999999999</v>
      </c>
      <c r="E7">
        <v>41.234692000000003</v>
      </c>
      <c r="F7" s="321">
        <v>44713</v>
      </c>
      <c r="G7" s="313">
        <f t="shared" si="0"/>
        <v>5.4631643815809754E-2</v>
      </c>
      <c r="H7" s="313">
        <f t="shared" si="1"/>
        <v>-0.13193817068139968</v>
      </c>
      <c r="I7" s="313">
        <f t="shared" si="2"/>
        <v>3.0691541324915576E-2</v>
      </c>
    </row>
    <row r="8" spans="2:9">
      <c r="B8" s="64">
        <v>44743</v>
      </c>
      <c r="C8" s="320">
        <v>31.716293</v>
      </c>
      <c r="D8" s="320">
        <v>41.944664000000003</v>
      </c>
      <c r="E8">
        <v>47.446666999999998</v>
      </c>
      <c r="F8" s="321">
        <v>44743</v>
      </c>
      <c r="G8" s="313">
        <f t="shared" si="0"/>
        <v>0.22517217284069943</v>
      </c>
      <c r="H8" s="313">
        <f t="shared" si="1"/>
        <v>-5.04253209506626E-2</v>
      </c>
      <c r="I8" s="313">
        <f t="shared" si="2"/>
        <v>0.18596443841413932</v>
      </c>
    </row>
    <row r="9" spans="2:9">
      <c r="B9" s="64">
        <v>44774</v>
      </c>
      <c r="C9" s="320">
        <v>30.603121000000002</v>
      </c>
      <c r="D9" s="320">
        <v>39.589184000000003</v>
      </c>
      <c r="E9">
        <v>44.051754000000003</v>
      </c>
      <c r="F9" s="321">
        <v>44774</v>
      </c>
      <c r="G9" s="313">
        <f t="shared" si="0"/>
        <v>0.18217132914230677</v>
      </c>
      <c r="H9" s="313">
        <f t="shared" si="1"/>
        <v>-0.1037504391351147</v>
      </c>
      <c r="I9" s="313">
        <f t="shared" si="2"/>
        <v>0.10110608388504551</v>
      </c>
    </row>
    <row r="10" spans="2:9">
      <c r="B10" s="64">
        <v>44805</v>
      </c>
      <c r="C10" s="320">
        <v>27.690300000000001</v>
      </c>
      <c r="D10" s="320">
        <v>34.064670999999997</v>
      </c>
      <c r="E10">
        <v>40.373932000000003</v>
      </c>
      <c r="F10" s="321">
        <v>44805</v>
      </c>
      <c r="G10" s="313">
        <f t="shared" si="0"/>
        <v>6.9651646162141964E-2</v>
      </c>
      <c r="H10" s="313">
        <f t="shared" si="1"/>
        <v>-0.22881849687134778</v>
      </c>
      <c r="I10" s="313">
        <f t="shared" si="2"/>
        <v>9.176210226751115E-3</v>
      </c>
    </row>
    <row r="11" spans="2:9">
      <c r="B11" s="64">
        <v>44835</v>
      </c>
      <c r="C11" s="320">
        <v>30.058751999999998</v>
      </c>
      <c r="D11" s="320">
        <v>35.062069000000001</v>
      </c>
      <c r="E11">
        <v>46.412945000000001</v>
      </c>
      <c r="F11" s="321">
        <v>44835</v>
      </c>
      <c r="G11" s="313">
        <f t="shared" si="0"/>
        <v>0.16114283913065494</v>
      </c>
      <c r="H11" s="313">
        <f t="shared" si="1"/>
        <v>-0.20623865487441451</v>
      </c>
      <c r="I11" s="313">
        <f t="shared" si="2"/>
        <v>0.16012579454888451</v>
      </c>
    </row>
    <row r="12" spans="2:9">
      <c r="B12" s="64">
        <v>44866</v>
      </c>
      <c r="C12" s="320">
        <v>32.105227999999997</v>
      </c>
      <c r="D12" s="320">
        <v>37.458092000000001</v>
      </c>
      <c r="E12">
        <v>48.718769000000002</v>
      </c>
      <c r="F12" s="321">
        <v>44866</v>
      </c>
      <c r="G12" s="313">
        <f t="shared" si="0"/>
        <v>0.24019638576002747</v>
      </c>
      <c r="H12" s="313">
        <f t="shared" si="1"/>
        <v>-0.1519956939290168</v>
      </c>
      <c r="I12" s="313">
        <f t="shared" si="2"/>
        <v>0.2177615662089222</v>
      </c>
    </row>
    <row r="13" spans="2:9">
      <c r="B13" s="64">
        <v>44896</v>
      </c>
      <c r="C13" s="320">
        <v>30.415478</v>
      </c>
      <c r="D13" s="320">
        <v>35.252994999999999</v>
      </c>
      <c r="E13">
        <v>48.237236000000003</v>
      </c>
      <c r="F13" s="321">
        <v>44896</v>
      </c>
      <c r="G13" s="313">
        <f t="shared" si="0"/>
        <v>0.17492284704421451</v>
      </c>
      <c r="H13" s="313">
        <f t="shared" si="1"/>
        <v>-0.20191632927008565</v>
      </c>
      <c r="I13" s="313">
        <f t="shared" si="2"/>
        <v>0.20572529369429279</v>
      </c>
    </row>
    <row r="14" spans="2:9">
      <c r="B14" s="64">
        <v>44927</v>
      </c>
      <c r="C14" s="320">
        <v>32.468781</v>
      </c>
      <c r="D14" s="320">
        <v>39.186726</v>
      </c>
      <c r="E14">
        <v>50.280856999999997</v>
      </c>
      <c r="F14" s="321">
        <v>44927</v>
      </c>
      <c r="G14" s="313">
        <f t="shared" si="0"/>
        <v>0.25424011460793405</v>
      </c>
      <c r="H14" s="313">
        <f t="shared" si="1"/>
        <v>-0.11286158438545787</v>
      </c>
      <c r="I14" s="313">
        <f t="shared" si="2"/>
        <v>0.25680710796791362</v>
      </c>
    </row>
    <row r="15" spans="2:9">
      <c r="B15" s="64">
        <v>44958</v>
      </c>
      <c r="C15" s="320">
        <v>31.851322</v>
      </c>
      <c r="D15" s="320">
        <v>36.889004</v>
      </c>
      <c r="E15">
        <v>50.581268000000001</v>
      </c>
      <c r="F15" s="321">
        <v>44958</v>
      </c>
      <c r="G15" s="313">
        <f t="shared" si="0"/>
        <v>0.23038822294234612</v>
      </c>
      <c r="H15" s="313">
        <f t="shared" si="1"/>
        <v>-0.16487913376181246</v>
      </c>
      <c r="I15" s="313">
        <f t="shared" si="2"/>
        <v>0.26431610249662174</v>
      </c>
    </row>
    <row r="16" spans="2:9">
      <c r="B16" s="64">
        <v>44986</v>
      </c>
      <c r="C16" s="320">
        <v>30.986882999999999</v>
      </c>
      <c r="D16" s="320">
        <v>36.087704000000002</v>
      </c>
      <c r="E16">
        <v>48.872692000000001</v>
      </c>
      <c r="F16" s="321">
        <v>44986</v>
      </c>
      <c r="G16" s="313">
        <f t="shared" si="0"/>
        <v>0.19699571367531915</v>
      </c>
      <c r="H16" s="313">
        <f t="shared" si="1"/>
        <v>-0.18301956254966092</v>
      </c>
      <c r="I16" s="313">
        <f t="shared" si="2"/>
        <v>0.22160898512781102</v>
      </c>
    </row>
    <row r="17" spans="2:9">
      <c r="B17" s="64">
        <v>45017</v>
      </c>
      <c r="C17" s="320">
        <v>32.644581000000002</v>
      </c>
      <c r="D17" s="320">
        <v>36.704253999999999</v>
      </c>
      <c r="E17">
        <v>49.703601999999997</v>
      </c>
      <c r="F17" s="321">
        <v>45017</v>
      </c>
      <c r="G17" s="313">
        <f t="shared" si="0"/>
        <v>0.2610311121556424</v>
      </c>
      <c r="H17" s="313">
        <f t="shared" si="1"/>
        <v>-0.16906164245837432</v>
      </c>
      <c r="I17" s="313">
        <f t="shared" si="2"/>
        <v>0.24237819345856032</v>
      </c>
    </row>
    <row r="18" spans="2:9">
      <c r="B18" s="64">
        <v>45047</v>
      </c>
      <c r="C18" s="320">
        <v>29.749468</v>
      </c>
      <c r="D18" s="320">
        <v>35.041629999999998</v>
      </c>
      <c r="E18">
        <v>46.014065000000002</v>
      </c>
      <c r="F18" s="321">
        <v>45047</v>
      </c>
      <c r="G18" s="313">
        <f t="shared" si="0"/>
        <v>0.14919547345633541</v>
      </c>
      <c r="H18" s="313">
        <f t="shared" si="1"/>
        <v>-0.20670136824518065</v>
      </c>
      <c r="I18" s="313">
        <f t="shared" si="2"/>
        <v>0.15015549473426043</v>
      </c>
    </row>
    <row r="19" spans="2:9">
      <c r="B19" s="64">
        <v>45078</v>
      </c>
      <c r="C19" s="320">
        <v>30.230387</v>
      </c>
      <c r="D19" s="320">
        <v>36.645919999999997</v>
      </c>
      <c r="E19">
        <v>46.319930999999997</v>
      </c>
      <c r="F19" s="321">
        <v>45078</v>
      </c>
      <c r="G19" s="313">
        <f t="shared" si="0"/>
        <v>0.16777294643498322</v>
      </c>
      <c r="H19" s="313">
        <f t="shared" si="1"/>
        <v>-0.17038225118533101</v>
      </c>
      <c r="I19" s="313">
        <f t="shared" si="2"/>
        <v>0.15780084101158637</v>
      </c>
    </row>
    <row r="20" spans="2:9">
      <c r="B20" s="64">
        <v>45108</v>
      </c>
      <c r="C20" s="320">
        <v>30.653113999999999</v>
      </c>
      <c r="D20" s="320">
        <v>37.489154999999997</v>
      </c>
      <c r="E20">
        <v>46.025139000000003</v>
      </c>
      <c r="F20" s="321">
        <v>45108</v>
      </c>
      <c r="G20" s="313">
        <f t="shared" si="0"/>
        <v>0.18410251424129742</v>
      </c>
      <c r="H20" s="313">
        <f t="shared" si="1"/>
        <v>-0.15129246649929401</v>
      </c>
      <c r="I20" s="313">
        <f t="shared" si="2"/>
        <v>0.15043229753246329</v>
      </c>
    </row>
    <row r="21" spans="2:9">
      <c r="B21" s="64">
        <v>45139</v>
      </c>
      <c r="C21" s="320">
        <v>30.029926</v>
      </c>
      <c r="D21" s="320">
        <v>36.340626</v>
      </c>
      <c r="E21">
        <v>45.966952999999997</v>
      </c>
      <c r="F21" s="321">
        <v>45139</v>
      </c>
      <c r="G21" s="313">
        <f t="shared" si="0"/>
        <v>0.16002931640420315</v>
      </c>
      <c r="H21" s="313">
        <f t="shared" si="1"/>
        <v>-0.1772937251231288</v>
      </c>
      <c r="I21" s="313">
        <f t="shared" si="2"/>
        <v>0.14897789554436214</v>
      </c>
    </row>
    <row r="22" spans="2:9">
      <c r="B22" s="64">
        <v>45170</v>
      </c>
      <c r="C22" s="320">
        <v>28.335629999999998</v>
      </c>
      <c r="D22" s="320">
        <v>33.444763000000002</v>
      </c>
      <c r="E22">
        <v>44.172882000000001</v>
      </c>
      <c r="F22" s="321">
        <v>45170</v>
      </c>
      <c r="G22" s="313">
        <f t="shared" si="0"/>
        <v>9.4580169754078944E-2</v>
      </c>
      <c r="H22" s="313">
        <f t="shared" si="1"/>
        <v>-0.2428524378784831</v>
      </c>
      <c r="I22" s="313">
        <f t="shared" si="2"/>
        <v>0.10413376758928181</v>
      </c>
    </row>
    <row r="23" spans="2:9">
      <c r="B23" s="64">
        <v>45200</v>
      </c>
      <c r="C23" s="320">
        <v>27.535896000000001</v>
      </c>
      <c r="D23" s="320">
        <v>32.751621</v>
      </c>
      <c r="E23">
        <v>44.687992000000001</v>
      </c>
      <c r="F23" s="321">
        <v>45200</v>
      </c>
      <c r="G23" s="313">
        <f t="shared" si="0"/>
        <v>6.3687157053175319E-2</v>
      </c>
      <c r="H23" s="313">
        <f t="shared" si="1"/>
        <v>-0.25854430495806247</v>
      </c>
      <c r="I23" s="313">
        <f t="shared" si="2"/>
        <v>0.11700932198536841</v>
      </c>
    </row>
    <row r="24" spans="2:9">
      <c r="B24" s="64">
        <v>45231</v>
      </c>
      <c r="C24" s="320">
        <v>29.499925999999999</v>
      </c>
      <c r="D24" s="320">
        <v>36.838154000000003</v>
      </c>
      <c r="E24">
        <v>46.007271000000003</v>
      </c>
      <c r="F24" s="321">
        <v>45231</v>
      </c>
      <c r="G24" s="313">
        <f t="shared" si="0"/>
        <v>0.13955588807493488</v>
      </c>
      <c r="H24" s="313">
        <f t="shared" si="1"/>
        <v>-0.16603031409859273</v>
      </c>
      <c r="I24" s="313">
        <f t="shared" si="2"/>
        <v>0.14998567369299351</v>
      </c>
    </row>
    <row r="25" spans="2:9">
      <c r="B25" s="64">
        <v>45261</v>
      </c>
      <c r="C25" s="320">
        <v>31.463954999999999</v>
      </c>
      <c r="D25" s="320">
        <v>39.638370999999999</v>
      </c>
      <c r="E25">
        <v>48.586745999999998</v>
      </c>
      <c r="F25" s="321">
        <v>45261</v>
      </c>
      <c r="G25" s="313">
        <f t="shared" si="0"/>
        <v>0.2154245804675845</v>
      </c>
      <c r="H25" s="313">
        <f t="shared" si="1"/>
        <v>-0.10263690703629048</v>
      </c>
      <c r="I25" s="313">
        <f t="shared" si="2"/>
        <v>0.21446155394351366</v>
      </c>
    </row>
    <row r="26" spans="2:9">
      <c r="B26" s="64">
        <v>45292</v>
      </c>
      <c r="C26">
        <v>30.120000999999998</v>
      </c>
      <c r="D26">
        <v>38.130001</v>
      </c>
      <c r="E26">
        <v>45.650002000000001</v>
      </c>
      <c r="F26" s="321">
        <v>45292</v>
      </c>
      <c r="G26" s="313">
        <f t="shared" si="0"/>
        <v>0.16350883349242731</v>
      </c>
      <c r="H26" s="313">
        <f t="shared" si="1"/>
        <v>-0.13678451538613084</v>
      </c>
      <c r="I26" s="313">
        <f t="shared" si="2"/>
        <v>0.14105547151571973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43826-0127-4CBF-9816-2E889E96EBBB}">
  <dimension ref="C1:D67"/>
  <sheetViews>
    <sheetView workbookViewId="0">
      <selection activeCell="F29" sqref="F29"/>
    </sheetView>
  </sheetViews>
  <sheetFormatPr defaultRowHeight="14.4"/>
  <cols>
    <col min="3" max="3" width="45.44140625" customWidth="1"/>
    <col min="4" max="4" width="15.44140625" customWidth="1"/>
  </cols>
  <sheetData>
    <row r="1" spans="3:4" ht="23.4">
      <c r="C1" s="327" t="s">
        <v>394</v>
      </c>
      <c r="D1" s="337" t="s">
        <v>432</v>
      </c>
    </row>
    <row r="2" spans="3:4" ht="19.8">
      <c r="C2" s="328" t="s">
        <v>395</v>
      </c>
    </row>
    <row r="3" spans="3:4">
      <c r="C3" s="329" t="s">
        <v>396</v>
      </c>
    </row>
    <row r="4" spans="3:4">
      <c r="C4" s="10"/>
    </row>
    <row r="5" spans="3:4" ht="15.6">
      <c r="C5" s="330" t="s">
        <v>397</v>
      </c>
    </row>
    <row r="7" spans="3:4" ht="20.399999999999999">
      <c r="C7" s="331" t="s">
        <v>398</v>
      </c>
      <c r="D7" s="338" t="s">
        <v>433</v>
      </c>
    </row>
    <row r="8" spans="3:4">
      <c r="C8" s="10" t="s">
        <v>399</v>
      </c>
      <c r="D8" s="339">
        <v>40829900</v>
      </c>
    </row>
    <row r="9" spans="3:4">
      <c r="C9" s="10" t="s">
        <v>400</v>
      </c>
      <c r="D9" s="339">
        <v>5986700</v>
      </c>
    </row>
    <row r="10" spans="3:4">
      <c r="C10" s="10" t="s">
        <v>401</v>
      </c>
      <c r="D10" s="339">
        <v>154662</v>
      </c>
    </row>
    <row r="11" spans="3:4">
      <c r="C11" s="10" t="s">
        <v>402</v>
      </c>
      <c r="D11" s="340">
        <v>0.83499999999999996</v>
      </c>
    </row>
    <row r="12" spans="3:4">
      <c r="C12" t="s">
        <v>403</v>
      </c>
      <c r="D12" s="340">
        <v>0.90700000000000003</v>
      </c>
    </row>
    <row r="13" spans="3:4">
      <c r="C13" t="s">
        <v>404</v>
      </c>
      <c r="D13" s="340">
        <v>0.80300000000000005</v>
      </c>
    </row>
    <row r="14" spans="3:4">
      <c r="C14" t="s">
        <v>405</v>
      </c>
      <c r="D14" s="340">
        <v>0.86199999999999999</v>
      </c>
    </row>
    <row r="15" spans="3:4">
      <c r="C15" t="s">
        <v>406</v>
      </c>
      <c r="D15" s="340">
        <v>0.69699999999999995</v>
      </c>
    </row>
    <row r="16" spans="3:4">
      <c r="C16" s="10" t="s">
        <v>407</v>
      </c>
      <c r="D16" s="341">
        <v>191.29</v>
      </c>
    </row>
    <row r="17" spans="3:4">
      <c r="C17" t="s">
        <v>408</v>
      </c>
      <c r="D17" s="341">
        <v>204.42</v>
      </c>
    </row>
    <row r="18" spans="3:4">
      <c r="C18" t="s">
        <v>409</v>
      </c>
      <c r="D18" s="341">
        <v>105.19</v>
      </c>
    </row>
    <row r="19" spans="3:4">
      <c r="C19" s="10" t="s">
        <v>410</v>
      </c>
      <c r="D19" s="341">
        <v>159.72999999999999</v>
      </c>
    </row>
    <row r="20" spans="3:4">
      <c r="C20" t="s">
        <v>411</v>
      </c>
      <c r="D20" s="341">
        <v>176.21</v>
      </c>
    </row>
    <row r="21" spans="3:4">
      <c r="C21" t="s">
        <v>412</v>
      </c>
      <c r="D21" s="341">
        <v>73.319999999999993</v>
      </c>
    </row>
    <row r="22" spans="3:4">
      <c r="C22" s="10" t="s">
        <v>413</v>
      </c>
      <c r="D22" s="339">
        <v>46343300</v>
      </c>
    </row>
    <row r="23" spans="3:4">
      <c r="C23" s="10" t="s">
        <v>414</v>
      </c>
      <c r="D23" s="339">
        <v>57641891</v>
      </c>
    </row>
    <row r="24" spans="3:4">
      <c r="C24" s="10" t="s">
        <v>415</v>
      </c>
      <c r="D24" s="339">
        <v>129628</v>
      </c>
    </row>
    <row r="25" spans="3:4">
      <c r="C25" t="s">
        <v>416</v>
      </c>
      <c r="D25" s="339">
        <v>44205</v>
      </c>
    </row>
    <row r="26" spans="3:4">
      <c r="C26" s="10" t="s">
        <v>417</v>
      </c>
      <c r="D26" s="339">
        <v>13487271000</v>
      </c>
    </row>
    <row r="27" spans="3:4">
      <c r="C27" t="s">
        <v>418</v>
      </c>
      <c r="D27" s="339">
        <v>8902009000</v>
      </c>
    </row>
    <row r="28" spans="3:4">
      <c r="C28" t="s">
        <v>419</v>
      </c>
      <c r="D28" s="339">
        <v>909567000</v>
      </c>
    </row>
    <row r="29" spans="3:4">
      <c r="C29" t="s">
        <v>420</v>
      </c>
      <c r="D29" s="339">
        <v>965539000</v>
      </c>
    </row>
    <row r="30" spans="3:4" ht="16.2">
      <c r="C30" s="10" t="s">
        <v>421</v>
      </c>
      <c r="D30" s="342" t="s">
        <v>252</v>
      </c>
    </row>
    <row r="31" spans="3:4">
      <c r="D31" s="342"/>
    </row>
    <row r="32" spans="3:4">
      <c r="D32" s="342"/>
    </row>
    <row r="33" spans="3:4" ht="20.399999999999999">
      <c r="C33" s="331" t="s">
        <v>422</v>
      </c>
      <c r="D33" s="338" t="s">
        <v>433</v>
      </c>
    </row>
    <row r="34" spans="3:4">
      <c r="C34" s="10" t="s">
        <v>399</v>
      </c>
      <c r="D34" s="340">
        <v>5.1999999999999998E-2</v>
      </c>
    </row>
    <row r="35" spans="3:4">
      <c r="C35" s="10" t="s">
        <v>400</v>
      </c>
      <c r="D35" s="340">
        <v>0.19900000000000001</v>
      </c>
    </row>
    <row r="36" spans="3:4">
      <c r="C36" s="10" t="s">
        <v>401</v>
      </c>
      <c r="D36" s="340">
        <v>2.5000000000000001E-2</v>
      </c>
    </row>
    <row r="37" spans="3:4">
      <c r="C37" s="10" t="s">
        <v>402</v>
      </c>
      <c r="D37" s="343">
        <v>4.3</v>
      </c>
    </row>
    <row r="38" spans="3:4">
      <c r="C38" t="s">
        <v>403</v>
      </c>
      <c r="D38" s="343">
        <v>1.4</v>
      </c>
    </row>
    <row r="39" spans="3:4">
      <c r="C39" t="s">
        <v>404</v>
      </c>
      <c r="D39" s="343">
        <v>5.6</v>
      </c>
    </row>
    <row r="40" spans="3:4">
      <c r="C40" t="s">
        <v>405</v>
      </c>
      <c r="D40" s="343">
        <v>4.5999999999999996</v>
      </c>
    </row>
    <row r="41" spans="3:4">
      <c r="C41" t="s">
        <v>406</v>
      </c>
      <c r="D41" s="343">
        <v>2.4</v>
      </c>
    </row>
    <row r="42" spans="3:4">
      <c r="C42" s="10" t="s">
        <v>407</v>
      </c>
      <c r="D42" s="340">
        <v>0.11899999999999999</v>
      </c>
    </row>
    <row r="43" spans="3:4">
      <c r="C43" t="s">
        <v>408</v>
      </c>
      <c r="D43" s="340">
        <v>0.123</v>
      </c>
    </row>
    <row r="44" spans="3:4">
      <c r="C44" t="s">
        <v>409</v>
      </c>
      <c r="D44" s="340">
        <v>5.2999999999999999E-2</v>
      </c>
    </row>
    <row r="45" spans="3:4">
      <c r="C45" s="10" t="s">
        <v>410</v>
      </c>
      <c r="D45" s="340">
        <v>0.18</v>
      </c>
    </row>
    <row r="46" spans="3:4">
      <c r="C46" t="s">
        <v>411</v>
      </c>
      <c r="D46" s="340">
        <v>0.186</v>
      </c>
    </row>
    <row r="47" spans="3:4">
      <c r="C47" t="s">
        <v>412</v>
      </c>
      <c r="D47" s="340">
        <v>0.09</v>
      </c>
    </row>
    <row r="48" spans="3:4">
      <c r="C48" s="10" t="s">
        <v>413</v>
      </c>
      <c r="D48" s="340">
        <v>6.2E-2</v>
      </c>
    </row>
    <row r="49" spans="3:4">
      <c r="C49" s="10" t="s">
        <v>414</v>
      </c>
      <c r="D49" s="340">
        <v>9.4E-2</v>
      </c>
    </row>
    <row r="50" spans="3:4">
      <c r="C50" s="10" t="s">
        <v>415</v>
      </c>
      <c r="D50" s="340">
        <v>1.2999999999999999E-2</v>
      </c>
    </row>
    <row r="51" spans="3:4">
      <c r="C51" t="s">
        <v>416</v>
      </c>
      <c r="D51" s="340">
        <v>-3.3000000000000002E-2</v>
      </c>
    </row>
    <row r="52" spans="3:4">
      <c r="C52" s="10" t="s">
        <v>417</v>
      </c>
      <c r="D52" s="340">
        <v>5.5E-2</v>
      </c>
    </row>
    <row r="53" spans="3:4">
      <c r="C53" t="s">
        <v>418</v>
      </c>
      <c r="D53" s="340">
        <v>7.3999999999999996E-2</v>
      </c>
    </row>
    <row r="54" spans="3:4">
      <c r="C54" t="s">
        <v>419</v>
      </c>
      <c r="D54" s="340">
        <v>3.3000000000000002E-2</v>
      </c>
    </row>
    <row r="55" spans="3:4">
      <c r="C55" t="s">
        <v>420</v>
      </c>
      <c r="D55" s="340">
        <v>-1E-3</v>
      </c>
    </row>
    <row r="56" spans="3:4" ht="16.2">
      <c r="C56" s="10" t="s">
        <v>421</v>
      </c>
      <c r="D56" s="340" t="s">
        <v>252</v>
      </c>
    </row>
    <row r="58" spans="3:4">
      <c r="C58" s="332" t="s">
        <v>423</v>
      </c>
      <c r="D58" s="344"/>
    </row>
    <row r="59" spans="3:4">
      <c r="C59" s="333" t="s">
        <v>424</v>
      </c>
      <c r="D59" s="344" t="s">
        <v>434</v>
      </c>
    </row>
    <row r="60" spans="3:4">
      <c r="C60" s="334" t="s">
        <v>425</v>
      </c>
    </row>
    <row r="61" spans="3:4">
      <c r="C61" s="334" t="s">
        <v>426</v>
      </c>
    </row>
    <row r="62" spans="3:4">
      <c r="C62" s="334" t="s">
        <v>427</v>
      </c>
    </row>
    <row r="63" spans="3:4" ht="16.2">
      <c r="C63" s="335" t="s">
        <v>428</v>
      </c>
    </row>
    <row r="65" spans="3:3">
      <c r="C65" s="336" t="s">
        <v>429</v>
      </c>
    </row>
    <row r="66" spans="3:3">
      <c r="C66" t="s">
        <v>430</v>
      </c>
    </row>
    <row r="67" spans="3:3">
      <c r="C67" t="s">
        <v>431</v>
      </c>
    </row>
  </sheetData>
  <hyperlinks>
    <hyperlink ref="C65" r:id="rId1" display="For more information, visit http://www.lvcva.com/stats-and-facts/" xr:uid="{F07AB48B-7226-46C0-812D-6D2594998FF3}"/>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75FEF-95DC-4906-AA5D-3055F14DFFD8}">
  <dimension ref="B4:V59"/>
  <sheetViews>
    <sheetView zoomScale="63" workbookViewId="0">
      <selection activeCell="S59" sqref="S59"/>
    </sheetView>
  </sheetViews>
  <sheetFormatPr defaultRowHeight="14.4"/>
  <sheetData>
    <row r="4" spans="2:6">
      <c r="B4">
        <v>2023</v>
      </c>
      <c r="C4" t="s">
        <v>148</v>
      </c>
      <c r="D4" t="s">
        <v>436</v>
      </c>
      <c r="E4" t="s">
        <v>437</v>
      </c>
      <c r="F4" t="s">
        <v>438</v>
      </c>
    </row>
    <row r="5" spans="2:6">
      <c r="B5" s="313">
        <v>0.5</v>
      </c>
      <c r="C5" s="313">
        <v>0.55000000000000004</v>
      </c>
      <c r="D5" s="313">
        <v>0.82</v>
      </c>
      <c r="E5" s="313">
        <v>0.85</v>
      </c>
      <c r="F5" s="313">
        <v>0.96</v>
      </c>
    </row>
    <row r="39" spans="19:22">
      <c r="S39">
        <v>32.9</v>
      </c>
      <c r="U39" t="s">
        <v>439</v>
      </c>
      <c r="V39" t="s">
        <v>445</v>
      </c>
    </row>
    <row r="40" spans="19:22">
      <c r="S40">
        <v>53.4</v>
      </c>
      <c r="U40" t="s">
        <v>440</v>
      </c>
      <c r="V40" s="346">
        <f>S39-2</f>
        <v>30.9</v>
      </c>
    </row>
    <row r="41" spans="19:22">
      <c r="S41">
        <v>49.4</v>
      </c>
      <c r="U41" t="s">
        <v>361</v>
      </c>
      <c r="V41" s="346">
        <f t="shared" ref="V41:V48" si="0">S40-2</f>
        <v>51.4</v>
      </c>
    </row>
    <row r="42" spans="19:22">
      <c r="S42">
        <v>47.4</v>
      </c>
      <c r="U42" t="s">
        <v>368</v>
      </c>
      <c r="V42" s="346">
        <f t="shared" si="0"/>
        <v>47.4</v>
      </c>
    </row>
    <row r="43" spans="19:22">
      <c r="S43">
        <v>31.6</v>
      </c>
      <c r="U43" t="s">
        <v>441</v>
      </c>
      <c r="V43" s="346">
        <f t="shared" si="0"/>
        <v>45.4</v>
      </c>
    </row>
    <row r="44" spans="19:22">
      <c r="S44">
        <v>32.4</v>
      </c>
      <c r="U44" t="s">
        <v>370</v>
      </c>
      <c r="V44" s="346">
        <f t="shared" si="0"/>
        <v>29.6</v>
      </c>
    </row>
    <row r="45" spans="19:22">
      <c r="S45">
        <v>35</v>
      </c>
      <c r="U45" t="s">
        <v>442</v>
      </c>
      <c r="V45" s="346">
        <f t="shared" si="0"/>
        <v>30.4</v>
      </c>
    </row>
    <row r="46" spans="19:22">
      <c r="S46">
        <v>55</v>
      </c>
      <c r="U46" t="s">
        <v>443</v>
      </c>
      <c r="V46" s="346">
        <f t="shared" si="0"/>
        <v>33</v>
      </c>
    </row>
    <row r="47" spans="19:22">
      <c r="S47">
        <v>33.9</v>
      </c>
      <c r="U47" t="s">
        <v>374</v>
      </c>
      <c r="V47" s="346">
        <f t="shared" si="0"/>
        <v>53</v>
      </c>
    </row>
    <row r="48" spans="19:22">
      <c r="U48" t="s">
        <v>444</v>
      </c>
      <c r="V48" s="346">
        <f t="shared" si="0"/>
        <v>31.9</v>
      </c>
    </row>
    <row r="49" spans="19:22">
      <c r="S49" s="346">
        <f>S39-2</f>
        <v>30.9</v>
      </c>
      <c r="U49" t="s">
        <v>389</v>
      </c>
      <c r="V49" s="346">
        <f>AVERAGE(V40:V48)</f>
        <v>39.222222222222221</v>
      </c>
    </row>
    <row r="50" spans="19:22">
      <c r="S50" s="346">
        <f t="shared" ref="S50:S57" si="1">S40-2</f>
        <v>51.4</v>
      </c>
    </row>
    <row r="51" spans="19:22">
      <c r="S51" s="346">
        <f t="shared" si="1"/>
        <v>47.4</v>
      </c>
    </row>
    <row r="52" spans="19:22">
      <c r="S52" s="346">
        <f t="shared" si="1"/>
        <v>45.4</v>
      </c>
    </row>
    <row r="53" spans="19:22">
      <c r="S53" s="346">
        <f t="shared" si="1"/>
        <v>29.6</v>
      </c>
    </row>
    <row r="54" spans="19:22">
      <c r="S54" s="346">
        <f t="shared" si="1"/>
        <v>30.4</v>
      </c>
    </row>
    <row r="55" spans="19:22">
      <c r="S55" s="346">
        <f t="shared" si="1"/>
        <v>33</v>
      </c>
    </row>
    <row r="56" spans="19:22">
      <c r="S56" s="346">
        <f t="shared" si="1"/>
        <v>53</v>
      </c>
    </row>
    <row r="57" spans="19:22">
      <c r="S57" s="346">
        <f t="shared" si="1"/>
        <v>31.9</v>
      </c>
    </row>
    <row r="58" spans="19:22">
      <c r="S58" s="346">
        <v>25</v>
      </c>
    </row>
    <row r="59" spans="19:22">
      <c r="S59" s="346">
        <f>AVERAGE(S49:S58)</f>
        <v>37.799999999999997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0954-526C-401F-BC7B-3AAAE6C6BC0E}">
  <dimension ref="C31:E37"/>
  <sheetViews>
    <sheetView showGridLines="0" zoomScale="62" workbookViewId="0">
      <selection activeCell="G35" sqref="G35"/>
    </sheetView>
  </sheetViews>
  <sheetFormatPr defaultRowHeight="14.4"/>
  <cols>
    <col min="5" max="5" width="14.88671875" customWidth="1"/>
    <col min="6" max="6" width="12.109375" bestFit="1" customWidth="1"/>
  </cols>
  <sheetData>
    <row r="31" spans="3:5" ht="15" thickBot="1"/>
    <row r="32" spans="3:5">
      <c r="C32" s="434" t="s">
        <v>492</v>
      </c>
      <c r="D32" s="435"/>
      <c r="E32" s="440" t="s">
        <v>493</v>
      </c>
    </row>
    <row r="33" spans="3:5">
      <c r="C33" s="426" t="s">
        <v>488</v>
      </c>
      <c r="D33" s="436"/>
      <c r="E33" s="427">
        <v>36</v>
      </c>
    </row>
    <row r="34" spans="3:5">
      <c r="C34" s="428" t="s">
        <v>489</v>
      </c>
      <c r="D34" s="437"/>
      <c r="E34" s="429">
        <v>40</v>
      </c>
    </row>
    <row r="35" spans="3:5">
      <c r="C35" s="426" t="s">
        <v>490</v>
      </c>
      <c r="D35" s="436"/>
      <c r="E35" s="427">
        <v>43</v>
      </c>
    </row>
    <row r="36" spans="3:5">
      <c r="C36" s="432" t="s">
        <v>491</v>
      </c>
      <c r="D36" s="438"/>
      <c r="E36" s="433">
        <v>37</v>
      </c>
    </row>
    <row r="37" spans="3:5" ht="15" thickBot="1">
      <c r="C37" s="430" t="s">
        <v>320</v>
      </c>
      <c r="D37" s="439"/>
      <c r="E37" s="431">
        <v>36.17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3BBD-3E7B-4096-98C5-1164F25D746D}">
  <dimension ref="C4:W486"/>
  <sheetViews>
    <sheetView topLeftCell="K46" zoomScale="77" workbookViewId="0">
      <selection activeCell="AC76" sqref="AC76"/>
    </sheetView>
  </sheetViews>
  <sheetFormatPr defaultRowHeight="14.4"/>
  <sheetData>
    <row r="4" spans="3:3">
      <c r="C4" t="s">
        <v>496</v>
      </c>
    </row>
    <row r="5" spans="3:3">
      <c r="C5" s="453">
        <v>37956</v>
      </c>
    </row>
    <row r="6" spans="3:3">
      <c r="C6" t="s">
        <v>497</v>
      </c>
    </row>
    <row r="7" spans="3:3">
      <c r="C7" s="453">
        <v>37987</v>
      </c>
    </row>
    <row r="8" spans="3:3">
      <c r="C8" t="s">
        <v>498</v>
      </c>
    </row>
    <row r="9" spans="3:3">
      <c r="C9" s="453">
        <v>38018</v>
      </c>
    </row>
    <row r="10" spans="3:3">
      <c r="C10" t="s">
        <v>499</v>
      </c>
    </row>
    <row r="11" spans="3:3">
      <c r="C11" s="453">
        <v>38047</v>
      </c>
    </row>
    <row r="12" spans="3:3">
      <c r="C12" t="s">
        <v>500</v>
      </c>
    </row>
    <row r="13" spans="3:3">
      <c r="C13" s="453">
        <v>38078</v>
      </c>
    </row>
    <row r="14" spans="3:3">
      <c r="C14" t="s">
        <v>501</v>
      </c>
    </row>
    <row r="15" spans="3:3">
      <c r="C15" s="453">
        <v>38108</v>
      </c>
    </row>
    <row r="16" spans="3:3">
      <c r="C16" t="s">
        <v>502</v>
      </c>
    </row>
    <row r="17" spans="3:15">
      <c r="C17" s="453">
        <v>38139</v>
      </c>
    </row>
    <row r="18" spans="3:15">
      <c r="C18" t="s">
        <v>503</v>
      </c>
      <c r="O18" s="456"/>
    </row>
    <row r="19" spans="3:15">
      <c r="C19" s="453">
        <v>38169</v>
      </c>
    </row>
    <row r="20" spans="3:15">
      <c r="C20" t="s">
        <v>504</v>
      </c>
    </row>
    <row r="21" spans="3:15">
      <c r="C21" s="453">
        <v>38200</v>
      </c>
    </row>
    <row r="22" spans="3:15">
      <c r="C22" t="s">
        <v>505</v>
      </c>
    </row>
    <row r="23" spans="3:15">
      <c r="C23" s="453">
        <v>38231</v>
      </c>
    </row>
    <row r="24" spans="3:15">
      <c r="C24" t="s">
        <v>506</v>
      </c>
    </row>
    <row r="25" spans="3:15">
      <c r="C25" s="453">
        <v>38261</v>
      </c>
    </row>
    <row r="26" spans="3:15">
      <c r="C26" t="s">
        <v>507</v>
      </c>
    </row>
    <row r="27" spans="3:15">
      <c r="C27" s="453">
        <v>38292</v>
      </c>
    </row>
    <row r="28" spans="3:15">
      <c r="C28" t="s">
        <v>508</v>
      </c>
    </row>
    <row r="29" spans="3:15">
      <c r="C29" s="453">
        <v>38322</v>
      </c>
    </row>
    <row r="30" spans="3:15">
      <c r="C30" t="s">
        <v>509</v>
      </c>
    </row>
    <row r="31" spans="3:15">
      <c r="C31" s="453">
        <v>38353</v>
      </c>
    </row>
    <row r="32" spans="3:15">
      <c r="C32" t="s">
        <v>510</v>
      </c>
    </row>
    <row r="33" spans="3:18">
      <c r="C33" s="453">
        <v>38384</v>
      </c>
    </row>
    <row r="34" spans="3:18">
      <c r="C34" t="s">
        <v>511</v>
      </c>
    </row>
    <row r="35" spans="3:18">
      <c r="C35" s="453">
        <v>38412</v>
      </c>
    </row>
    <row r="36" spans="3:18">
      <c r="C36" t="s">
        <v>512</v>
      </c>
    </row>
    <row r="37" spans="3:18">
      <c r="C37" s="453">
        <v>38443</v>
      </c>
    </row>
    <row r="38" spans="3:18">
      <c r="C38" t="s">
        <v>513</v>
      </c>
    </row>
    <row r="39" spans="3:18">
      <c r="C39" s="453">
        <v>38473</v>
      </c>
    </row>
    <row r="40" spans="3:18">
      <c r="C40" t="s">
        <v>514</v>
      </c>
    </row>
    <row r="41" spans="3:18">
      <c r="C41" s="453">
        <v>38504</v>
      </c>
    </row>
    <row r="42" spans="3:18">
      <c r="C42" t="s">
        <v>515</v>
      </c>
    </row>
    <row r="43" spans="3:18">
      <c r="C43" s="453">
        <v>38534</v>
      </c>
    </row>
    <row r="44" spans="3:18">
      <c r="C44" t="s">
        <v>516</v>
      </c>
      <c r="Q44" t="s">
        <v>744</v>
      </c>
      <c r="R44" t="s">
        <v>745</v>
      </c>
    </row>
    <row r="45" spans="3:18">
      <c r="C45" s="453">
        <v>38565</v>
      </c>
      <c r="P45" t="s">
        <v>739</v>
      </c>
      <c r="Q45">
        <v>-0.63</v>
      </c>
      <c r="R45">
        <v>-0.56000000000000005</v>
      </c>
    </row>
    <row r="46" spans="3:18">
      <c r="C46" t="s">
        <v>517</v>
      </c>
      <c r="P46" t="s">
        <v>740</v>
      </c>
      <c r="Q46">
        <v>-0.51</v>
      </c>
      <c r="R46">
        <v>-0.44</v>
      </c>
    </row>
    <row r="47" spans="3:18">
      <c r="C47" s="453">
        <v>38596</v>
      </c>
      <c r="P47" t="s">
        <v>741</v>
      </c>
      <c r="Q47">
        <v>0.19</v>
      </c>
      <c r="R47">
        <v>0.34</v>
      </c>
    </row>
    <row r="48" spans="3:18">
      <c r="C48" t="s">
        <v>518</v>
      </c>
      <c r="P48" t="s">
        <v>742</v>
      </c>
      <c r="Q48">
        <v>0.11</v>
      </c>
      <c r="R48">
        <v>0.31</v>
      </c>
    </row>
    <row r="49" spans="3:23">
      <c r="C49" s="453">
        <v>38626</v>
      </c>
      <c r="P49" t="s">
        <v>743</v>
      </c>
      <c r="Q49">
        <v>0.42</v>
      </c>
      <c r="R49">
        <v>0.74</v>
      </c>
    </row>
    <row r="50" spans="3:23">
      <c r="C50" t="s">
        <v>519</v>
      </c>
    </row>
    <row r="51" spans="3:23">
      <c r="C51" s="453">
        <v>38657</v>
      </c>
    </row>
    <row r="52" spans="3:23">
      <c r="C52" t="s">
        <v>520</v>
      </c>
    </row>
    <row r="53" spans="3:23">
      <c r="C53" s="453">
        <v>38687</v>
      </c>
    </row>
    <row r="54" spans="3:23">
      <c r="C54" t="s">
        <v>521</v>
      </c>
    </row>
    <row r="55" spans="3:23">
      <c r="C55" s="453">
        <v>38718</v>
      </c>
    </row>
    <row r="56" spans="3:23">
      <c r="C56" t="s">
        <v>522</v>
      </c>
    </row>
    <row r="57" spans="3:23">
      <c r="C57" s="453">
        <v>38749</v>
      </c>
    </row>
    <row r="58" spans="3:23">
      <c r="C58" t="s">
        <v>523</v>
      </c>
      <c r="W58" s="202">
        <f>7.09/30</f>
        <v>0.23633333333333334</v>
      </c>
    </row>
    <row r="59" spans="3:23">
      <c r="C59" s="453">
        <v>38777</v>
      </c>
    </row>
    <row r="60" spans="3:23">
      <c r="C60" t="s">
        <v>524</v>
      </c>
    </row>
    <row r="61" spans="3:23">
      <c r="C61" s="453">
        <v>38808</v>
      </c>
    </row>
    <row r="62" spans="3:23">
      <c r="C62" t="s">
        <v>525</v>
      </c>
    </row>
    <row r="63" spans="3:23">
      <c r="C63" s="453">
        <v>38838</v>
      </c>
    </row>
    <row r="64" spans="3:23">
      <c r="C64" t="s">
        <v>526</v>
      </c>
    </row>
    <row r="65" spans="3:17">
      <c r="C65" s="453">
        <v>38869</v>
      </c>
    </row>
    <row r="66" spans="3:17">
      <c r="C66" t="s">
        <v>527</v>
      </c>
    </row>
    <row r="67" spans="3:17">
      <c r="C67" s="453">
        <v>38899</v>
      </c>
    </row>
    <row r="68" spans="3:17">
      <c r="C68" t="s">
        <v>528</v>
      </c>
    </row>
    <row r="69" spans="3:17">
      <c r="C69" s="453">
        <v>38930</v>
      </c>
    </row>
    <row r="70" spans="3:17">
      <c r="C70" t="s">
        <v>529</v>
      </c>
    </row>
    <row r="71" spans="3:17">
      <c r="C71" s="453">
        <v>38961</v>
      </c>
    </row>
    <row r="72" spans="3:17">
      <c r="C72" t="s">
        <v>530</v>
      </c>
    </row>
    <row r="73" spans="3:17">
      <c r="C73" s="453">
        <v>38991</v>
      </c>
      <c r="P73" t="s">
        <v>750</v>
      </c>
      <c r="Q73" t="s">
        <v>751</v>
      </c>
    </row>
    <row r="74" spans="3:17">
      <c r="C74" t="s">
        <v>531</v>
      </c>
      <c r="P74" t="s">
        <v>323</v>
      </c>
      <c r="Q74" s="496">
        <v>5.57</v>
      </c>
    </row>
    <row r="75" spans="3:17">
      <c r="C75" s="453">
        <v>39022</v>
      </c>
      <c r="P75" t="s">
        <v>324</v>
      </c>
      <c r="Q75" s="496">
        <v>4.88</v>
      </c>
    </row>
    <row r="76" spans="3:17">
      <c r="C76" t="s">
        <v>532</v>
      </c>
      <c r="P76" t="s">
        <v>746</v>
      </c>
      <c r="Q76" s="496">
        <v>5.81</v>
      </c>
    </row>
    <row r="77" spans="3:17">
      <c r="C77" s="453">
        <v>39052</v>
      </c>
      <c r="P77" t="s">
        <v>747</v>
      </c>
      <c r="Q77" s="496">
        <v>6.02</v>
      </c>
    </row>
    <row r="78" spans="3:17">
      <c r="C78" t="s">
        <v>533</v>
      </c>
      <c r="P78" t="s">
        <v>748</v>
      </c>
      <c r="Q78" s="496">
        <v>4.8</v>
      </c>
    </row>
    <row r="79" spans="3:17">
      <c r="C79" s="453">
        <v>39083</v>
      </c>
      <c r="P79" t="s">
        <v>749</v>
      </c>
      <c r="Q79" s="496">
        <v>6.68</v>
      </c>
    </row>
    <row r="80" spans="3:17">
      <c r="C80" t="s">
        <v>534</v>
      </c>
    </row>
    <row r="81" spans="3:3">
      <c r="C81" s="453">
        <v>39114</v>
      </c>
    </row>
    <row r="82" spans="3:3">
      <c r="C82" t="s">
        <v>535</v>
      </c>
    </row>
    <row r="83" spans="3:3">
      <c r="C83" s="453">
        <v>39142</v>
      </c>
    </row>
    <row r="84" spans="3:3">
      <c r="C84" t="s">
        <v>536</v>
      </c>
    </row>
    <row r="85" spans="3:3">
      <c r="C85" s="453">
        <v>39173</v>
      </c>
    </row>
    <row r="86" spans="3:3">
      <c r="C86" t="s">
        <v>537</v>
      </c>
    </row>
    <row r="87" spans="3:3">
      <c r="C87" s="453">
        <v>39203</v>
      </c>
    </row>
    <row r="88" spans="3:3">
      <c r="C88" t="s">
        <v>538</v>
      </c>
    </row>
    <row r="89" spans="3:3">
      <c r="C89" s="453">
        <v>39234</v>
      </c>
    </row>
    <row r="90" spans="3:3">
      <c r="C90" t="s">
        <v>539</v>
      </c>
    </row>
    <row r="91" spans="3:3">
      <c r="C91" s="453">
        <v>39264</v>
      </c>
    </row>
    <row r="92" spans="3:3">
      <c r="C92" t="s">
        <v>540</v>
      </c>
    </row>
    <row r="93" spans="3:3">
      <c r="C93" s="453">
        <v>39295</v>
      </c>
    </row>
    <row r="94" spans="3:3">
      <c r="C94" t="s">
        <v>541</v>
      </c>
    </row>
    <row r="95" spans="3:3">
      <c r="C95" s="453">
        <v>39326</v>
      </c>
    </row>
    <row r="96" spans="3:3">
      <c r="C96" t="s">
        <v>542</v>
      </c>
    </row>
    <row r="97" spans="3:3">
      <c r="C97" s="453">
        <v>39356</v>
      </c>
    </row>
    <row r="98" spans="3:3">
      <c r="C98" t="s">
        <v>543</v>
      </c>
    </row>
    <row r="99" spans="3:3">
      <c r="C99" s="453">
        <v>39387</v>
      </c>
    </row>
    <row r="100" spans="3:3">
      <c r="C100" t="s">
        <v>544</v>
      </c>
    </row>
    <row r="101" spans="3:3">
      <c r="C101" s="453">
        <v>39417</v>
      </c>
    </row>
    <row r="102" spans="3:3">
      <c r="C102" t="s">
        <v>545</v>
      </c>
    </row>
    <row r="103" spans="3:3">
      <c r="C103" s="453">
        <v>39448</v>
      </c>
    </row>
    <row r="104" spans="3:3">
      <c r="C104" t="s">
        <v>546</v>
      </c>
    </row>
    <row r="105" spans="3:3">
      <c r="C105" s="453">
        <v>39479</v>
      </c>
    </row>
    <row r="106" spans="3:3">
      <c r="C106" t="s">
        <v>547</v>
      </c>
    </row>
    <row r="107" spans="3:3">
      <c r="C107" s="453">
        <v>39508</v>
      </c>
    </row>
    <row r="108" spans="3:3">
      <c r="C108" t="s">
        <v>548</v>
      </c>
    </row>
    <row r="109" spans="3:3">
      <c r="C109" s="453">
        <v>39539</v>
      </c>
    </row>
    <row r="110" spans="3:3">
      <c r="C110" t="s">
        <v>549</v>
      </c>
    </row>
    <row r="111" spans="3:3">
      <c r="C111" s="453">
        <v>39569</v>
      </c>
    </row>
    <row r="112" spans="3:3">
      <c r="C112" t="s">
        <v>550</v>
      </c>
    </row>
    <row r="113" spans="3:3">
      <c r="C113" s="453">
        <v>39600</v>
      </c>
    </row>
    <row r="114" spans="3:3">
      <c r="C114" t="s">
        <v>551</v>
      </c>
    </row>
    <row r="115" spans="3:3">
      <c r="C115" s="453">
        <v>39630</v>
      </c>
    </row>
    <row r="116" spans="3:3">
      <c r="C116" t="s">
        <v>552</v>
      </c>
    </row>
    <row r="117" spans="3:3">
      <c r="C117" s="453">
        <v>39661</v>
      </c>
    </row>
    <row r="118" spans="3:3">
      <c r="C118" t="s">
        <v>553</v>
      </c>
    </row>
    <row r="119" spans="3:3">
      <c r="C119" s="453">
        <v>39692</v>
      </c>
    </row>
    <row r="120" spans="3:3">
      <c r="C120" t="s">
        <v>554</v>
      </c>
    </row>
    <row r="121" spans="3:3">
      <c r="C121" s="453">
        <v>39722</v>
      </c>
    </row>
    <row r="122" spans="3:3">
      <c r="C122" t="s">
        <v>555</v>
      </c>
    </row>
    <row r="123" spans="3:3">
      <c r="C123" s="453">
        <v>39753</v>
      </c>
    </row>
    <row r="124" spans="3:3">
      <c r="C124" t="s">
        <v>556</v>
      </c>
    </row>
    <row r="125" spans="3:3">
      <c r="C125" s="453">
        <v>39783</v>
      </c>
    </row>
    <row r="126" spans="3:3">
      <c r="C126" t="s">
        <v>557</v>
      </c>
    </row>
    <row r="127" spans="3:3">
      <c r="C127" s="453">
        <v>39814</v>
      </c>
    </row>
    <row r="128" spans="3:3">
      <c r="C128" t="s">
        <v>558</v>
      </c>
    </row>
    <row r="129" spans="3:3">
      <c r="C129" s="453">
        <v>39845</v>
      </c>
    </row>
    <row r="130" spans="3:3">
      <c r="C130" t="s">
        <v>559</v>
      </c>
    </row>
    <row r="131" spans="3:3">
      <c r="C131" s="453">
        <v>39873</v>
      </c>
    </row>
    <row r="132" spans="3:3">
      <c r="C132" t="s">
        <v>560</v>
      </c>
    </row>
    <row r="133" spans="3:3">
      <c r="C133" s="453">
        <v>39904</v>
      </c>
    </row>
    <row r="134" spans="3:3">
      <c r="C134" t="s">
        <v>561</v>
      </c>
    </row>
    <row r="135" spans="3:3">
      <c r="C135" s="453">
        <v>39934</v>
      </c>
    </row>
    <row r="136" spans="3:3">
      <c r="C136" t="s">
        <v>562</v>
      </c>
    </row>
    <row r="137" spans="3:3">
      <c r="C137" s="453">
        <v>39965</v>
      </c>
    </row>
    <row r="138" spans="3:3">
      <c r="C138" t="s">
        <v>563</v>
      </c>
    </row>
    <row r="139" spans="3:3">
      <c r="C139" s="453">
        <v>39995</v>
      </c>
    </row>
    <row r="140" spans="3:3">
      <c r="C140" t="s">
        <v>564</v>
      </c>
    </row>
    <row r="141" spans="3:3">
      <c r="C141" s="453">
        <v>40026</v>
      </c>
    </row>
    <row r="142" spans="3:3">
      <c r="C142" t="s">
        <v>565</v>
      </c>
    </row>
    <row r="143" spans="3:3">
      <c r="C143" s="453">
        <v>40057</v>
      </c>
    </row>
    <row r="144" spans="3:3">
      <c r="C144" t="s">
        <v>566</v>
      </c>
    </row>
    <row r="145" spans="3:3">
      <c r="C145" s="453">
        <v>40087</v>
      </c>
    </row>
    <row r="146" spans="3:3">
      <c r="C146" t="s">
        <v>567</v>
      </c>
    </row>
    <row r="147" spans="3:3">
      <c r="C147" s="453">
        <v>40118</v>
      </c>
    </row>
    <row r="148" spans="3:3">
      <c r="C148" t="s">
        <v>568</v>
      </c>
    </row>
    <row r="149" spans="3:3">
      <c r="C149" s="453">
        <v>40148</v>
      </c>
    </row>
    <row r="150" spans="3:3">
      <c r="C150" t="s">
        <v>569</v>
      </c>
    </row>
    <row r="151" spans="3:3">
      <c r="C151" s="453">
        <v>40179</v>
      </c>
    </row>
    <row r="152" spans="3:3">
      <c r="C152" t="s">
        <v>570</v>
      </c>
    </row>
    <row r="153" spans="3:3">
      <c r="C153" s="453">
        <v>40210</v>
      </c>
    </row>
    <row r="154" spans="3:3">
      <c r="C154" t="s">
        <v>571</v>
      </c>
    </row>
    <row r="155" spans="3:3">
      <c r="C155" s="453">
        <v>40238</v>
      </c>
    </row>
    <row r="156" spans="3:3">
      <c r="C156" t="s">
        <v>572</v>
      </c>
    </row>
    <row r="157" spans="3:3">
      <c r="C157" s="453">
        <v>40269</v>
      </c>
    </row>
    <row r="158" spans="3:3">
      <c r="C158" t="s">
        <v>573</v>
      </c>
    </row>
    <row r="159" spans="3:3">
      <c r="C159" s="453">
        <v>40299</v>
      </c>
    </row>
    <row r="160" spans="3:3">
      <c r="C160" t="s">
        <v>574</v>
      </c>
    </row>
    <row r="161" spans="3:3">
      <c r="C161" s="453">
        <v>40330</v>
      </c>
    </row>
    <row r="162" spans="3:3">
      <c r="C162" t="s">
        <v>575</v>
      </c>
    </row>
    <row r="163" spans="3:3">
      <c r="C163" s="453">
        <v>40360</v>
      </c>
    </row>
    <row r="164" spans="3:3">
      <c r="C164" t="s">
        <v>576</v>
      </c>
    </row>
    <row r="165" spans="3:3">
      <c r="C165" s="453">
        <v>40391</v>
      </c>
    </row>
    <row r="166" spans="3:3">
      <c r="C166" t="s">
        <v>577</v>
      </c>
    </row>
    <row r="167" spans="3:3">
      <c r="C167" s="453">
        <v>40422</v>
      </c>
    </row>
    <row r="168" spans="3:3">
      <c r="C168" t="s">
        <v>578</v>
      </c>
    </row>
    <row r="169" spans="3:3">
      <c r="C169" s="453">
        <v>40452</v>
      </c>
    </row>
    <row r="170" spans="3:3">
      <c r="C170" t="s">
        <v>579</v>
      </c>
    </row>
    <row r="171" spans="3:3">
      <c r="C171" s="453">
        <v>40483</v>
      </c>
    </row>
    <row r="172" spans="3:3">
      <c r="C172" t="s">
        <v>580</v>
      </c>
    </row>
    <row r="173" spans="3:3">
      <c r="C173" s="453">
        <v>40513</v>
      </c>
    </row>
    <row r="174" spans="3:3">
      <c r="C174" t="s">
        <v>581</v>
      </c>
    </row>
    <row r="175" spans="3:3">
      <c r="C175" s="453">
        <v>40544</v>
      </c>
    </row>
    <row r="176" spans="3:3">
      <c r="C176" t="s">
        <v>582</v>
      </c>
    </row>
    <row r="177" spans="3:3">
      <c r="C177" s="453">
        <v>40575</v>
      </c>
    </row>
    <row r="178" spans="3:3">
      <c r="C178" t="s">
        <v>583</v>
      </c>
    </row>
    <row r="179" spans="3:3">
      <c r="C179" s="453">
        <v>40603</v>
      </c>
    </row>
    <row r="180" spans="3:3">
      <c r="C180" t="s">
        <v>584</v>
      </c>
    </row>
    <row r="181" spans="3:3">
      <c r="C181" s="453">
        <v>40634</v>
      </c>
    </row>
    <row r="182" spans="3:3">
      <c r="C182" t="s">
        <v>585</v>
      </c>
    </row>
    <row r="183" spans="3:3">
      <c r="C183" s="453">
        <v>40664</v>
      </c>
    </row>
    <row r="184" spans="3:3">
      <c r="C184" t="s">
        <v>586</v>
      </c>
    </row>
    <row r="185" spans="3:3">
      <c r="C185" s="453">
        <v>40695</v>
      </c>
    </row>
    <row r="186" spans="3:3">
      <c r="C186" t="s">
        <v>587</v>
      </c>
    </row>
    <row r="187" spans="3:3">
      <c r="C187" s="453">
        <v>40725</v>
      </c>
    </row>
    <row r="188" spans="3:3">
      <c r="C188" t="s">
        <v>588</v>
      </c>
    </row>
    <row r="189" spans="3:3">
      <c r="C189" s="453">
        <v>40756</v>
      </c>
    </row>
    <row r="190" spans="3:3">
      <c r="C190" t="s">
        <v>589</v>
      </c>
    </row>
    <row r="191" spans="3:3">
      <c r="C191" s="453">
        <v>40787</v>
      </c>
    </row>
    <row r="192" spans="3:3">
      <c r="C192" t="s">
        <v>590</v>
      </c>
    </row>
    <row r="193" spans="3:3">
      <c r="C193" s="453">
        <v>40817</v>
      </c>
    </row>
    <row r="194" spans="3:3">
      <c r="C194" t="s">
        <v>591</v>
      </c>
    </row>
    <row r="195" spans="3:3">
      <c r="C195" s="453">
        <v>40848</v>
      </c>
    </row>
    <row r="196" spans="3:3">
      <c r="C196" t="s">
        <v>592</v>
      </c>
    </row>
    <row r="197" spans="3:3">
      <c r="C197" s="453">
        <v>40878</v>
      </c>
    </row>
    <row r="198" spans="3:3">
      <c r="C198" t="s">
        <v>593</v>
      </c>
    </row>
    <row r="199" spans="3:3">
      <c r="C199" s="453">
        <v>40909</v>
      </c>
    </row>
    <row r="200" spans="3:3">
      <c r="C200" t="s">
        <v>594</v>
      </c>
    </row>
    <row r="201" spans="3:3">
      <c r="C201" s="453">
        <v>40940</v>
      </c>
    </row>
    <row r="202" spans="3:3">
      <c r="C202" t="s">
        <v>595</v>
      </c>
    </row>
    <row r="203" spans="3:3">
      <c r="C203" s="453">
        <v>40969</v>
      </c>
    </row>
    <row r="204" spans="3:3">
      <c r="C204" t="s">
        <v>596</v>
      </c>
    </row>
    <row r="205" spans="3:3">
      <c r="C205" s="453">
        <v>41000</v>
      </c>
    </row>
    <row r="206" spans="3:3">
      <c r="C206" t="s">
        <v>597</v>
      </c>
    </row>
    <row r="207" spans="3:3">
      <c r="C207" s="453">
        <v>41030</v>
      </c>
    </row>
    <row r="208" spans="3:3">
      <c r="C208" t="s">
        <v>598</v>
      </c>
    </row>
    <row r="209" spans="3:3">
      <c r="C209" s="453">
        <v>41061</v>
      </c>
    </row>
    <row r="210" spans="3:3">
      <c r="C210" t="s">
        <v>599</v>
      </c>
    </row>
    <row r="211" spans="3:3">
      <c r="C211" s="453">
        <v>41091</v>
      </c>
    </row>
    <row r="212" spans="3:3">
      <c r="C212" t="s">
        <v>600</v>
      </c>
    </row>
    <row r="213" spans="3:3">
      <c r="C213" s="453">
        <v>41122</v>
      </c>
    </row>
    <row r="214" spans="3:3">
      <c r="C214" t="s">
        <v>601</v>
      </c>
    </row>
    <row r="215" spans="3:3">
      <c r="C215" s="453">
        <v>41153</v>
      </c>
    </row>
    <row r="216" spans="3:3">
      <c r="C216" t="s">
        <v>602</v>
      </c>
    </row>
    <row r="217" spans="3:3">
      <c r="C217" s="453">
        <v>41183</v>
      </c>
    </row>
    <row r="218" spans="3:3">
      <c r="C218" t="s">
        <v>603</v>
      </c>
    </row>
    <row r="219" spans="3:3">
      <c r="C219" s="453">
        <v>41214</v>
      </c>
    </row>
    <row r="220" spans="3:3">
      <c r="C220" t="s">
        <v>604</v>
      </c>
    </row>
    <row r="221" spans="3:3">
      <c r="C221" s="453">
        <v>41244</v>
      </c>
    </row>
    <row r="222" spans="3:3">
      <c r="C222" t="s">
        <v>605</v>
      </c>
    </row>
    <row r="223" spans="3:3">
      <c r="C223" s="453">
        <v>41275</v>
      </c>
    </row>
    <row r="224" spans="3:3">
      <c r="C224" t="s">
        <v>606</v>
      </c>
    </row>
    <row r="225" spans="3:3">
      <c r="C225" s="453">
        <v>41306</v>
      </c>
    </row>
    <row r="226" spans="3:3">
      <c r="C226" t="s">
        <v>607</v>
      </c>
    </row>
    <row r="227" spans="3:3">
      <c r="C227" s="453">
        <v>41334</v>
      </c>
    </row>
    <row r="228" spans="3:3">
      <c r="C228" t="s">
        <v>608</v>
      </c>
    </row>
    <row r="229" spans="3:3">
      <c r="C229" s="453">
        <v>41365</v>
      </c>
    </row>
    <row r="230" spans="3:3">
      <c r="C230" t="s">
        <v>609</v>
      </c>
    </row>
    <row r="231" spans="3:3">
      <c r="C231" s="453">
        <v>41395</v>
      </c>
    </row>
    <row r="232" spans="3:3">
      <c r="C232" t="s">
        <v>610</v>
      </c>
    </row>
    <row r="233" spans="3:3">
      <c r="C233" s="453">
        <v>41426</v>
      </c>
    </row>
    <row r="234" spans="3:3">
      <c r="C234" t="s">
        <v>611</v>
      </c>
    </row>
    <row r="235" spans="3:3">
      <c r="C235" s="453">
        <v>41456</v>
      </c>
    </row>
    <row r="236" spans="3:3">
      <c r="C236" t="s">
        <v>612</v>
      </c>
    </row>
    <row r="237" spans="3:3">
      <c r="C237" s="453">
        <v>41487</v>
      </c>
    </row>
    <row r="238" spans="3:3">
      <c r="C238" t="s">
        <v>613</v>
      </c>
    </row>
    <row r="239" spans="3:3">
      <c r="C239" s="453">
        <v>41518</v>
      </c>
    </row>
    <row r="240" spans="3:3">
      <c r="C240" t="s">
        <v>614</v>
      </c>
    </row>
    <row r="241" spans="3:3">
      <c r="C241" s="453">
        <v>41548</v>
      </c>
    </row>
    <row r="242" spans="3:3">
      <c r="C242" t="s">
        <v>615</v>
      </c>
    </row>
    <row r="243" spans="3:3">
      <c r="C243" s="453">
        <v>41579</v>
      </c>
    </row>
    <row r="244" spans="3:3">
      <c r="C244" t="s">
        <v>616</v>
      </c>
    </row>
    <row r="245" spans="3:3">
      <c r="C245" s="453">
        <v>41609</v>
      </c>
    </row>
    <row r="246" spans="3:3">
      <c r="C246" t="s">
        <v>617</v>
      </c>
    </row>
    <row r="247" spans="3:3">
      <c r="C247" s="453">
        <v>41640</v>
      </c>
    </row>
    <row r="248" spans="3:3">
      <c r="C248" t="s">
        <v>618</v>
      </c>
    </row>
    <row r="249" spans="3:3">
      <c r="C249" s="453">
        <v>41671</v>
      </c>
    </row>
    <row r="250" spans="3:3">
      <c r="C250" t="s">
        <v>619</v>
      </c>
    </row>
    <row r="251" spans="3:3">
      <c r="C251" s="453">
        <v>41699</v>
      </c>
    </row>
    <row r="252" spans="3:3">
      <c r="C252" t="s">
        <v>620</v>
      </c>
    </row>
    <row r="253" spans="3:3">
      <c r="C253" s="453">
        <v>41730</v>
      </c>
    </row>
    <row r="254" spans="3:3">
      <c r="C254" t="s">
        <v>621</v>
      </c>
    </row>
    <row r="255" spans="3:3">
      <c r="C255" s="453">
        <v>41760</v>
      </c>
    </row>
    <row r="256" spans="3:3">
      <c r="C256" t="s">
        <v>622</v>
      </c>
    </row>
    <row r="257" spans="3:3">
      <c r="C257" s="453">
        <v>41791</v>
      </c>
    </row>
    <row r="258" spans="3:3">
      <c r="C258" t="s">
        <v>623</v>
      </c>
    </row>
    <row r="259" spans="3:3">
      <c r="C259" s="453">
        <v>41821</v>
      </c>
    </row>
    <row r="260" spans="3:3">
      <c r="C260" t="s">
        <v>624</v>
      </c>
    </row>
    <row r="261" spans="3:3">
      <c r="C261" s="453">
        <v>41852</v>
      </c>
    </row>
    <row r="262" spans="3:3">
      <c r="C262" t="s">
        <v>625</v>
      </c>
    </row>
    <row r="263" spans="3:3">
      <c r="C263" s="453">
        <v>41883</v>
      </c>
    </row>
    <row r="264" spans="3:3">
      <c r="C264" t="s">
        <v>626</v>
      </c>
    </row>
    <row r="265" spans="3:3">
      <c r="C265" s="453">
        <v>41913</v>
      </c>
    </row>
    <row r="266" spans="3:3">
      <c r="C266" t="s">
        <v>627</v>
      </c>
    </row>
    <row r="267" spans="3:3">
      <c r="C267" s="453">
        <v>41944</v>
      </c>
    </row>
    <row r="268" spans="3:3">
      <c r="C268" t="s">
        <v>628</v>
      </c>
    </row>
    <row r="269" spans="3:3">
      <c r="C269" s="453">
        <v>41974</v>
      </c>
    </row>
    <row r="270" spans="3:3">
      <c r="C270" t="s">
        <v>629</v>
      </c>
    </row>
    <row r="271" spans="3:3">
      <c r="C271" s="453">
        <v>42005</v>
      </c>
    </row>
    <row r="272" spans="3:3">
      <c r="C272" t="s">
        <v>630</v>
      </c>
    </row>
    <row r="273" spans="3:3">
      <c r="C273" s="453">
        <v>42036</v>
      </c>
    </row>
    <row r="274" spans="3:3">
      <c r="C274" t="s">
        <v>631</v>
      </c>
    </row>
    <row r="275" spans="3:3">
      <c r="C275" s="453">
        <v>42064</v>
      </c>
    </row>
    <row r="276" spans="3:3">
      <c r="C276" t="s">
        <v>632</v>
      </c>
    </row>
    <row r="277" spans="3:3">
      <c r="C277" s="453">
        <v>42095</v>
      </c>
    </row>
    <row r="278" spans="3:3">
      <c r="C278" t="s">
        <v>633</v>
      </c>
    </row>
    <row r="279" spans="3:3">
      <c r="C279" s="453">
        <v>42125</v>
      </c>
    </row>
    <row r="280" spans="3:3">
      <c r="C280" t="s">
        <v>634</v>
      </c>
    </row>
    <row r="281" spans="3:3">
      <c r="C281" s="453">
        <v>42156</v>
      </c>
    </row>
    <row r="282" spans="3:3">
      <c r="C282" t="s">
        <v>635</v>
      </c>
    </row>
    <row r="283" spans="3:3">
      <c r="C283" s="453">
        <v>42186</v>
      </c>
    </row>
    <row r="284" spans="3:3">
      <c r="C284" t="s">
        <v>636</v>
      </c>
    </row>
    <row r="285" spans="3:3">
      <c r="C285" s="453">
        <v>42217</v>
      </c>
    </row>
    <row r="286" spans="3:3">
      <c r="C286" t="s">
        <v>637</v>
      </c>
    </row>
    <row r="287" spans="3:3">
      <c r="C287" s="453">
        <v>42248</v>
      </c>
    </row>
    <row r="288" spans="3:3">
      <c r="C288" t="s">
        <v>638</v>
      </c>
    </row>
    <row r="289" spans="3:3">
      <c r="C289" s="453">
        <v>42278</v>
      </c>
    </row>
    <row r="290" spans="3:3">
      <c r="C290" t="s">
        <v>639</v>
      </c>
    </row>
    <row r="291" spans="3:3">
      <c r="C291" s="453">
        <v>42309</v>
      </c>
    </row>
    <row r="292" spans="3:3">
      <c r="C292" t="s">
        <v>640</v>
      </c>
    </row>
    <row r="293" spans="3:3">
      <c r="C293" s="453">
        <v>42339</v>
      </c>
    </row>
    <row r="294" spans="3:3">
      <c r="C294" t="s">
        <v>641</v>
      </c>
    </row>
    <row r="295" spans="3:3">
      <c r="C295" s="453">
        <v>42370</v>
      </c>
    </row>
    <row r="296" spans="3:3">
      <c r="C296" t="s">
        <v>642</v>
      </c>
    </row>
    <row r="297" spans="3:3">
      <c r="C297" s="453">
        <v>42401</v>
      </c>
    </row>
    <row r="298" spans="3:3">
      <c r="C298" t="s">
        <v>643</v>
      </c>
    </row>
    <row r="299" spans="3:3">
      <c r="C299" s="453">
        <v>42430</v>
      </c>
    </row>
    <row r="300" spans="3:3">
      <c r="C300" t="s">
        <v>644</v>
      </c>
    </row>
    <row r="301" spans="3:3">
      <c r="C301" s="453">
        <v>42461</v>
      </c>
    </row>
    <row r="302" spans="3:3">
      <c r="C302" t="s">
        <v>645</v>
      </c>
    </row>
    <row r="303" spans="3:3">
      <c r="C303" s="453">
        <v>42491</v>
      </c>
    </row>
    <row r="304" spans="3:3">
      <c r="C304" t="s">
        <v>646</v>
      </c>
    </row>
    <row r="305" spans="3:3">
      <c r="C305" s="453">
        <v>42522</v>
      </c>
    </row>
    <row r="306" spans="3:3">
      <c r="C306" t="s">
        <v>647</v>
      </c>
    </row>
    <row r="307" spans="3:3">
      <c r="C307" s="453">
        <v>42552</v>
      </c>
    </row>
    <row r="308" spans="3:3">
      <c r="C308" t="s">
        <v>648</v>
      </c>
    </row>
    <row r="309" spans="3:3">
      <c r="C309" s="453">
        <v>42583</v>
      </c>
    </row>
    <row r="310" spans="3:3">
      <c r="C310" t="s">
        <v>649</v>
      </c>
    </row>
    <row r="311" spans="3:3">
      <c r="C311" s="453">
        <v>42614</v>
      </c>
    </row>
    <row r="312" spans="3:3">
      <c r="C312" t="s">
        <v>650</v>
      </c>
    </row>
    <row r="313" spans="3:3">
      <c r="C313" s="453">
        <v>42644</v>
      </c>
    </row>
    <row r="314" spans="3:3">
      <c r="C314" t="s">
        <v>651</v>
      </c>
    </row>
    <row r="315" spans="3:3">
      <c r="C315" s="453">
        <v>42675</v>
      </c>
    </row>
    <row r="316" spans="3:3">
      <c r="C316" t="s">
        <v>652</v>
      </c>
    </row>
    <row r="317" spans="3:3">
      <c r="C317" s="453">
        <v>42705</v>
      </c>
    </row>
    <row r="318" spans="3:3">
      <c r="C318" t="s">
        <v>653</v>
      </c>
    </row>
    <row r="319" spans="3:3">
      <c r="C319" s="453">
        <v>42736</v>
      </c>
    </row>
    <row r="320" spans="3:3">
      <c r="C320" t="s">
        <v>654</v>
      </c>
    </row>
    <row r="321" spans="3:3">
      <c r="C321" s="453">
        <v>42767</v>
      </c>
    </row>
    <row r="322" spans="3:3">
      <c r="C322" t="s">
        <v>655</v>
      </c>
    </row>
    <row r="323" spans="3:3">
      <c r="C323" s="453">
        <v>42795</v>
      </c>
    </row>
    <row r="324" spans="3:3">
      <c r="C324" t="s">
        <v>656</v>
      </c>
    </row>
    <row r="325" spans="3:3">
      <c r="C325" s="453">
        <v>42826</v>
      </c>
    </row>
    <row r="326" spans="3:3">
      <c r="C326" t="s">
        <v>657</v>
      </c>
    </row>
    <row r="327" spans="3:3">
      <c r="C327" s="453">
        <v>42856</v>
      </c>
    </row>
    <row r="328" spans="3:3">
      <c r="C328" t="s">
        <v>658</v>
      </c>
    </row>
    <row r="329" spans="3:3">
      <c r="C329" s="453">
        <v>42887</v>
      </c>
    </row>
    <row r="330" spans="3:3">
      <c r="C330" t="s">
        <v>659</v>
      </c>
    </row>
    <row r="331" spans="3:3">
      <c r="C331" s="453">
        <v>42917</v>
      </c>
    </row>
    <row r="332" spans="3:3">
      <c r="C332" t="s">
        <v>660</v>
      </c>
    </row>
    <row r="333" spans="3:3">
      <c r="C333" s="453">
        <v>42948</v>
      </c>
    </row>
    <row r="334" spans="3:3">
      <c r="C334" t="s">
        <v>661</v>
      </c>
    </row>
    <row r="335" spans="3:3">
      <c r="C335" s="453">
        <v>42979</v>
      </c>
    </row>
    <row r="336" spans="3:3">
      <c r="C336" t="s">
        <v>662</v>
      </c>
    </row>
    <row r="337" spans="3:3">
      <c r="C337" s="453">
        <v>43009</v>
      </c>
    </row>
    <row r="338" spans="3:3">
      <c r="C338" t="s">
        <v>663</v>
      </c>
    </row>
    <row r="339" spans="3:3">
      <c r="C339" s="453">
        <v>43040</v>
      </c>
    </row>
    <row r="340" spans="3:3">
      <c r="C340" t="s">
        <v>664</v>
      </c>
    </row>
    <row r="341" spans="3:3">
      <c r="C341" s="453">
        <v>43070</v>
      </c>
    </row>
    <row r="342" spans="3:3">
      <c r="C342" t="s">
        <v>665</v>
      </c>
    </row>
    <row r="343" spans="3:3">
      <c r="C343" s="453">
        <v>43101</v>
      </c>
    </row>
    <row r="344" spans="3:3">
      <c r="C344" t="s">
        <v>666</v>
      </c>
    </row>
    <row r="345" spans="3:3">
      <c r="C345" s="453">
        <v>43132</v>
      </c>
    </row>
    <row r="346" spans="3:3">
      <c r="C346" t="s">
        <v>667</v>
      </c>
    </row>
    <row r="347" spans="3:3">
      <c r="C347" s="453">
        <v>43160</v>
      </c>
    </row>
    <row r="348" spans="3:3">
      <c r="C348" t="s">
        <v>668</v>
      </c>
    </row>
    <row r="349" spans="3:3">
      <c r="C349" s="453">
        <v>43191</v>
      </c>
    </row>
    <row r="350" spans="3:3">
      <c r="C350" t="s">
        <v>669</v>
      </c>
    </row>
    <row r="351" spans="3:3">
      <c r="C351" s="453">
        <v>43221</v>
      </c>
    </row>
    <row r="352" spans="3:3">
      <c r="C352" t="s">
        <v>670</v>
      </c>
    </row>
    <row r="353" spans="3:3">
      <c r="C353" s="453">
        <v>43252</v>
      </c>
    </row>
    <row r="354" spans="3:3">
      <c r="C354" t="s">
        <v>671</v>
      </c>
    </row>
    <row r="355" spans="3:3">
      <c r="C355" s="453">
        <v>43282</v>
      </c>
    </row>
    <row r="356" spans="3:3">
      <c r="C356" t="s">
        <v>672</v>
      </c>
    </row>
    <row r="357" spans="3:3">
      <c r="C357" s="453">
        <v>43313</v>
      </c>
    </row>
    <row r="358" spans="3:3">
      <c r="C358" t="s">
        <v>673</v>
      </c>
    </row>
    <row r="359" spans="3:3">
      <c r="C359" s="453">
        <v>43344</v>
      </c>
    </row>
    <row r="360" spans="3:3">
      <c r="C360" t="s">
        <v>674</v>
      </c>
    </row>
    <row r="361" spans="3:3">
      <c r="C361" s="453">
        <v>43374</v>
      </c>
    </row>
    <row r="362" spans="3:3">
      <c r="C362" t="s">
        <v>675</v>
      </c>
    </row>
    <row r="363" spans="3:3">
      <c r="C363" s="453">
        <v>43405</v>
      </c>
    </row>
    <row r="364" spans="3:3">
      <c r="C364" t="s">
        <v>676</v>
      </c>
    </row>
    <row r="365" spans="3:3">
      <c r="C365" s="453">
        <v>43435</v>
      </c>
    </row>
    <row r="366" spans="3:3">
      <c r="C366" t="s">
        <v>677</v>
      </c>
    </row>
    <row r="367" spans="3:3">
      <c r="C367" s="453">
        <v>43466</v>
      </c>
    </row>
    <row r="368" spans="3:3">
      <c r="C368" t="s">
        <v>678</v>
      </c>
    </row>
    <row r="369" spans="3:3">
      <c r="C369" s="453">
        <v>43497</v>
      </c>
    </row>
    <row r="370" spans="3:3">
      <c r="C370" t="s">
        <v>679</v>
      </c>
    </row>
    <row r="371" spans="3:3">
      <c r="C371" s="453">
        <v>43525</v>
      </c>
    </row>
    <row r="372" spans="3:3">
      <c r="C372" t="s">
        <v>680</v>
      </c>
    </row>
    <row r="373" spans="3:3">
      <c r="C373" s="453">
        <v>43556</v>
      </c>
    </row>
    <row r="374" spans="3:3">
      <c r="C374" t="s">
        <v>681</v>
      </c>
    </row>
    <row r="375" spans="3:3">
      <c r="C375" s="453">
        <v>43586</v>
      </c>
    </row>
    <row r="376" spans="3:3">
      <c r="C376" t="s">
        <v>682</v>
      </c>
    </row>
    <row r="377" spans="3:3">
      <c r="C377" s="453">
        <v>43617</v>
      </c>
    </row>
    <row r="378" spans="3:3">
      <c r="C378" t="s">
        <v>683</v>
      </c>
    </row>
    <row r="379" spans="3:3">
      <c r="C379" s="453">
        <v>43647</v>
      </c>
    </row>
    <row r="380" spans="3:3">
      <c r="C380" t="s">
        <v>684</v>
      </c>
    </row>
    <row r="381" spans="3:3">
      <c r="C381" s="453">
        <v>43678</v>
      </c>
    </row>
    <row r="382" spans="3:3">
      <c r="C382" t="s">
        <v>685</v>
      </c>
    </row>
    <row r="383" spans="3:3">
      <c r="C383" s="453">
        <v>43709</v>
      </c>
    </row>
    <row r="384" spans="3:3">
      <c r="C384" t="s">
        <v>686</v>
      </c>
    </row>
    <row r="385" spans="3:3">
      <c r="C385" s="453">
        <v>43739</v>
      </c>
    </row>
    <row r="386" spans="3:3">
      <c r="C386" t="s">
        <v>687</v>
      </c>
    </row>
    <row r="387" spans="3:3">
      <c r="C387" s="453">
        <v>43770</v>
      </c>
    </row>
    <row r="388" spans="3:3">
      <c r="C388" t="s">
        <v>688</v>
      </c>
    </row>
    <row r="389" spans="3:3">
      <c r="C389" s="453">
        <v>43800</v>
      </c>
    </row>
    <row r="390" spans="3:3">
      <c r="C390" t="s">
        <v>689</v>
      </c>
    </row>
    <row r="391" spans="3:3">
      <c r="C391" s="453">
        <v>43831</v>
      </c>
    </row>
    <row r="392" spans="3:3">
      <c r="C392" t="s">
        <v>690</v>
      </c>
    </row>
    <row r="393" spans="3:3">
      <c r="C393" s="453">
        <v>43862</v>
      </c>
    </row>
    <row r="394" spans="3:3">
      <c r="C394" t="s">
        <v>691</v>
      </c>
    </row>
    <row r="395" spans="3:3">
      <c r="C395" s="453">
        <v>43891</v>
      </c>
    </row>
    <row r="396" spans="3:3">
      <c r="C396" t="s">
        <v>692</v>
      </c>
    </row>
    <row r="397" spans="3:3">
      <c r="C397" s="453">
        <v>43922</v>
      </c>
    </row>
    <row r="398" spans="3:3">
      <c r="C398" t="s">
        <v>693</v>
      </c>
    </row>
    <row r="399" spans="3:3">
      <c r="C399" s="453">
        <v>43952</v>
      </c>
    </row>
    <row r="400" spans="3:3">
      <c r="C400" t="s">
        <v>694</v>
      </c>
    </row>
    <row r="401" spans="3:3">
      <c r="C401" s="453">
        <v>43983</v>
      </c>
    </row>
    <row r="402" spans="3:3">
      <c r="C402" t="s">
        <v>695</v>
      </c>
    </row>
    <row r="403" spans="3:3">
      <c r="C403" s="453">
        <v>44013</v>
      </c>
    </row>
    <row r="404" spans="3:3">
      <c r="C404" t="s">
        <v>696</v>
      </c>
    </row>
    <row r="405" spans="3:3">
      <c r="C405" s="453">
        <v>44044</v>
      </c>
    </row>
    <row r="406" spans="3:3">
      <c r="C406" t="s">
        <v>697</v>
      </c>
    </row>
    <row r="407" spans="3:3">
      <c r="C407" s="453">
        <v>44075</v>
      </c>
    </row>
    <row r="408" spans="3:3">
      <c r="C408" t="s">
        <v>698</v>
      </c>
    </row>
    <row r="409" spans="3:3">
      <c r="C409" s="453">
        <v>44105</v>
      </c>
    </row>
    <row r="410" spans="3:3">
      <c r="C410" t="s">
        <v>699</v>
      </c>
    </row>
    <row r="411" spans="3:3">
      <c r="C411" s="453">
        <v>44136</v>
      </c>
    </row>
    <row r="412" spans="3:3">
      <c r="C412" t="s">
        <v>700</v>
      </c>
    </row>
    <row r="413" spans="3:3">
      <c r="C413" s="453">
        <v>44166</v>
      </c>
    </row>
    <row r="414" spans="3:3">
      <c r="C414" t="s">
        <v>701</v>
      </c>
    </row>
    <row r="415" spans="3:3">
      <c r="C415" s="453">
        <v>44197</v>
      </c>
    </row>
    <row r="416" spans="3:3">
      <c r="C416" t="s">
        <v>702</v>
      </c>
    </row>
    <row r="417" spans="3:3">
      <c r="C417" s="453">
        <v>44228</v>
      </c>
    </row>
    <row r="418" spans="3:3">
      <c r="C418" t="s">
        <v>703</v>
      </c>
    </row>
    <row r="419" spans="3:3">
      <c r="C419" s="453">
        <v>44256</v>
      </c>
    </row>
    <row r="420" spans="3:3">
      <c r="C420" t="s">
        <v>704</v>
      </c>
    </row>
    <row r="421" spans="3:3">
      <c r="C421" s="453">
        <v>44287</v>
      </c>
    </row>
    <row r="422" spans="3:3">
      <c r="C422" t="s">
        <v>705</v>
      </c>
    </row>
    <row r="423" spans="3:3">
      <c r="C423" s="453">
        <v>44317</v>
      </c>
    </row>
    <row r="424" spans="3:3">
      <c r="C424" t="s">
        <v>706</v>
      </c>
    </row>
    <row r="425" spans="3:3">
      <c r="C425" s="453">
        <v>44348</v>
      </c>
    </row>
    <row r="426" spans="3:3">
      <c r="C426" t="s">
        <v>707</v>
      </c>
    </row>
    <row r="427" spans="3:3">
      <c r="C427" s="453">
        <v>44378</v>
      </c>
    </row>
    <row r="428" spans="3:3">
      <c r="C428" t="s">
        <v>708</v>
      </c>
    </row>
    <row r="429" spans="3:3">
      <c r="C429" s="453">
        <v>44409</v>
      </c>
    </row>
    <row r="430" spans="3:3">
      <c r="C430" t="s">
        <v>709</v>
      </c>
    </row>
    <row r="431" spans="3:3">
      <c r="C431" s="453">
        <v>44440</v>
      </c>
    </row>
    <row r="432" spans="3:3">
      <c r="C432" t="s">
        <v>710</v>
      </c>
    </row>
    <row r="433" spans="3:3">
      <c r="C433" s="453">
        <v>44470</v>
      </c>
    </row>
    <row r="434" spans="3:3">
      <c r="C434" t="s">
        <v>711</v>
      </c>
    </row>
    <row r="435" spans="3:3">
      <c r="C435" s="453">
        <v>44501</v>
      </c>
    </row>
    <row r="436" spans="3:3">
      <c r="C436" t="s">
        <v>712</v>
      </c>
    </row>
    <row r="437" spans="3:3">
      <c r="C437" s="453">
        <v>44531</v>
      </c>
    </row>
    <row r="438" spans="3:3">
      <c r="C438" t="s">
        <v>713</v>
      </c>
    </row>
    <row r="439" spans="3:3">
      <c r="C439" s="453">
        <v>44562</v>
      </c>
    </row>
    <row r="440" spans="3:3">
      <c r="C440" t="s">
        <v>714</v>
      </c>
    </row>
    <row r="441" spans="3:3">
      <c r="C441" s="453">
        <v>44593</v>
      </c>
    </row>
    <row r="442" spans="3:3">
      <c r="C442" t="s">
        <v>715</v>
      </c>
    </row>
    <row r="443" spans="3:3">
      <c r="C443" s="453">
        <v>44621</v>
      </c>
    </row>
    <row r="444" spans="3:3">
      <c r="C444" t="s">
        <v>716</v>
      </c>
    </row>
    <row r="445" spans="3:3">
      <c r="C445" s="453">
        <v>44652</v>
      </c>
    </row>
    <row r="446" spans="3:3">
      <c r="C446" t="s">
        <v>717</v>
      </c>
    </row>
    <row r="447" spans="3:3">
      <c r="C447" s="453">
        <v>44682</v>
      </c>
    </row>
    <row r="448" spans="3:3">
      <c r="C448" t="s">
        <v>718</v>
      </c>
    </row>
    <row r="449" spans="3:3">
      <c r="C449" s="453">
        <v>44713</v>
      </c>
    </row>
    <row r="450" spans="3:3">
      <c r="C450" t="s">
        <v>719</v>
      </c>
    </row>
    <row r="451" spans="3:3">
      <c r="C451" s="453">
        <v>44743</v>
      </c>
    </row>
    <row r="452" spans="3:3">
      <c r="C452" t="s">
        <v>720</v>
      </c>
    </row>
    <row r="453" spans="3:3">
      <c r="C453" s="453">
        <v>44774</v>
      </c>
    </row>
    <row r="454" spans="3:3">
      <c r="C454" t="s">
        <v>721</v>
      </c>
    </row>
    <row r="455" spans="3:3">
      <c r="C455" s="453">
        <v>44805</v>
      </c>
    </row>
    <row r="456" spans="3:3">
      <c r="C456" t="s">
        <v>722</v>
      </c>
    </row>
    <row r="457" spans="3:3">
      <c r="C457" s="453">
        <v>44835</v>
      </c>
    </row>
    <row r="458" spans="3:3">
      <c r="C458" t="s">
        <v>723</v>
      </c>
    </row>
    <row r="459" spans="3:3">
      <c r="C459" s="453">
        <v>44866</v>
      </c>
    </row>
    <row r="460" spans="3:3">
      <c r="C460" t="s">
        <v>724</v>
      </c>
    </row>
    <row r="461" spans="3:3">
      <c r="C461" s="453">
        <v>44896</v>
      </c>
    </row>
    <row r="462" spans="3:3">
      <c r="C462" t="s">
        <v>725</v>
      </c>
    </row>
    <row r="463" spans="3:3">
      <c r="C463" s="453">
        <v>44927</v>
      </c>
    </row>
    <row r="464" spans="3:3">
      <c r="C464" t="s">
        <v>726</v>
      </c>
    </row>
    <row r="465" spans="3:3">
      <c r="C465" s="453">
        <v>44958</v>
      </c>
    </row>
    <row r="466" spans="3:3">
      <c r="C466" t="s">
        <v>727</v>
      </c>
    </row>
    <row r="467" spans="3:3">
      <c r="C467" s="453">
        <v>44986</v>
      </c>
    </row>
    <row r="468" spans="3:3">
      <c r="C468" t="s">
        <v>728</v>
      </c>
    </row>
    <row r="469" spans="3:3">
      <c r="C469" s="453">
        <v>45017</v>
      </c>
    </row>
    <row r="470" spans="3:3">
      <c r="C470" t="s">
        <v>729</v>
      </c>
    </row>
    <row r="471" spans="3:3">
      <c r="C471" s="453">
        <v>45047</v>
      </c>
    </row>
    <row r="472" spans="3:3">
      <c r="C472" t="s">
        <v>730</v>
      </c>
    </row>
    <row r="473" spans="3:3">
      <c r="C473" s="453">
        <v>45078</v>
      </c>
    </row>
    <row r="474" spans="3:3">
      <c r="C474" t="s">
        <v>731</v>
      </c>
    </row>
    <row r="475" spans="3:3">
      <c r="C475" s="453">
        <v>45108</v>
      </c>
    </row>
    <row r="476" spans="3:3">
      <c r="C476" t="s">
        <v>732</v>
      </c>
    </row>
    <row r="477" spans="3:3">
      <c r="C477" s="453">
        <v>45139</v>
      </c>
    </row>
    <row r="478" spans="3:3">
      <c r="C478" t="s">
        <v>733</v>
      </c>
    </row>
    <row r="479" spans="3:3">
      <c r="C479" s="453">
        <v>45170</v>
      </c>
    </row>
    <row r="480" spans="3:3">
      <c r="C480" t="s">
        <v>734</v>
      </c>
    </row>
    <row r="481" spans="3:3">
      <c r="C481" s="453">
        <v>45200</v>
      </c>
    </row>
    <row r="482" spans="3:3">
      <c r="C482" t="s">
        <v>735</v>
      </c>
    </row>
    <row r="483" spans="3:3">
      <c r="C483" s="453">
        <v>45231</v>
      </c>
    </row>
    <row r="484" spans="3:3">
      <c r="C484" t="s">
        <v>736</v>
      </c>
    </row>
    <row r="485" spans="3:3">
      <c r="C485" s="453">
        <v>45261</v>
      </c>
    </row>
    <row r="486" spans="3:3">
      <c r="C486" t="s">
        <v>737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2065F-09B6-4C13-BF62-E89C9ED56EC0}">
  <dimension ref="B1:V38"/>
  <sheetViews>
    <sheetView showGridLines="0" topLeftCell="A11" zoomScale="68" workbookViewId="0">
      <selection activeCell="L1" sqref="L1:W1048576"/>
    </sheetView>
  </sheetViews>
  <sheetFormatPr defaultRowHeight="14.4"/>
  <cols>
    <col min="2" max="2" width="35.33203125" bestFit="1" customWidth="1"/>
    <col min="3" max="3" width="10.109375" bestFit="1" customWidth="1"/>
    <col min="4" max="4" width="15.6640625" bestFit="1" customWidth="1"/>
    <col min="5" max="8" width="16" bestFit="1" customWidth="1"/>
    <col min="9" max="9" width="15.6640625" bestFit="1" customWidth="1"/>
    <col min="10" max="10" width="16" bestFit="1" customWidth="1"/>
    <col min="11" max="11" width="15" bestFit="1" customWidth="1"/>
    <col min="12" max="12" width="0" hidden="1" customWidth="1"/>
    <col min="13" max="13" width="11.21875" hidden="1" customWidth="1"/>
    <col min="14" max="17" width="9.77734375" hidden="1" customWidth="1"/>
    <col min="18" max="21" width="9.6640625" hidden="1" customWidth="1"/>
    <col min="22" max="22" width="9.109375" hidden="1" customWidth="1"/>
    <col min="23" max="23" width="0" hidden="1" customWidth="1"/>
  </cols>
  <sheetData>
    <row r="1" spans="2:22" ht="15" thickBot="1"/>
    <row r="2" spans="2:22" ht="15.6" customHeight="1">
      <c r="B2" s="46" t="s">
        <v>169</v>
      </c>
      <c r="C2" s="407" t="s">
        <v>143</v>
      </c>
      <c r="D2" s="407"/>
      <c r="E2" s="407"/>
      <c r="F2" s="407"/>
      <c r="G2" s="405" t="s">
        <v>144</v>
      </c>
      <c r="H2" s="405"/>
      <c r="I2" s="405"/>
      <c r="J2" s="405"/>
      <c r="K2" s="406"/>
    </row>
    <row r="3" spans="2:22" ht="15.6">
      <c r="B3" s="47" t="s">
        <v>145</v>
      </c>
      <c r="C3" s="301">
        <v>2020</v>
      </c>
      <c r="D3" s="301">
        <v>2021</v>
      </c>
      <c r="E3" s="301">
        <v>2022</v>
      </c>
      <c r="F3" s="301">
        <v>2023</v>
      </c>
      <c r="G3" s="301" t="s">
        <v>146</v>
      </c>
      <c r="H3" s="301" t="s">
        <v>147</v>
      </c>
      <c r="I3" s="301" t="s">
        <v>148</v>
      </c>
      <c r="J3" s="301" t="s">
        <v>149</v>
      </c>
      <c r="K3" s="48" t="s">
        <v>218</v>
      </c>
    </row>
    <row r="4" spans="2:22" ht="15.6">
      <c r="B4" s="49" t="s">
        <v>297</v>
      </c>
      <c r="C4" s="301"/>
      <c r="D4" s="301"/>
      <c r="E4" s="301"/>
      <c r="F4" s="302"/>
      <c r="G4" s="302"/>
      <c r="H4" s="302"/>
      <c r="I4" s="302"/>
      <c r="J4" s="302"/>
      <c r="K4" s="50"/>
      <c r="M4" s="16">
        <f>C3</f>
        <v>2020</v>
      </c>
      <c r="N4" s="16">
        <f t="shared" ref="N4:V4" si="0">D3</f>
        <v>2021</v>
      </c>
      <c r="O4" s="16">
        <f t="shared" si="0"/>
        <v>2022</v>
      </c>
      <c r="P4" s="16" t="s">
        <v>197</v>
      </c>
      <c r="Q4" s="16" t="str">
        <f t="shared" si="0"/>
        <v>2024E</v>
      </c>
      <c r="R4" s="16" t="str">
        <f t="shared" si="0"/>
        <v>2025E</v>
      </c>
      <c r="S4" s="16" t="str">
        <f t="shared" si="0"/>
        <v>2026E</v>
      </c>
      <c r="T4" s="16" t="str">
        <f t="shared" si="0"/>
        <v>2027E</v>
      </c>
      <c r="U4" s="16" t="str">
        <f t="shared" si="0"/>
        <v>2028E</v>
      </c>
      <c r="V4" s="16">
        <f t="shared" si="0"/>
        <v>0</v>
      </c>
    </row>
    <row r="5" spans="2:22">
      <c r="B5" s="27" t="s">
        <v>31</v>
      </c>
      <c r="C5" s="28" t="s">
        <v>4</v>
      </c>
      <c r="D5" s="28" t="s">
        <v>4</v>
      </c>
      <c r="E5" s="28" t="s">
        <v>4</v>
      </c>
      <c r="F5" s="28" t="s">
        <v>4</v>
      </c>
      <c r="G5" s="29"/>
      <c r="H5" s="29"/>
      <c r="I5" s="30"/>
      <c r="J5" s="29"/>
      <c r="K5" s="51"/>
      <c r="L5" s="10" t="s">
        <v>323</v>
      </c>
      <c r="M5" s="300">
        <f>C11/1000000</f>
        <v>1.2255739999999999</v>
      </c>
      <c r="N5" s="300">
        <f t="shared" ref="N5:U5" si="1">D11/1000000</f>
        <v>1.509568</v>
      </c>
      <c r="O5" s="300">
        <f t="shared" si="1"/>
        <v>2.6006969999999998</v>
      </c>
      <c r="P5" s="300">
        <f t="shared" si="1"/>
        <v>3.5937085797814063</v>
      </c>
      <c r="Q5" s="300">
        <f t="shared" si="1"/>
        <v>3.6924599829719313</v>
      </c>
      <c r="R5" s="300">
        <f t="shared" si="1"/>
        <v>3.7935570668677077</v>
      </c>
      <c r="S5" s="300">
        <f t="shared" si="1"/>
        <v>3.898611866095858</v>
      </c>
      <c r="T5" s="300">
        <f t="shared" si="1"/>
        <v>4.0070029849120194</v>
      </c>
      <c r="U5" s="300">
        <f t="shared" si="1"/>
        <v>4.1193570526242436</v>
      </c>
      <c r="V5" s="16"/>
    </row>
    <row r="6" spans="2:22">
      <c r="B6" s="31" t="s">
        <v>30</v>
      </c>
      <c r="C6" s="72">
        <v>1007508</v>
      </c>
      <c r="D6" s="72">
        <v>1167972</v>
      </c>
      <c r="E6" s="72">
        <v>1464245</v>
      </c>
      <c r="F6" s="44">
        <v>1985492.5797814068</v>
      </c>
      <c r="G6" s="32">
        <f>(1+G14)*F6</f>
        <v>2035129.8942759419</v>
      </c>
      <c r="H6" s="32">
        <f t="shared" ref="H6:K6" si="2">(1+H14)*G6</f>
        <v>2086008.1416328403</v>
      </c>
      <c r="I6" s="32">
        <f t="shared" si="2"/>
        <v>2138158.3451736611</v>
      </c>
      <c r="J6" s="32">
        <f t="shared" si="2"/>
        <v>2191612.3038030025</v>
      </c>
      <c r="K6" s="69">
        <f t="shared" si="2"/>
        <v>2246402.6113980771</v>
      </c>
      <c r="L6" s="10" t="s">
        <v>324</v>
      </c>
      <c r="M6" s="300">
        <v>1.0310360000000001</v>
      </c>
      <c r="N6" s="300">
        <v>1.1066579999999999</v>
      </c>
      <c r="O6" s="300">
        <v>1.173376</v>
      </c>
      <c r="P6" s="300">
        <v>1.2778799999999999</v>
      </c>
    </row>
    <row r="7" spans="2:22" hidden="1">
      <c r="B7" s="31" t="s">
        <v>29</v>
      </c>
      <c r="C7" s="72">
        <v>25464</v>
      </c>
      <c r="D7" s="72">
        <v>0</v>
      </c>
      <c r="E7" s="72">
        <v>0</v>
      </c>
      <c r="F7" s="44">
        <v>0</v>
      </c>
      <c r="G7" s="44">
        <v>0</v>
      </c>
      <c r="H7" s="44">
        <v>0</v>
      </c>
      <c r="I7" s="44">
        <v>0</v>
      </c>
      <c r="J7" s="44">
        <v>0</v>
      </c>
      <c r="K7" s="33">
        <v>0</v>
      </c>
    </row>
    <row r="8" spans="2:22">
      <c r="B8" s="31" t="s">
        <v>157</v>
      </c>
      <c r="C8" s="72">
        <v>153017</v>
      </c>
      <c r="D8" s="72">
        <v>283242</v>
      </c>
      <c r="E8" s="72">
        <v>1041229</v>
      </c>
      <c r="F8" s="44">
        <v>1496937.3333333333</v>
      </c>
      <c r="G8" s="32">
        <f>(1+G15)*F8</f>
        <v>1534360.7666666664</v>
      </c>
      <c r="H8" s="32">
        <f t="shared" ref="H8:K9" si="3">(1+H15)*G8</f>
        <v>1572719.7858333329</v>
      </c>
      <c r="I8" s="32">
        <f t="shared" si="3"/>
        <v>1612037.7804791662</v>
      </c>
      <c r="J8" s="32">
        <f t="shared" si="3"/>
        <v>1652338.7249911453</v>
      </c>
      <c r="K8" s="69">
        <f t="shared" si="3"/>
        <v>1693647.1931159238</v>
      </c>
    </row>
    <row r="9" spans="2:22">
      <c r="B9" s="31" t="s">
        <v>27</v>
      </c>
      <c r="C9" s="72">
        <v>15793</v>
      </c>
      <c r="D9" s="72">
        <v>27808</v>
      </c>
      <c r="E9" s="72">
        <v>59629</v>
      </c>
      <c r="F9" s="44">
        <v>73390.666666666672</v>
      </c>
      <c r="G9" s="32">
        <f t="shared" ref="G9" si="4">(1+G16)*F9</f>
        <v>80729.733333333352</v>
      </c>
      <c r="H9" s="32">
        <f t="shared" si="3"/>
        <v>88802.706666666694</v>
      </c>
      <c r="I9" s="32">
        <f t="shared" si="3"/>
        <v>97682.977333333372</v>
      </c>
      <c r="J9" s="32">
        <f t="shared" si="3"/>
        <v>107451.27506666671</v>
      </c>
      <c r="K9" s="69">
        <f t="shared" si="3"/>
        <v>118196.4025733334</v>
      </c>
    </row>
    <row r="10" spans="2:22">
      <c r="B10" s="31" t="s">
        <v>104</v>
      </c>
      <c r="C10" s="72">
        <v>23792</v>
      </c>
      <c r="D10" s="72">
        <v>30546</v>
      </c>
      <c r="E10" s="72">
        <v>35594</v>
      </c>
      <c r="F10" s="44">
        <v>37888</v>
      </c>
      <c r="G10" s="32">
        <f>(1+G17)*F10</f>
        <v>42239.588695989398</v>
      </c>
      <c r="H10" s="32">
        <f t="shared" ref="H10:K10" si="5">(1+H17)*G10</f>
        <v>46026.432734867856</v>
      </c>
      <c r="I10" s="32">
        <f t="shared" si="5"/>
        <v>50732.763109697611</v>
      </c>
      <c r="J10" s="32">
        <f t="shared" si="5"/>
        <v>55600.681051204658</v>
      </c>
      <c r="K10" s="69">
        <f t="shared" si="5"/>
        <v>61110.845536908622</v>
      </c>
    </row>
    <row r="11" spans="2:22" ht="15" thickBot="1">
      <c r="B11" s="35" t="s">
        <v>26</v>
      </c>
      <c r="C11" s="153">
        <f>SUM(C6:C10)</f>
        <v>1225574</v>
      </c>
      <c r="D11" s="153">
        <f>SUM(D6:D10)</f>
        <v>1509568</v>
      </c>
      <c r="E11" s="153">
        <f>SUM(E6:E10)</f>
        <v>2600697</v>
      </c>
      <c r="F11" s="21">
        <f>SUM(F6:F10)</f>
        <v>3593708.5797814066</v>
      </c>
      <c r="G11" s="21">
        <f>SUM(G6:G10)</f>
        <v>3692459.9829719313</v>
      </c>
      <c r="H11" s="21">
        <f t="shared" ref="H11:K11" si="6">SUM(H6:H10)</f>
        <v>3793557.0668677078</v>
      </c>
      <c r="I11" s="21">
        <f t="shared" si="6"/>
        <v>3898611.8660958582</v>
      </c>
      <c r="J11" s="21">
        <f t="shared" si="6"/>
        <v>4007002.9849120192</v>
      </c>
      <c r="K11" s="70">
        <f t="shared" si="6"/>
        <v>4119357.0526242433</v>
      </c>
    </row>
    <row r="12" spans="2:22">
      <c r="B12" s="36" t="s">
        <v>131</v>
      </c>
      <c r="C12" s="15"/>
      <c r="D12" s="63">
        <f>(D11-C11)/C11</f>
        <v>0.23172325783673609</v>
      </c>
      <c r="E12" s="63">
        <f>(E11-D11)/D11</f>
        <v>0.72280877708059521</v>
      </c>
      <c r="F12" s="63">
        <f>(F11-E11)/E11</f>
        <v>0.38182517216784828</v>
      </c>
      <c r="G12" s="63">
        <f>(G11-F11)/F11</f>
        <v>2.7478968034890437E-2</v>
      </c>
      <c r="H12" s="63">
        <f t="shared" ref="H12:K12" si="7">(H11-G11)/G11</f>
        <v>2.7379330950638204E-2</v>
      </c>
      <c r="I12" s="63">
        <f t="shared" si="7"/>
        <v>2.7692953440896256E-2</v>
      </c>
      <c r="J12" s="63">
        <f t="shared" si="7"/>
        <v>2.7802490357858048E-2</v>
      </c>
      <c r="K12" s="71">
        <f t="shared" si="7"/>
        <v>2.8039427006988121E-2</v>
      </c>
    </row>
    <row r="13" spans="2:22">
      <c r="B13" s="53" t="s">
        <v>151</v>
      </c>
      <c r="C13" s="303"/>
      <c r="D13" s="303"/>
      <c r="E13" s="303"/>
      <c r="F13" s="303"/>
      <c r="G13" s="303"/>
      <c r="H13" s="303"/>
      <c r="I13" s="303"/>
      <c r="J13" s="303"/>
      <c r="K13" s="51"/>
    </row>
    <row r="14" spans="2:22">
      <c r="B14" s="52" t="s">
        <v>153</v>
      </c>
      <c r="C14" s="54" t="s">
        <v>150</v>
      </c>
      <c r="D14" s="55">
        <f>(D6/C6)-1</f>
        <v>0.15926821424743021</v>
      </c>
      <c r="E14" s="55">
        <f>(E6-D6)/D6</f>
        <v>0.25366447140856119</v>
      </c>
      <c r="F14" s="55">
        <f>(F6-E6)/E6</f>
        <v>0.35598385501156349</v>
      </c>
      <c r="G14" s="67">
        <v>2.5000000000000001E-2</v>
      </c>
      <c r="H14" s="67">
        <v>2.5000000000000001E-2</v>
      </c>
      <c r="I14" s="67">
        <v>2.5000000000000001E-2</v>
      </c>
      <c r="J14" s="67">
        <v>2.5000000000000001E-2</v>
      </c>
      <c r="K14" s="56">
        <v>2.5000000000000001E-2</v>
      </c>
    </row>
    <row r="15" spans="2:22">
      <c r="B15" s="52" t="s">
        <v>158</v>
      </c>
      <c r="C15" s="54" t="s">
        <v>150</v>
      </c>
      <c r="D15" s="55">
        <f t="shared" ref="D15:F17" si="8">(D8-C8)/C8</f>
        <v>0.85104922982413722</v>
      </c>
      <c r="E15" s="55">
        <f t="shared" si="8"/>
        <v>2.6761108875096209</v>
      </c>
      <c r="F15" s="55">
        <f t="shared" si="8"/>
        <v>0.43766388885954316</v>
      </c>
      <c r="G15" s="67">
        <v>2.5000000000000001E-2</v>
      </c>
      <c r="H15" s="67">
        <v>2.5000000000000001E-2</v>
      </c>
      <c r="I15" s="67">
        <v>2.5000000000000001E-2</v>
      </c>
      <c r="J15" s="67">
        <v>2.5000000000000001E-2</v>
      </c>
      <c r="K15" s="56">
        <v>2.5000000000000001E-2</v>
      </c>
    </row>
    <row r="16" spans="2:22">
      <c r="B16" s="52" t="s">
        <v>155</v>
      </c>
      <c r="C16" s="54" t="s">
        <v>150</v>
      </c>
      <c r="D16" s="55">
        <f>(D9-C9)/C9</f>
        <v>0.76078009244602041</v>
      </c>
      <c r="E16" s="55">
        <f t="shared" si="8"/>
        <v>1.1443109896432682</v>
      </c>
      <c r="F16" s="55">
        <f t="shared" si="8"/>
        <v>0.23078815117923612</v>
      </c>
      <c r="G16" s="67">
        <v>0.1</v>
      </c>
      <c r="H16" s="67">
        <v>0.1</v>
      </c>
      <c r="I16" s="67">
        <v>0.1</v>
      </c>
      <c r="J16" s="67">
        <v>0.1</v>
      </c>
      <c r="K16" s="56">
        <v>0.1</v>
      </c>
    </row>
    <row r="17" spans="2:17">
      <c r="B17" s="52" t="s">
        <v>154</v>
      </c>
      <c r="C17" s="54" t="s">
        <v>150</v>
      </c>
      <c r="D17" s="55">
        <f t="shared" si="8"/>
        <v>0.2838769334229993</v>
      </c>
      <c r="E17" s="55">
        <f t="shared" si="8"/>
        <v>0.16525895370915997</v>
      </c>
      <c r="F17" s="55">
        <f t="shared" si="8"/>
        <v>6.4449064449064453E-2</v>
      </c>
      <c r="G17" s="67">
        <f>AVERAGE(E17:F17)</f>
        <v>0.11485400907911221</v>
      </c>
      <c r="H17" s="67">
        <f>AVERAGE(F17:G17)</f>
        <v>8.9651536764088324E-2</v>
      </c>
      <c r="I17" s="67">
        <f t="shared" ref="I17:K17" si="9">AVERAGE(G17:H17)</f>
        <v>0.10225277292160026</v>
      </c>
      <c r="J17" s="67">
        <f t="shared" si="9"/>
        <v>9.5952154842844292E-2</v>
      </c>
      <c r="K17" s="56">
        <f t="shared" si="9"/>
        <v>9.9102463882222269E-2</v>
      </c>
    </row>
    <row r="18" spans="2:17">
      <c r="B18" s="58" t="s">
        <v>156</v>
      </c>
      <c r="C18" s="304"/>
      <c r="D18" s="304"/>
      <c r="E18" s="304"/>
      <c r="F18" s="304"/>
      <c r="G18" s="304"/>
      <c r="H18" s="304"/>
      <c r="I18" s="304"/>
      <c r="J18" s="304"/>
      <c r="K18" s="59"/>
    </row>
    <row r="19" spans="2:17">
      <c r="B19" s="52" t="s">
        <v>153</v>
      </c>
      <c r="C19" s="55">
        <f>C6/$C$11</f>
        <v>0.82207031154381538</v>
      </c>
      <c r="D19" s="55">
        <f>D6/$D$11</f>
        <v>0.77371274430830539</v>
      </c>
      <c r="E19" s="55">
        <f>E6/$E$11</f>
        <v>0.56302022111764649</v>
      </c>
      <c r="F19" s="55">
        <f>F6/$F$11</f>
        <v>0.55249125957291112</v>
      </c>
      <c r="K19" s="60"/>
    </row>
    <row r="20" spans="2:17">
      <c r="B20" s="52"/>
      <c r="C20" s="55">
        <f t="shared" ref="C20:C23" si="10">C7/$C$11</f>
        <v>2.0777203171738305E-2</v>
      </c>
      <c r="D20" s="55">
        <f t="shared" ref="D20:D23" si="11">D7/$D$11</f>
        <v>0</v>
      </c>
      <c r="E20" s="55">
        <f t="shared" ref="E20:E23" si="12">E7/$E$11</f>
        <v>0</v>
      </c>
      <c r="F20" s="55">
        <f t="shared" ref="F20:F23" si="13">F7/$F$11</f>
        <v>0</v>
      </c>
      <c r="K20" s="60"/>
    </row>
    <row r="21" spans="2:17">
      <c r="B21" s="52" t="s">
        <v>158</v>
      </c>
      <c r="C21" s="55">
        <f t="shared" si="10"/>
        <v>0.12485333402960572</v>
      </c>
      <c r="D21" s="55">
        <f t="shared" si="11"/>
        <v>0.18763116335269428</v>
      </c>
      <c r="E21" s="55">
        <f t="shared" si="12"/>
        <v>0.40036536359291375</v>
      </c>
      <c r="F21" s="55">
        <f t="shared" si="13"/>
        <v>0.41654388498702</v>
      </c>
      <c r="K21" s="60"/>
    </row>
    <row r="22" spans="2:17">
      <c r="B22" s="52" t="s">
        <v>155</v>
      </c>
      <c r="C22" s="55">
        <f t="shared" si="10"/>
        <v>1.2886206789634898E-2</v>
      </c>
      <c r="D22" s="55">
        <f t="shared" si="11"/>
        <v>1.8421164200618984E-2</v>
      </c>
      <c r="E22" s="55">
        <f t="shared" si="12"/>
        <v>2.2928084278945222E-2</v>
      </c>
      <c r="F22" s="55">
        <f t="shared" si="13"/>
        <v>2.0421986100812545E-2</v>
      </c>
      <c r="K22" s="60"/>
    </row>
    <row r="23" spans="2:17" ht="15" thickBot="1">
      <c r="B23" s="57" t="s">
        <v>154</v>
      </c>
      <c r="C23" s="68">
        <f t="shared" si="10"/>
        <v>1.9412944465205691E-2</v>
      </c>
      <c r="D23" s="68">
        <f t="shared" si="11"/>
        <v>2.0234928138381313E-2</v>
      </c>
      <c r="E23" s="68">
        <f t="shared" si="12"/>
        <v>1.3686331010494494E-2</v>
      </c>
      <c r="F23" s="68">
        <f t="shared" si="13"/>
        <v>1.0542869339256385E-2</v>
      </c>
      <c r="G23" s="61"/>
      <c r="H23" s="61"/>
      <c r="I23" s="61"/>
      <c r="J23" s="61"/>
      <c r="K23" s="62"/>
    </row>
    <row r="30" spans="2:17">
      <c r="O30" s="197"/>
      <c r="P30" s="197"/>
      <c r="Q30" s="197"/>
    </row>
    <row r="32" spans="2:17">
      <c r="N32" s="16">
        <v>2020</v>
      </c>
      <c r="O32" s="16">
        <v>2021</v>
      </c>
      <c r="P32" s="16">
        <v>2022</v>
      </c>
      <c r="Q32" s="16" t="s">
        <v>197</v>
      </c>
    </row>
    <row r="33" spans="14:17">
      <c r="N33">
        <v>809.274</v>
      </c>
      <c r="O33">
        <v>841.76800000000003</v>
      </c>
      <c r="P33">
        <v>1029.915</v>
      </c>
      <c r="Q33">
        <v>1031.2373333333335</v>
      </c>
    </row>
    <row r="34" spans="14:17">
      <c r="N34">
        <f>'Income Statement'!B33</f>
        <v>897039</v>
      </c>
      <c r="O34">
        <f>'Income Statement'!C33</f>
        <v>1026045</v>
      </c>
      <c r="P34">
        <f>'Income Statement'!D33</f>
        <v>1139143</v>
      </c>
      <c r="Q34">
        <f>'Income Statement'!I33</f>
        <v>2417825.91311474</v>
      </c>
    </row>
    <row r="36" spans="14:17">
      <c r="N36" s="16">
        <v>2020</v>
      </c>
      <c r="O36" s="16">
        <v>2021</v>
      </c>
      <c r="P36" s="16">
        <v>2022</v>
      </c>
      <c r="Q36" s="16" t="s">
        <v>197</v>
      </c>
    </row>
    <row r="37" spans="14:17">
      <c r="N37">
        <f>N33/1000</f>
        <v>0.80927400000000005</v>
      </c>
      <c r="O37">
        <f t="shared" ref="O37:Q37" si="14">O33/1000</f>
        <v>0.84176800000000007</v>
      </c>
      <c r="P37">
        <f t="shared" si="14"/>
        <v>1.0299149999999999</v>
      </c>
      <c r="Q37">
        <f t="shared" si="14"/>
        <v>1.0312373333333336</v>
      </c>
    </row>
    <row r="38" spans="14:17">
      <c r="N38">
        <f>N34/1000000</f>
        <v>0.89703900000000003</v>
      </c>
      <c r="O38">
        <f t="shared" ref="O38:Q38" si="15">O34/1000000</f>
        <v>1.0260450000000001</v>
      </c>
      <c r="P38">
        <f t="shared" si="15"/>
        <v>1.139143</v>
      </c>
      <c r="Q38">
        <f t="shared" si="15"/>
        <v>2.4178259131147399</v>
      </c>
    </row>
  </sheetData>
  <mergeCells count="2">
    <mergeCell ref="G2:K2"/>
    <mergeCell ref="C2:F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8010-6083-48AE-91B0-9A57C4983857}">
  <dimension ref="A1:N69"/>
  <sheetViews>
    <sheetView showGridLines="0" topLeftCell="A2" zoomScale="83" workbookViewId="0">
      <selection activeCell="H25" sqref="H25"/>
    </sheetView>
  </sheetViews>
  <sheetFormatPr defaultRowHeight="14.4"/>
  <cols>
    <col min="1" max="1" width="67.33203125" style="11" bestFit="1" customWidth="1"/>
    <col min="2" max="4" width="16" style="11" bestFit="1" customWidth="1"/>
    <col min="5" max="5" width="14" style="11" customWidth="1"/>
    <col min="6" max="6" width="70.33203125" bestFit="1" customWidth="1"/>
    <col min="8" max="9" width="13.88671875" bestFit="1" customWidth="1"/>
    <col min="10" max="13" width="12.21875" bestFit="1" customWidth="1"/>
    <col min="14" max="14" width="13.88671875" bestFit="1" customWidth="1"/>
  </cols>
  <sheetData>
    <row r="1" spans="1:13" ht="29.4" hidden="1" thickBot="1">
      <c r="A1" s="97" t="s">
        <v>109</v>
      </c>
      <c r="B1" s="98" t="s">
        <v>33</v>
      </c>
      <c r="C1" s="98" t="s">
        <v>34</v>
      </c>
      <c r="D1" s="11" t="s">
        <v>124</v>
      </c>
      <c r="E1" s="98" t="s">
        <v>127</v>
      </c>
    </row>
    <row r="2" spans="1:13" ht="18">
      <c r="A2" s="402" t="s">
        <v>195</v>
      </c>
      <c r="B2" s="404"/>
      <c r="C2" s="404"/>
      <c r="D2" s="24"/>
      <c r="E2" s="24"/>
      <c r="F2" s="93"/>
      <c r="G2" s="94"/>
      <c r="H2" s="93"/>
    </row>
    <row r="3" spans="1:13" ht="18">
      <c r="A3" s="403"/>
      <c r="B3" s="26" t="s">
        <v>134</v>
      </c>
      <c r="C3" s="26" t="s">
        <v>135</v>
      </c>
      <c r="D3" s="26" t="s">
        <v>124</v>
      </c>
      <c r="E3" s="26" t="s">
        <v>137</v>
      </c>
      <c r="F3" s="95"/>
      <c r="G3" s="96"/>
      <c r="H3" s="95"/>
    </row>
    <row r="4" spans="1:13">
      <c r="A4" s="99" t="s">
        <v>40</v>
      </c>
      <c r="B4" s="28" t="s">
        <v>4</v>
      </c>
      <c r="C4" s="28" t="s">
        <v>4</v>
      </c>
      <c r="D4" s="29"/>
      <c r="E4" s="28" t="s">
        <v>4</v>
      </c>
    </row>
    <row r="5" spans="1:13">
      <c r="A5" s="14" t="s">
        <v>56</v>
      </c>
      <c r="B5" s="102">
        <v>13136664000</v>
      </c>
      <c r="C5" s="102">
        <v>17172325000</v>
      </c>
      <c r="D5" s="102">
        <v>22579820000</v>
      </c>
      <c r="E5" s="102">
        <v>22889984</v>
      </c>
    </row>
    <row r="6" spans="1:13">
      <c r="A6" s="14" t="s">
        <v>55</v>
      </c>
      <c r="B6" s="103">
        <v>0</v>
      </c>
      <c r="C6" s="103">
        <v>1460775000</v>
      </c>
      <c r="D6" s="103">
        <v>0</v>
      </c>
      <c r="E6" s="103">
        <v>0</v>
      </c>
    </row>
    <row r="7" spans="1:13">
      <c r="A7" s="14" t="s">
        <v>39</v>
      </c>
      <c r="B7" s="103">
        <v>2644824000</v>
      </c>
      <c r="C7" s="103">
        <v>16740770000</v>
      </c>
      <c r="D7" s="103">
        <v>17051187000</v>
      </c>
      <c r="E7" s="103">
        <v>17337665</v>
      </c>
    </row>
    <row r="8" spans="1:13">
      <c r="A8" s="14" t="s">
        <v>39</v>
      </c>
      <c r="B8" s="102">
        <v>498002000</v>
      </c>
      <c r="C8" s="102">
        <v>685793000</v>
      </c>
      <c r="D8" s="102">
        <v>886524000</v>
      </c>
      <c r="E8" s="102">
        <v>973217</v>
      </c>
    </row>
    <row r="9" spans="1:13">
      <c r="A9" s="14" t="s">
        <v>54</v>
      </c>
      <c r="B9" s="103">
        <v>153576000</v>
      </c>
      <c r="C9" s="103">
        <v>153560000</v>
      </c>
      <c r="D9" s="103">
        <v>153560000</v>
      </c>
      <c r="E9" s="103">
        <v>150727</v>
      </c>
    </row>
    <row r="10" spans="1:13">
      <c r="A10" s="14" t="s">
        <v>53</v>
      </c>
      <c r="B10" s="103">
        <v>739614000</v>
      </c>
      <c r="C10" s="103">
        <v>208933000</v>
      </c>
      <c r="D10" s="103">
        <v>247673000</v>
      </c>
      <c r="E10" s="103">
        <v>510884</v>
      </c>
    </row>
    <row r="11" spans="1:13">
      <c r="A11" s="14" t="s">
        <v>52</v>
      </c>
      <c r="B11" s="103">
        <v>0</v>
      </c>
      <c r="C11" s="103">
        <v>217342000</v>
      </c>
      <c r="D11" s="103">
        <v>0</v>
      </c>
      <c r="E11" s="103">
        <v>0</v>
      </c>
    </row>
    <row r="12" spans="1:13" ht="13.95" customHeight="1">
      <c r="A12" s="14" t="s">
        <v>51</v>
      </c>
      <c r="B12" s="154">
        <f>SUM(B13:B23)*1000</f>
        <v>424693000</v>
      </c>
      <c r="C12" s="154">
        <f>SUM(C13:C23)*1000</f>
        <v>936328000</v>
      </c>
      <c r="D12" s="154">
        <v>934049000</v>
      </c>
      <c r="E12" s="154">
        <f>SUM(E13:E23)</f>
        <v>969672</v>
      </c>
    </row>
    <row r="13" spans="1:13" hidden="1">
      <c r="A13" s="2" t="s">
        <v>263</v>
      </c>
      <c r="B13" s="102">
        <v>273970</v>
      </c>
      <c r="C13" s="102">
        <v>764509</v>
      </c>
      <c r="D13" s="102"/>
      <c r="E13" s="102">
        <v>786895</v>
      </c>
      <c r="I13" s="2"/>
      <c r="J13" s="2"/>
      <c r="K13" s="2"/>
      <c r="L13" s="2"/>
      <c r="M13" s="1"/>
    </row>
    <row r="14" spans="1:13" hidden="1">
      <c r="A14" s="2" t="s">
        <v>264</v>
      </c>
      <c r="B14" s="103">
        <v>68515</v>
      </c>
      <c r="C14" s="103">
        <v>67209</v>
      </c>
      <c r="D14" s="103"/>
      <c r="E14" s="103">
        <v>66391</v>
      </c>
      <c r="I14" s="2"/>
      <c r="J14" s="2"/>
      <c r="K14" s="2"/>
      <c r="L14" s="1"/>
      <c r="M14" s="3"/>
    </row>
    <row r="15" spans="1:13" hidden="1">
      <c r="A15" s="2" t="s">
        <v>265</v>
      </c>
      <c r="B15" s="103">
        <v>16811</v>
      </c>
      <c r="C15" s="103">
        <v>45008</v>
      </c>
      <c r="D15" s="103"/>
      <c r="E15" s="103">
        <v>40052</v>
      </c>
      <c r="I15" s="2"/>
      <c r="J15" s="2"/>
      <c r="K15" s="2"/>
      <c r="L15" s="3"/>
      <c r="M15" s="3"/>
    </row>
    <row r="16" spans="1:13" hidden="1">
      <c r="A16" s="2" t="s">
        <v>266</v>
      </c>
      <c r="B16" s="103">
        <v>884</v>
      </c>
      <c r="C16" s="103">
        <v>0</v>
      </c>
      <c r="D16" s="103"/>
      <c r="E16" s="103">
        <v>20289</v>
      </c>
      <c r="I16" s="2"/>
      <c r="J16" s="2"/>
      <c r="K16" s="2"/>
      <c r="L16" s="3"/>
      <c r="M16" s="3"/>
    </row>
    <row r="17" spans="1:14" hidden="1">
      <c r="A17" s="2" t="s">
        <v>267</v>
      </c>
      <c r="B17" s="103">
        <v>24928</v>
      </c>
      <c r="C17" s="103">
        <v>18646</v>
      </c>
      <c r="D17" s="103"/>
      <c r="E17" s="103">
        <v>12147</v>
      </c>
      <c r="I17" s="2"/>
      <c r="J17" s="2"/>
      <c r="K17" s="2"/>
      <c r="L17" s="3"/>
      <c r="M17" s="3"/>
    </row>
    <row r="18" spans="1:14" hidden="1">
      <c r="A18" s="2" t="s">
        <v>268</v>
      </c>
      <c r="B18" s="103">
        <v>24690</v>
      </c>
      <c r="C18" s="103">
        <v>12834</v>
      </c>
      <c r="D18" s="103"/>
      <c r="E18" s="103">
        <v>11491</v>
      </c>
      <c r="I18" s="2"/>
      <c r="J18" s="2"/>
      <c r="K18" s="2"/>
      <c r="L18" s="3"/>
      <c r="M18" s="3"/>
    </row>
    <row r="19" spans="1:14" hidden="1">
      <c r="A19" s="2" t="s">
        <v>269</v>
      </c>
      <c r="B19" s="103">
        <v>5032</v>
      </c>
      <c r="C19" s="103">
        <v>5498</v>
      </c>
      <c r="D19" s="103"/>
      <c r="E19" s="103">
        <v>10710</v>
      </c>
      <c r="I19" s="2"/>
      <c r="J19" s="2"/>
      <c r="K19" s="2"/>
      <c r="L19" s="1"/>
      <c r="M19" s="1"/>
    </row>
    <row r="20" spans="1:14" hidden="1">
      <c r="A20" s="2" t="s">
        <v>270</v>
      </c>
      <c r="B20" s="103">
        <v>2780</v>
      </c>
      <c r="C20" s="103">
        <v>6911</v>
      </c>
      <c r="D20" s="103"/>
      <c r="E20" s="103">
        <v>8783</v>
      </c>
    </row>
    <row r="21" spans="1:14" ht="18" hidden="1" customHeight="1">
      <c r="A21" s="2" t="s">
        <v>271</v>
      </c>
      <c r="B21" s="103">
        <v>341</v>
      </c>
      <c r="C21" s="103">
        <v>6474</v>
      </c>
      <c r="D21" s="103"/>
      <c r="E21" s="103">
        <v>8074</v>
      </c>
      <c r="I21" s="66"/>
      <c r="J21" s="66"/>
      <c r="K21" s="66"/>
      <c r="L21" s="5"/>
      <c r="M21" s="5"/>
    </row>
    <row r="22" spans="1:14" hidden="1">
      <c r="A22" s="2" t="s">
        <v>272</v>
      </c>
      <c r="B22" s="103">
        <v>3660</v>
      </c>
      <c r="C22" s="103">
        <v>7348</v>
      </c>
      <c r="D22" s="103"/>
      <c r="E22" s="103">
        <v>3685</v>
      </c>
      <c r="I22" s="4"/>
      <c r="J22" s="4"/>
      <c r="K22" s="4"/>
      <c r="L22" s="2"/>
      <c r="M22" s="2"/>
    </row>
    <row r="23" spans="1:14" hidden="1">
      <c r="A23" s="2" t="s">
        <v>273</v>
      </c>
      <c r="B23" s="103">
        <v>3082</v>
      </c>
      <c r="C23" s="103">
        <v>1891</v>
      </c>
      <c r="D23" s="103"/>
      <c r="E23" s="103">
        <v>1155</v>
      </c>
      <c r="I23" s="2"/>
      <c r="J23" s="2"/>
      <c r="K23" s="2"/>
      <c r="L23" s="1"/>
      <c r="M23" s="1"/>
    </row>
    <row r="24" spans="1:14" ht="15" thickBot="1">
      <c r="A24" s="100" t="s">
        <v>50</v>
      </c>
      <c r="B24" s="101">
        <f>SUM(B5:B12)</f>
        <v>17597373000</v>
      </c>
      <c r="C24" s="101">
        <f>SUM(C5:C12)</f>
        <v>37575826000</v>
      </c>
      <c r="D24" s="101">
        <f>SUM(D5:D12)</f>
        <v>41852813000</v>
      </c>
      <c r="E24" s="101">
        <f>SUM(E5:E12)*1000</f>
        <v>42832149000</v>
      </c>
      <c r="G24">
        <f>'Income Statement'!B10-'Income Statement'!B25</f>
        <v>904556</v>
      </c>
      <c r="H24" s="457">
        <f>'Income Statement'!C10-'Income Statement'!C25</f>
        <v>1433937</v>
      </c>
      <c r="I24" s="457">
        <f>'Income Statement'!D10-'Income Statement'!D25</f>
        <v>1609797</v>
      </c>
      <c r="J24" s="457">
        <f>'Income Statement'!E10-'Income Statement'!E25</f>
        <v>727018</v>
      </c>
      <c r="K24" s="457">
        <f>'Income Statement'!F10-'Income Statement'!F25</f>
        <v>897814</v>
      </c>
      <c r="L24" s="457">
        <f>'Income Statement'!G10-'Income Statement'!G25</f>
        <v>764811</v>
      </c>
      <c r="M24" s="457">
        <f>'Income Statement'!H10-'Income Statement'!H25</f>
        <v>816758.91311474016</v>
      </c>
      <c r="N24" s="457">
        <f>'Income Statement'!I10-'Income Statement'!I25</f>
        <v>3206401.91311474</v>
      </c>
    </row>
    <row r="25" spans="1:14">
      <c r="A25" s="99" t="s">
        <v>49</v>
      </c>
      <c r="B25" s="28" t="s">
        <v>4</v>
      </c>
      <c r="C25" s="28" t="s">
        <v>4</v>
      </c>
      <c r="D25" s="28" t="s">
        <v>4</v>
      </c>
      <c r="E25" s="28" t="s">
        <v>4</v>
      </c>
    </row>
    <row r="26" spans="1:14">
      <c r="A26" s="14" t="s">
        <v>48</v>
      </c>
      <c r="B26" s="103">
        <v>4694523000</v>
      </c>
      <c r="C26" s="103">
        <v>13739675000</v>
      </c>
      <c r="D26" s="103">
        <v>16606240000</v>
      </c>
      <c r="E26" s="103">
        <v>16692728</v>
      </c>
    </row>
    <row r="27" spans="1:14">
      <c r="A27" s="14" t="s">
        <v>47</v>
      </c>
      <c r="B27" s="103">
        <v>113530000</v>
      </c>
      <c r="C27" s="103">
        <v>213388000</v>
      </c>
      <c r="D27" s="103">
        <v>221283000</v>
      </c>
      <c r="E27" s="103">
        <v>222430</v>
      </c>
    </row>
    <row r="28" spans="1:14">
      <c r="A28" s="14" t="s">
        <v>110</v>
      </c>
      <c r="B28" s="103">
        <v>226309000</v>
      </c>
      <c r="C28" s="103">
        <v>380178000</v>
      </c>
      <c r="D28" s="103">
        <v>396212000</v>
      </c>
      <c r="E28" s="103">
        <v>426861</v>
      </c>
    </row>
    <row r="29" spans="1:14">
      <c r="A29" s="14" t="s">
        <v>46</v>
      </c>
      <c r="B29" s="103">
        <v>375837000</v>
      </c>
      <c r="C29" s="103">
        <v>952472000</v>
      </c>
      <c r="D29" s="103">
        <v>954543000</v>
      </c>
      <c r="E29" s="103">
        <v>954448</v>
      </c>
    </row>
    <row r="30" spans="1:14" ht="15" thickBot="1">
      <c r="A30" s="100" t="s">
        <v>45</v>
      </c>
      <c r="B30" s="101">
        <f>SUM(B26:B29)</f>
        <v>5410199000</v>
      </c>
      <c r="C30" s="101">
        <f t="shared" ref="C30:D30" si="0">SUM(C26:C29)</f>
        <v>15285713000</v>
      </c>
      <c r="D30" s="101">
        <f t="shared" si="0"/>
        <v>18178278000</v>
      </c>
      <c r="E30" s="101">
        <f>SUM(E26:E29)*1000</f>
        <v>18296467000</v>
      </c>
    </row>
    <row r="31" spans="1:14">
      <c r="A31" s="14" t="s">
        <v>44</v>
      </c>
      <c r="B31" s="14" t="s">
        <v>43</v>
      </c>
      <c r="C31" s="14" t="s">
        <v>43</v>
      </c>
      <c r="D31" s="14" t="s">
        <v>43</v>
      </c>
      <c r="E31" s="14" t="s">
        <v>43</v>
      </c>
    </row>
    <row r="32" spans="1:14">
      <c r="A32" s="99" t="s">
        <v>111</v>
      </c>
      <c r="B32" s="28" t="s">
        <v>4</v>
      </c>
      <c r="C32" s="28" t="s">
        <v>4</v>
      </c>
      <c r="D32" s="28" t="s">
        <v>4</v>
      </c>
      <c r="E32" s="28" t="s">
        <v>4</v>
      </c>
    </row>
    <row r="33" spans="1:6" ht="43.2">
      <c r="A33" s="14" t="s">
        <v>112</v>
      </c>
      <c r="B33" s="103">
        <v>6289000</v>
      </c>
      <c r="C33" s="103">
        <v>9631000</v>
      </c>
      <c r="D33" s="103">
        <v>10042000</v>
      </c>
      <c r="E33" s="103">
        <v>10168</v>
      </c>
      <c r="F33" s="2"/>
    </row>
    <row r="34" spans="1:6" ht="28.8">
      <c r="A34" s="14" t="s">
        <v>113</v>
      </c>
      <c r="B34" s="103">
        <v>0</v>
      </c>
      <c r="C34" s="103">
        <v>0</v>
      </c>
      <c r="D34" s="103">
        <v>0</v>
      </c>
      <c r="E34" s="103">
        <v>0</v>
      </c>
      <c r="F34" s="8"/>
    </row>
    <row r="35" spans="1:6">
      <c r="A35" s="14" t="s">
        <v>114</v>
      </c>
      <c r="B35" s="103">
        <v>11755069000</v>
      </c>
      <c r="C35" s="103">
        <v>21645499000</v>
      </c>
      <c r="D35" s="103">
        <v>22910509000</v>
      </c>
      <c r="E35" s="103">
        <v>23316140</v>
      </c>
    </row>
    <row r="36" spans="1:6">
      <c r="A36" s="14" t="s">
        <v>42</v>
      </c>
      <c r="B36" s="103">
        <v>884000</v>
      </c>
      <c r="C36" s="103">
        <v>185353000</v>
      </c>
      <c r="D36" s="103">
        <v>170441000</v>
      </c>
      <c r="E36" s="103">
        <v>186241</v>
      </c>
    </row>
    <row r="37" spans="1:6">
      <c r="A37" s="14" t="s">
        <v>115</v>
      </c>
      <c r="B37" s="103">
        <v>346026000</v>
      </c>
      <c r="C37" s="103">
        <v>93154000</v>
      </c>
      <c r="D37" s="103">
        <v>220254000</v>
      </c>
      <c r="E37" s="103">
        <v>652402</v>
      </c>
    </row>
    <row r="38" spans="1:6">
      <c r="A38" s="14" t="s">
        <v>116</v>
      </c>
      <c r="B38" s="103">
        <v>12108268000</v>
      </c>
      <c r="C38" s="103">
        <v>21933637000</v>
      </c>
      <c r="D38" s="103">
        <v>23311246000</v>
      </c>
      <c r="E38" s="103">
        <v>24164951</v>
      </c>
    </row>
    <row r="39" spans="1:6">
      <c r="A39" s="14" t="s">
        <v>117</v>
      </c>
      <c r="B39" s="103">
        <v>78906000</v>
      </c>
      <c r="C39" s="103">
        <v>356476000</v>
      </c>
      <c r="D39" s="103">
        <v>363289000</v>
      </c>
      <c r="E39" s="103">
        <v>370731</v>
      </c>
    </row>
    <row r="40" spans="1:6">
      <c r="A40" s="14" t="s">
        <v>118</v>
      </c>
      <c r="B40" s="15">
        <f>B39+B38</f>
        <v>12187174000</v>
      </c>
      <c r="C40" s="15">
        <f t="shared" ref="C40:D40" si="1">C39+C38</f>
        <v>22290113000</v>
      </c>
      <c r="D40" s="15">
        <f t="shared" si="1"/>
        <v>23674535000</v>
      </c>
      <c r="E40" s="15">
        <f>(E39+E38)*1000</f>
        <v>24535682000</v>
      </c>
    </row>
    <row r="41" spans="1:6" ht="15" thickBot="1">
      <c r="A41" s="100" t="s">
        <v>41</v>
      </c>
      <c r="B41" s="101">
        <f>B40+B30</f>
        <v>17597373000</v>
      </c>
      <c r="C41" s="101">
        <f t="shared" ref="C41:D41" si="2">C40+C30</f>
        <v>37575826000</v>
      </c>
      <c r="D41" s="101">
        <f t="shared" si="2"/>
        <v>41852813000</v>
      </c>
      <c r="E41" s="101">
        <f>E40+E30</f>
        <v>42832149000</v>
      </c>
    </row>
    <row r="42" spans="1:6">
      <c r="A42" s="14" t="s">
        <v>37</v>
      </c>
      <c r="B42" s="14" t="s">
        <v>4</v>
      </c>
      <c r="C42" s="14" t="s">
        <v>4</v>
      </c>
      <c r="D42" s="14" t="s">
        <v>4</v>
      </c>
      <c r="E42" s="14" t="s">
        <v>4</v>
      </c>
    </row>
    <row r="43" spans="1:6">
      <c r="A43" s="99" t="s">
        <v>40</v>
      </c>
      <c r="B43" s="28" t="s">
        <v>4</v>
      </c>
      <c r="C43" s="28" t="s">
        <v>4</v>
      </c>
      <c r="D43" s="28" t="s">
        <v>4</v>
      </c>
      <c r="E43" s="28" t="s">
        <v>4</v>
      </c>
    </row>
    <row r="44" spans="1:6">
      <c r="A44" s="14" t="s">
        <v>39</v>
      </c>
      <c r="B44" s="15">
        <v>2644824000</v>
      </c>
      <c r="C44" s="15">
        <v>16740770000</v>
      </c>
      <c r="D44" s="15">
        <v>17051187000</v>
      </c>
      <c r="E44" s="15">
        <v>17337665</v>
      </c>
    </row>
    <row r="45" spans="1:6">
      <c r="A45" s="14" t="s">
        <v>36</v>
      </c>
      <c r="B45" s="14" t="s">
        <v>4</v>
      </c>
      <c r="C45" s="14" t="s">
        <v>4</v>
      </c>
      <c r="D45" s="14" t="s">
        <v>4</v>
      </c>
      <c r="E45" s="14" t="s">
        <v>4</v>
      </c>
    </row>
    <row r="46" spans="1:6">
      <c r="A46" s="99" t="s">
        <v>40</v>
      </c>
      <c r="B46" s="28" t="s">
        <v>4</v>
      </c>
      <c r="C46" s="28" t="s">
        <v>4</v>
      </c>
      <c r="D46" s="28" t="s">
        <v>4</v>
      </c>
      <c r="E46" s="28" t="s">
        <v>4</v>
      </c>
    </row>
    <row r="47" spans="1:6">
      <c r="A47" s="14" t="s">
        <v>39</v>
      </c>
      <c r="B47" s="12">
        <v>498002000</v>
      </c>
      <c r="C47" s="12">
        <v>685793000</v>
      </c>
      <c r="D47" s="12">
        <v>886524000</v>
      </c>
      <c r="E47" s="12">
        <v>973217</v>
      </c>
    </row>
    <row r="48" spans="1:6">
      <c r="A48" s="408"/>
      <c r="B48" s="408"/>
      <c r="C48" s="408"/>
    </row>
    <row r="49" spans="1:5">
      <c r="A49" s="409" t="s">
        <v>38</v>
      </c>
      <c r="B49" s="408"/>
      <c r="C49" s="408"/>
      <c r="E49" s="14"/>
    </row>
    <row r="69" ht="14.25" customHeight="1"/>
  </sheetData>
  <mergeCells count="4">
    <mergeCell ref="A2:A3"/>
    <mergeCell ref="B2:C2"/>
    <mergeCell ref="A48:C48"/>
    <mergeCell ref="A49:C4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D052-B376-4803-A6FC-7B59085E0C96}">
  <dimension ref="B2:Q37"/>
  <sheetViews>
    <sheetView showGridLines="0" zoomScale="84" workbookViewId="0">
      <selection activeCell="G43" sqref="G43"/>
    </sheetView>
  </sheetViews>
  <sheetFormatPr defaultRowHeight="14.4"/>
  <cols>
    <col min="2" max="2" width="54.88671875" customWidth="1"/>
    <col min="3" max="5" width="11.88671875" bestFit="1" customWidth="1"/>
    <col min="6" max="10" width="10.44140625" bestFit="1" customWidth="1"/>
    <col min="11" max="12" width="10.44140625" customWidth="1"/>
    <col min="13" max="13" width="53.33203125" customWidth="1"/>
    <col min="14" max="15" width="12.44140625" customWidth="1"/>
    <col min="16" max="17" width="10" bestFit="1" customWidth="1"/>
  </cols>
  <sheetData>
    <row r="2" spans="2:17" hidden="1">
      <c r="B2" s="155" t="s">
        <v>281</v>
      </c>
      <c r="C2" s="97" t="s">
        <v>33</v>
      </c>
      <c r="D2" s="97" t="s">
        <v>34</v>
      </c>
      <c r="E2" s="97" t="s">
        <v>127</v>
      </c>
      <c r="I2" s="66"/>
      <c r="J2" s="66"/>
      <c r="K2" s="66"/>
      <c r="L2" s="66"/>
      <c r="M2" s="66"/>
      <c r="N2" s="5"/>
      <c r="O2" s="5"/>
    </row>
    <row r="3" spans="2:17" hidden="1">
      <c r="B3" s="14" t="s">
        <v>269</v>
      </c>
      <c r="C3" s="15">
        <v>5032</v>
      </c>
      <c r="D3" s="15">
        <v>5498</v>
      </c>
      <c r="E3" s="15">
        <v>10710</v>
      </c>
      <c r="I3" s="2"/>
      <c r="J3" s="2"/>
      <c r="K3" s="2"/>
      <c r="L3" s="2"/>
      <c r="M3" s="2"/>
      <c r="N3" s="1"/>
      <c r="O3" s="1"/>
    </row>
    <row r="4" spans="2:17" hidden="1">
      <c r="B4" s="14" t="s">
        <v>270</v>
      </c>
      <c r="C4" s="15">
        <v>2780</v>
      </c>
      <c r="D4" s="15">
        <v>6911</v>
      </c>
      <c r="E4" s="15">
        <v>8783</v>
      </c>
    </row>
    <row r="5" spans="2:17" ht="18" hidden="1" customHeight="1">
      <c r="B5" s="14" t="s">
        <v>271</v>
      </c>
      <c r="C5" s="15">
        <v>341</v>
      </c>
      <c r="D5" s="15">
        <v>6474</v>
      </c>
      <c r="E5" s="15">
        <v>8074</v>
      </c>
      <c r="I5" s="66"/>
      <c r="J5" s="66"/>
      <c r="K5" s="66"/>
      <c r="L5" s="66"/>
      <c r="M5" s="66"/>
      <c r="N5" s="5"/>
      <c r="O5" s="5"/>
    </row>
    <row r="6" spans="2:17" hidden="1">
      <c r="B6" s="14" t="s">
        <v>272</v>
      </c>
      <c r="C6" s="15">
        <v>3660</v>
      </c>
      <c r="D6" s="15">
        <v>7348</v>
      </c>
      <c r="E6" s="15">
        <v>3685</v>
      </c>
      <c r="I6" s="4"/>
      <c r="J6" s="4"/>
      <c r="K6" s="4"/>
      <c r="L6" s="4"/>
      <c r="M6" s="4"/>
      <c r="N6" s="2"/>
      <c r="O6" s="2"/>
    </row>
    <row r="7" spans="2:17" hidden="1">
      <c r="B7" s="11"/>
      <c r="C7" s="11"/>
      <c r="D7" s="11"/>
      <c r="E7" s="11"/>
      <c r="J7" s="2"/>
      <c r="K7" s="2"/>
      <c r="L7" s="2"/>
      <c r="M7" s="2"/>
      <c r="N7" s="2"/>
      <c r="O7" s="3"/>
      <c r="P7" s="3"/>
    </row>
    <row r="8" spans="2:17" ht="13.5" hidden="1" customHeight="1">
      <c r="B8" s="97" t="s">
        <v>274</v>
      </c>
      <c r="C8" s="98" t="s">
        <v>33</v>
      </c>
      <c r="D8" s="98" t="s">
        <v>34</v>
      </c>
      <c r="E8" s="98" t="s">
        <v>127</v>
      </c>
      <c r="M8" s="2"/>
      <c r="N8" s="2"/>
      <c r="O8" s="2"/>
      <c r="P8" s="3"/>
      <c r="Q8" s="3"/>
    </row>
    <row r="9" spans="2:17" hidden="1">
      <c r="B9" s="13" t="s">
        <v>262</v>
      </c>
      <c r="C9" s="14" t="s">
        <v>4</v>
      </c>
      <c r="D9" s="14" t="s">
        <v>4</v>
      </c>
      <c r="E9" s="14" t="s">
        <v>4</v>
      </c>
      <c r="M9" s="2"/>
      <c r="N9" s="2"/>
      <c r="O9" s="2"/>
      <c r="P9" s="3"/>
      <c r="Q9" s="3"/>
    </row>
    <row r="10" spans="2:17" hidden="1">
      <c r="B10" s="14" t="s">
        <v>275</v>
      </c>
      <c r="C10" s="12">
        <v>280510</v>
      </c>
      <c r="D10" s="12">
        <v>784259</v>
      </c>
      <c r="E10" s="14" t="s">
        <v>4</v>
      </c>
      <c r="F10" s="5"/>
      <c r="M10" s="2"/>
      <c r="N10" s="2"/>
      <c r="O10" s="2"/>
      <c r="P10" s="1"/>
      <c r="Q10" s="1"/>
    </row>
    <row r="11" spans="2:17" hidden="1">
      <c r="B11" s="14" t="s">
        <v>276</v>
      </c>
      <c r="C11" s="15">
        <v>73600</v>
      </c>
      <c r="D11" s="15">
        <v>73600</v>
      </c>
      <c r="E11" s="12">
        <v>73600</v>
      </c>
      <c r="F11" s="2"/>
    </row>
    <row r="12" spans="2:17" hidden="1">
      <c r="B12" s="14" t="s">
        <v>277</v>
      </c>
      <c r="C12" s="15">
        <v>16811</v>
      </c>
      <c r="D12" s="15">
        <v>45039</v>
      </c>
      <c r="E12" s="15">
        <v>40052</v>
      </c>
      <c r="F12" s="1"/>
    </row>
    <row r="13" spans="2:17" ht="28.8" hidden="1">
      <c r="B13" s="14" t="s">
        <v>278</v>
      </c>
      <c r="C13" s="15">
        <v>1037</v>
      </c>
      <c r="D13" s="15">
        <v>45110</v>
      </c>
      <c r="E13" s="15">
        <v>30089</v>
      </c>
      <c r="F13" s="3"/>
      <c r="M13" s="66" t="s">
        <v>274</v>
      </c>
      <c r="N13" s="5" t="s">
        <v>33</v>
      </c>
      <c r="O13" s="5" t="s">
        <v>34</v>
      </c>
      <c r="P13" s="5" t="s">
        <v>127</v>
      </c>
      <c r="Q13" s="5"/>
    </row>
    <row r="14" spans="2:17" hidden="1">
      <c r="B14" s="14" t="s">
        <v>279</v>
      </c>
      <c r="C14" s="15">
        <v>3879</v>
      </c>
      <c r="D14" s="15">
        <v>4339</v>
      </c>
      <c r="E14" s="15">
        <v>4279</v>
      </c>
      <c r="F14" s="3"/>
      <c r="M14" s="4" t="s">
        <v>262</v>
      </c>
      <c r="N14" s="2" t="s">
        <v>4</v>
      </c>
      <c r="O14" s="2" t="s">
        <v>4</v>
      </c>
      <c r="P14" s="2" t="s">
        <v>4</v>
      </c>
      <c r="Q14" s="2"/>
    </row>
    <row r="15" spans="2:17" ht="12.75" hidden="1" customHeight="1">
      <c r="B15" s="14" t="s">
        <v>273</v>
      </c>
      <c r="C15" s="15">
        <v>0</v>
      </c>
      <c r="D15" s="15">
        <v>125</v>
      </c>
      <c r="E15" s="15">
        <v>250</v>
      </c>
      <c r="F15" s="3"/>
      <c r="M15" s="2" t="s">
        <v>275</v>
      </c>
      <c r="N15" s="1">
        <v>280510</v>
      </c>
      <c r="O15" s="1">
        <v>784259</v>
      </c>
      <c r="P15" s="2" t="s">
        <v>4</v>
      </c>
      <c r="Q15" s="1"/>
    </row>
    <row r="16" spans="2:17" hidden="1">
      <c r="B16" s="14" t="s">
        <v>280</v>
      </c>
      <c r="C16" s="12">
        <v>375837</v>
      </c>
      <c r="D16" s="12">
        <v>952472</v>
      </c>
      <c r="E16" s="12">
        <v>954448</v>
      </c>
      <c r="F16" s="3"/>
      <c r="M16" s="2" t="s">
        <v>276</v>
      </c>
      <c r="N16" s="3">
        <v>73600</v>
      </c>
      <c r="O16" s="3">
        <v>73600</v>
      </c>
      <c r="P16" s="1">
        <v>73600</v>
      </c>
      <c r="Q16" s="3"/>
    </row>
    <row r="17" spans="2:17" hidden="1">
      <c r="B17" s="14" t="s">
        <v>47</v>
      </c>
      <c r="C17" s="103">
        <v>113530000</v>
      </c>
      <c r="D17" s="103">
        <v>213388000</v>
      </c>
      <c r="E17" s="103">
        <f>222430*1000</f>
        <v>222430000</v>
      </c>
      <c r="M17" s="2" t="s">
        <v>277</v>
      </c>
      <c r="N17" s="3">
        <v>16811</v>
      </c>
      <c r="O17" s="3">
        <v>45039</v>
      </c>
      <c r="P17" s="3">
        <v>40052</v>
      </c>
      <c r="Q17" s="3"/>
    </row>
    <row r="18" spans="2:17" hidden="1">
      <c r="B18" s="14" t="s">
        <v>110</v>
      </c>
      <c r="C18" s="103">
        <v>226309000</v>
      </c>
      <c r="D18" s="103">
        <v>380178000</v>
      </c>
      <c r="E18" s="103">
        <f>426861*1000</f>
        <v>426861000</v>
      </c>
      <c r="M18" s="2" t="s">
        <v>278</v>
      </c>
      <c r="N18" s="3">
        <v>1037</v>
      </c>
      <c r="O18" s="3">
        <v>45110</v>
      </c>
      <c r="P18" s="3">
        <v>30089</v>
      </c>
      <c r="Q18" s="3"/>
    </row>
    <row r="19" spans="2:17">
      <c r="B19" s="2"/>
      <c r="C19" s="3"/>
      <c r="D19" s="3"/>
      <c r="E19" s="3"/>
      <c r="M19" s="2"/>
      <c r="N19" s="3"/>
      <c r="O19" s="3"/>
      <c r="P19" s="3"/>
      <c r="Q19" s="3"/>
    </row>
    <row r="20" spans="2:17">
      <c r="B20" s="2"/>
      <c r="C20" s="3"/>
      <c r="D20" s="3"/>
      <c r="E20" s="3"/>
      <c r="M20" s="2"/>
      <c r="N20" s="3"/>
      <c r="O20" s="3"/>
      <c r="P20" s="3"/>
      <c r="Q20" s="3"/>
    </row>
    <row r="21" spans="2:17" ht="15" thickBot="1">
      <c r="B21" s="2"/>
      <c r="C21" s="3"/>
      <c r="D21" s="3"/>
      <c r="E21" s="3"/>
      <c r="M21" s="2"/>
      <c r="N21" s="1"/>
      <c r="O21" s="1"/>
      <c r="P21" s="1"/>
      <c r="Q21" s="1"/>
    </row>
    <row r="22" spans="2:17" ht="20.399999999999999">
      <c r="B22" s="74" t="s">
        <v>194</v>
      </c>
      <c r="C22" s="156"/>
      <c r="D22" s="156"/>
      <c r="E22" s="156"/>
      <c r="F22" s="156"/>
      <c r="G22" s="156"/>
      <c r="H22" s="156"/>
      <c r="I22" s="156"/>
      <c r="J22" s="157"/>
      <c r="K22" s="183"/>
      <c r="L22" s="183"/>
    </row>
    <row r="23" spans="2:17" ht="15.6">
      <c r="B23" s="158" t="s">
        <v>282</v>
      </c>
      <c r="C23" s="190" t="s">
        <v>134</v>
      </c>
      <c r="D23" s="190" t="s">
        <v>135</v>
      </c>
      <c r="E23" s="190" t="s">
        <v>294</v>
      </c>
      <c r="F23" s="181" t="s">
        <v>283</v>
      </c>
      <c r="G23" s="181" t="s">
        <v>284</v>
      </c>
      <c r="H23" s="181" t="s">
        <v>285</v>
      </c>
      <c r="I23" s="181" t="s">
        <v>286</v>
      </c>
      <c r="J23" s="159" t="s">
        <v>174</v>
      </c>
      <c r="K23" s="184"/>
      <c r="L23" s="184"/>
      <c r="M23" s="66"/>
      <c r="N23" s="66"/>
      <c r="O23" s="66"/>
      <c r="P23" s="5"/>
      <c r="Q23" s="5"/>
    </row>
    <row r="24" spans="2:17" ht="15.6">
      <c r="B24" s="160" t="str">
        <f>B3</f>
        <v>Tenant receivables</v>
      </c>
      <c r="C24" s="191">
        <f>C3</f>
        <v>5032</v>
      </c>
      <c r="D24" s="191">
        <f t="shared" ref="D24:E24" si="0">D3</f>
        <v>5498</v>
      </c>
      <c r="E24" s="191">
        <f t="shared" si="0"/>
        <v>10710</v>
      </c>
      <c r="F24" s="161">
        <f>F26/365*F25</f>
        <v>9405.1699077599878</v>
      </c>
      <c r="G24" s="161">
        <f t="shared" ref="G24:J24" si="1">G26/365*G25</f>
        <v>9662.6771673115309</v>
      </c>
      <c r="H24" s="161">
        <f t="shared" si="1"/>
        <v>9930.2652362203007</v>
      </c>
      <c r="I24" s="161">
        <f t="shared" si="1"/>
        <v>10206.351339701288</v>
      </c>
      <c r="J24" s="162">
        <f t="shared" si="1"/>
        <v>10492.531583098518</v>
      </c>
      <c r="K24" s="185"/>
      <c r="L24" s="185"/>
      <c r="M24" s="4"/>
      <c r="N24" s="4"/>
      <c r="O24" s="4"/>
      <c r="P24" s="2"/>
      <c r="Q24" s="2"/>
    </row>
    <row r="25" spans="2:17" ht="15.6">
      <c r="B25" s="160" t="s">
        <v>287</v>
      </c>
      <c r="C25" s="186">
        <f>'Rev Build'!D11</f>
        <v>1509568</v>
      </c>
      <c r="D25" s="186">
        <f>'Rev Build'!E11</f>
        <v>2600697</v>
      </c>
      <c r="E25" s="186">
        <f>'Rev Build'!F11</f>
        <v>3593708.5797814066</v>
      </c>
      <c r="F25" s="186">
        <f>'Rev Build'!G11</f>
        <v>3692459.9829719313</v>
      </c>
      <c r="G25" s="186">
        <f>'Rev Build'!H11</f>
        <v>3793557.0668677078</v>
      </c>
      <c r="H25" s="186">
        <f>'Rev Build'!I11</f>
        <v>3898611.8660958582</v>
      </c>
      <c r="I25" s="186">
        <f>'Rev Build'!J11</f>
        <v>4007002.9849120192</v>
      </c>
      <c r="J25" s="192">
        <f>'Rev Build'!K11</f>
        <v>4119357.0526242433</v>
      </c>
      <c r="K25" s="186"/>
      <c r="L25" s="186"/>
      <c r="M25" s="2"/>
      <c r="N25" s="2"/>
      <c r="O25" s="2"/>
      <c r="P25" s="1"/>
      <c r="Q25" s="1"/>
    </row>
    <row r="26" spans="2:17" ht="15.6">
      <c r="B26" s="163" t="s">
        <v>288</v>
      </c>
      <c r="C26" s="177">
        <f>(C24/C25)*365</f>
        <v>1.2166924577097553</v>
      </c>
      <c r="D26" s="177">
        <f>(D24/D25)*365</f>
        <v>0.77162775978901044</v>
      </c>
      <c r="E26" s="177">
        <f>(E24/E25)*365</f>
        <v>1.0877760155604439</v>
      </c>
      <c r="F26" s="177">
        <f>AVERAGE(D26:E26)</f>
        <v>0.92970188767472717</v>
      </c>
      <c r="G26" s="177">
        <f>F26</f>
        <v>0.92970188767472717</v>
      </c>
      <c r="H26" s="177">
        <f t="shared" ref="H26:J26" si="2">AVERAGE(F26:G26)</f>
        <v>0.92970188767472717</v>
      </c>
      <c r="I26" s="177">
        <f t="shared" si="2"/>
        <v>0.92970188767472717</v>
      </c>
      <c r="J26" s="178">
        <f t="shared" si="2"/>
        <v>0.92970188767472717</v>
      </c>
      <c r="K26" s="187"/>
      <c r="L26" s="187"/>
      <c r="M26" s="2"/>
      <c r="N26" s="2"/>
      <c r="O26" s="2"/>
      <c r="P26" s="3"/>
      <c r="Q26" s="3"/>
    </row>
    <row r="27" spans="2:17" ht="15.6">
      <c r="B27" s="31" t="s">
        <v>296</v>
      </c>
      <c r="C27" s="191">
        <f>SUM(C4:C5)</f>
        <v>3121</v>
      </c>
      <c r="D27" s="191">
        <f t="shared" ref="D27:E27" si="3">SUM(D4:D5)</f>
        <v>13385</v>
      </c>
      <c r="E27" s="191">
        <f t="shared" si="3"/>
        <v>16857</v>
      </c>
      <c r="F27" s="161">
        <f>F28/365*F25</f>
        <v>18162.09323257229</v>
      </c>
      <c r="G27" s="161">
        <f t="shared" ref="G27:J27" si="4">G28/365*G25</f>
        <v>18226.894000494383</v>
      </c>
      <c r="H27" s="161">
        <f t="shared" si="4"/>
        <v>18953.871243380141</v>
      </c>
      <c r="I27" s="161">
        <f t="shared" si="4"/>
        <v>19366.636563232976</v>
      </c>
      <c r="J27" s="162">
        <f t="shared" si="4"/>
        <v>19968.366751145466</v>
      </c>
      <c r="K27" s="185"/>
      <c r="L27" s="185"/>
      <c r="M27" s="2"/>
      <c r="N27" s="2"/>
      <c r="O27" s="2"/>
      <c r="P27" s="3"/>
      <c r="Q27" s="3"/>
    </row>
    <row r="28" spans="2:17" ht="15.6">
      <c r="B28" s="163" t="s">
        <v>288</v>
      </c>
      <c r="C28" s="177">
        <f>(C27/C25)*365</f>
        <v>0.75462980137363811</v>
      </c>
      <c r="D28" s="177">
        <f t="shared" ref="D28:E28" si="5">(D27/D25)*365</f>
        <v>1.8785444824983457</v>
      </c>
      <c r="E28" s="177">
        <f t="shared" si="5"/>
        <v>1.7121046026426148</v>
      </c>
      <c r="F28" s="177">
        <f>AVERAGE(D28:E28)</f>
        <v>1.7953245425704802</v>
      </c>
      <c r="G28" s="177">
        <f t="shared" ref="G28:J28" si="6">AVERAGE(E28:F28)</f>
        <v>1.7537145726065475</v>
      </c>
      <c r="H28" s="177">
        <f t="shared" si="6"/>
        <v>1.7745195575885138</v>
      </c>
      <c r="I28" s="177">
        <f t="shared" si="6"/>
        <v>1.7641170650975306</v>
      </c>
      <c r="J28" s="178">
        <f t="shared" si="6"/>
        <v>1.7693183113430222</v>
      </c>
      <c r="K28" s="187"/>
      <c r="L28" s="187"/>
      <c r="M28" s="2"/>
      <c r="N28" s="2"/>
      <c r="O28" s="2"/>
      <c r="P28" s="3"/>
      <c r="Q28" s="3"/>
    </row>
    <row r="29" spans="2:17" ht="15.6">
      <c r="B29" s="160" t="s">
        <v>295</v>
      </c>
      <c r="C29" s="191">
        <f>C6</f>
        <v>3660</v>
      </c>
      <c r="D29" s="191">
        <f t="shared" ref="D29:E29" si="7">D6</f>
        <v>7348</v>
      </c>
      <c r="E29" s="191">
        <f t="shared" si="7"/>
        <v>3685</v>
      </c>
      <c r="F29" s="161">
        <f>F30/365*F25</f>
        <v>7109.461611798316</v>
      </c>
      <c r="G29" s="161">
        <f t="shared" ref="G29:J29" si="8">G30/365*G25</f>
        <v>7304.1139141486001</v>
      </c>
      <c r="H29" s="161">
        <f t="shared" si="8"/>
        <v>7506.3864007001202</v>
      </c>
      <c r="I29" s="161">
        <f t="shared" si="8"/>
        <v>7715.0826362279413</v>
      </c>
      <c r="J29" s="162">
        <f t="shared" si="8"/>
        <v>7931.4091326593361</v>
      </c>
      <c r="K29" s="185"/>
      <c r="L29" s="185"/>
      <c r="M29" s="2"/>
      <c r="N29" s="2"/>
      <c r="O29" s="2"/>
      <c r="P29" s="3"/>
      <c r="Q29" s="3"/>
    </row>
    <row r="30" spans="2:17" ht="15.6">
      <c r="B30" s="163" t="s">
        <v>288</v>
      </c>
      <c r="C30" s="177">
        <f>(C29/C25)*365</f>
        <v>0.88495516598126089</v>
      </c>
      <c r="D30" s="177">
        <f>(D29/D25)*365</f>
        <v>1.0312696942396595</v>
      </c>
      <c r="E30" s="177">
        <f>(E29/E25)*365</f>
        <v>0.37427213980767843</v>
      </c>
      <c r="F30" s="177">
        <f>AVERAGE(D30:E30)</f>
        <v>0.70277091702366901</v>
      </c>
      <c r="G30" s="177">
        <f>F30</f>
        <v>0.70277091702366901</v>
      </c>
      <c r="H30" s="177">
        <f t="shared" ref="H30:J30" si="9">AVERAGE(F30:G30)</f>
        <v>0.70277091702366901</v>
      </c>
      <c r="I30" s="177">
        <f t="shared" si="9"/>
        <v>0.70277091702366901</v>
      </c>
      <c r="J30" s="178">
        <f t="shared" si="9"/>
        <v>0.70277091702366901</v>
      </c>
      <c r="K30" s="187"/>
      <c r="L30" s="187"/>
      <c r="M30" s="2"/>
      <c r="N30" s="2"/>
      <c r="O30" s="2"/>
      <c r="P30" s="3"/>
      <c r="Q30" s="3"/>
    </row>
    <row r="31" spans="2:17" ht="15.6">
      <c r="B31" s="164" t="s">
        <v>289</v>
      </c>
      <c r="C31" s="179">
        <f>(C24+C27+C29)</f>
        <v>11813</v>
      </c>
      <c r="D31" s="179">
        <f t="shared" ref="D31:J31" si="10">(D24+D27+D29)</f>
        <v>26231</v>
      </c>
      <c r="E31" s="179">
        <f t="shared" si="10"/>
        <v>31252</v>
      </c>
      <c r="F31" s="179">
        <f t="shared" si="10"/>
        <v>34676.724752130591</v>
      </c>
      <c r="G31" s="179">
        <f t="shared" si="10"/>
        <v>35193.685081954514</v>
      </c>
      <c r="H31" s="179">
        <f t="shared" si="10"/>
        <v>36390.522880300559</v>
      </c>
      <c r="I31" s="179">
        <f t="shared" si="10"/>
        <v>37288.070539162203</v>
      </c>
      <c r="J31" s="180">
        <f t="shared" si="10"/>
        <v>38392.307466903316</v>
      </c>
      <c r="K31" s="188"/>
      <c r="L31" s="188"/>
      <c r="M31" s="2"/>
      <c r="N31" s="2"/>
      <c r="O31" s="2"/>
      <c r="P31" s="1"/>
      <c r="Q31" s="1"/>
    </row>
    <row r="32" spans="2:17" ht="15.6">
      <c r="B32" s="165" t="str">
        <f>B17</f>
        <v>Accrued expenses and deferred revenue</v>
      </c>
      <c r="C32" s="193">
        <f>C17/1000</f>
        <v>113530</v>
      </c>
      <c r="D32" s="193">
        <f t="shared" ref="D32:E32" si="11">D17/1000</f>
        <v>213388</v>
      </c>
      <c r="E32" s="193">
        <f t="shared" si="11"/>
        <v>222430</v>
      </c>
      <c r="F32" s="182">
        <f>F25*F33</f>
        <v>265754.82006530894</v>
      </c>
      <c r="G32" s="182">
        <f t="shared" ref="G32:J32" si="12">G25*G33</f>
        <v>253915.2435853272</v>
      </c>
      <c r="H32" s="182">
        <f t="shared" si="12"/>
        <v>270769.47543307819</v>
      </c>
      <c r="I32" s="182">
        <f t="shared" si="12"/>
        <v>273249.71081082255</v>
      </c>
      <c r="J32" s="166">
        <f t="shared" si="12"/>
        <v>283506.16044322815</v>
      </c>
      <c r="K32" s="182"/>
      <c r="L32" s="182"/>
    </row>
    <row r="33" spans="2:12" ht="15.6">
      <c r="B33" s="163" t="s">
        <v>290</v>
      </c>
      <c r="C33" s="167">
        <f>C32/C25</f>
        <v>7.520694662313987E-2</v>
      </c>
      <c r="D33" s="167">
        <f t="shared" ref="D33:E33" si="13">D32/D25</f>
        <v>8.2050311897156794E-2</v>
      </c>
      <c r="E33" s="167">
        <f t="shared" si="13"/>
        <v>6.1894278587700531E-2</v>
      </c>
      <c r="F33" s="167">
        <f>AVERAGE(D33:E33)</f>
        <v>7.1972295242428666E-2</v>
      </c>
      <c r="G33" s="167">
        <f t="shared" ref="G33:J33" si="14">AVERAGE(E33:F33)</f>
        <v>6.6933286915064602E-2</v>
      </c>
      <c r="H33" s="167">
        <f t="shared" si="14"/>
        <v>6.9452791078746634E-2</v>
      </c>
      <c r="I33" s="167">
        <f t="shared" si="14"/>
        <v>6.8193038996905625E-2</v>
      </c>
      <c r="J33" s="168">
        <f t="shared" si="14"/>
        <v>6.882291503782613E-2</v>
      </c>
      <c r="K33" s="189"/>
      <c r="L33" s="189"/>
    </row>
    <row r="34" spans="2:12" ht="15.6">
      <c r="B34" s="164" t="s">
        <v>291</v>
      </c>
      <c r="C34" s="179">
        <f t="shared" ref="C34:J34" si="15">C32</f>
        <v>113530</v>
      </c>
      <c r="D34" s="179">
        <f t="shared" si="15"/>
        <v>213388</v>
      </c>
      <c r="E34" s="179">
        <f t="shared" si="15"/>
        <v>222430</v>
      </c>
      <c r="F34" s="179">
        <f t="shared" si="15"/>
        <v>265754.82006530894</v>
      </c>
      <c r="G34" s="179">
        <f t="shared" si="15"/>
        <v>253915.2435853272</v>
      </c>
      <c r="H34" s="179">
        <f t="shared" si="15"/>
        <v>270769.47543307819</v>
      </c>
      <c r="I34" s="179">
        <f t="shared" si="15"/>
        <v>273249.71081082255</v>
      </c>
      <c r="J34" s="180">
        <f t="shared" si="15"/>
        <v>283506.16044322815</v>
      </c>
      <c r="K34" s="188"/>
      <c r="L34" s="188"/>
    </row>
    <row r="35" spans="2:12" ht="15.6">
      <c r="B35" s="169"/>
      <c r="C35" s="110"/>
      <c r="D35" s="110"/>
      <c r="E35" s="110"/>
      <c r="F35" s="110"/>
      <c r="G35" s="110"/>
      <c r="H35" s="110"/>
      <c r="I35" s="110"/>
      <c r="J35" s="170"/>
      <c r="K35" s="110"/>
      <c r="L35" s="110"/>
    </row>
    <row r="36" spans="2:12" ht="15.6">
      <c r="B36" s="171" t="s">
        <v>292</v>
      </c>
      <c r="C36" s="172">
        <f t="shared" ref="C36:J36" si="16">C31-C34</f>
        <v>-101717</v>
      </c>
      <c r="D36" s="172">
        <f t="shared" si="16"/>
        <v>-187157</v>
      </c>
      <c r="E36" s="172">
        <f t="shared" si="16"/>
        <v>-191178</v>
      </c>
      <c r="F36" s="172">
        <f t="shared" si="16"/>
        <v>-231078.09531317835</v>
      </c>
      <c r="G36" s="172">
        <f t="shared" si="16"/>
        <v>-218721.55850337268</v>
      </c>
      <c r="H36" s="172">
        <f t="shared" si="16"/>
        <v>-234378.95255277763</v>
      </c>
      <c r="I36" s="172">
        <f t="shared" si="16"/>
        <v>-235961.64027166035</v>
      </c>
      <c r="J36" s="173">
        <f t="shared" si="16"/>
        <v>-245113.85297632482</v>
      </c>
      <c r="K36" s="182"/>
      <c r="L36" s="182"/>
    </row>
    <row r="37" spans="2:12" ht="16.2" thickBot="1">
      <c r="B37" s="174" t="s">
        <v>293</v>
      </c>
      <c r="C37" s="175"/>
      <c r="D37" s="175">
        <f>D36-C36</f>
        <v>-85440</v>
      </c>
      <c r="E37" s="175">
        <f t="shared" ref="E37:J37" si="17">E36-D36</f>
        <v>-4021</v>
      </c>
      <c r="F37" s="175">
        <f t="shared" si="17"/>
        <v>-39900.095313178346</v>
      </c>
      <c r="G37" s="175">
        <f t="shared" si="17"/>
        <v>12356.536809805664</v>
      </c>
      <c r="H37" s="175">
        <f t="shared" si="17"/>
        <v>-15657.394049404946</v>
      </c>
      <c r="I37" s="175">
        <f t="shared" si="17"/>
        <v>-1582.6877188827202</v>
      </c>
      <c r="J37" s="176">
        <f t="shared" si="17"/>
        <v>-9152.2127046644746</v>
      </c>
      <c r="K37" s="182"/>
      <c r="L37" s="18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E9C2-E675-47BA-9B6A-2E38C125CDB8}">
  <dimension ref="A1:K70"/>
  <sheetViews>
    <sheetView showGridLines="0" zoomScale="96" workbookViewId="0">
      <selection activeCell="H20" sqref="H20"/>
    </sheetView>
  </sheetViews>
  <sheetFormatPr defaultRowHeight="14.4"/>
  <cols>
    <col min="1" max="1" width="70" style="11" customWidth="1"/>
    <col min="2" max="2" width="12.6640625" style="11" bestFit="1" customWidth="1"/>
    <col min="3" max="3" width="12.21875" style="11" customWidth="1"/>
    <col min="4" max="4" width="14" style="11" customWidth="1"/>
    <col min="5" max="5" width="22" style="11" customWidth="1"/>
    <col min="6" max="6" width="9.6640625" bestFit="1" customWidth="1"/>
    <col min="7" max="7" width="9.5546875" bestFit="1" customWidth="1"/>
    <col min="8" max="10" width="9.6640625" bestFit="1" customWidth="1"/>
  </cols>
  <sheetData>
    <row r="1" spans="1:11" ht="30" customHeight="1">
      <c r="A1" s="410" t="s">
        <v>298</v>
      </c>
      <c r="B1" s="410" t="s">
        <v>35</v>
      </c>
      <c r="C1" s="410"/>
      <c r="D1" s="410"/>
      <c r="E1" s="194"/>
    </row>
    <row r="2" spans="1:11" ht="36">
      <c r="A2" s="411"/>
      <c r="B2" s="26" t="s">
        <v>133</v>
      </c>
      <c r="C2" s="26" t="s">
        <v>134</v>
      </c>
      <c r="D2" s="26" t="s">
        <v>135</v>
      </c>
      <c r="E2" s="26" t="s">
        <v>152</v>
      </c>
      <c r="F2" s="26" t="s">
        <v>170</v>
      </c>
      <c r="G2" s="26" t="s">
        <v>171</v>
      </c>
      <c r="H2" s="26" t="s">
        <v>172</v>
      </c>
      <c r="I2" s="26" t="s">
        <v>173</v>
      </c>
      <c r="J2" s="26" t="s">
        <v>174</v>
      </c>
    </row>
    <row r="3" spans="1:11">
      <c r="A3" s="13" t="s">
        <v>103</v>
      </c>
      <c r="B3" s="14" t="s">
        <v>4</v>
      </c>
      <c r="C3" s="14" t="s">
        <v>4</v>
      </c>
      <c r="D3" s="14" t="s">
        <v>4</v>
      </c>
      <c r="E3" s="14" t="s">
        <v>4</v>
      </c>
    </row>
    <row r="4" spans="1:11">
      <c r="A4" s="13" t="s">
        <v>13</v>
      </c>
      <c r="B4" s="17">
        <v>896208</v>
      </c>
      <c r="C4" s="17">
        <v>1023158</v>
      </c>
      <c r="D4" s="17">
        <v>1136267</v>
      </c>
      <c r="E4" s="17">
        <v>1794901</v>
      </c>
    </row>
    <row r="5" spans="1:11" ht="28.8">
      <c r="A5" s="13" t="s">
        <v>102</v>
      </c>
      <c r="B5" s="14" t="s">
        <v>4</v>
      </c>
      <c r="C5" s="14" t="s">
        <v>4</v>
      </c>
      <c r="D5" s="14" t="s">
        <v>4</v>
      </c>
      <c r="E5" s="14" t="s">
        <v>4</v>
      </c>
    </row>
    <row r="6" spans="1:11">
      <c r="A6" s="14" t="s">
        <v>101</v>
      </c>
      <c r="B6" s="15">
        <v>-41764</v>
      </c>
      <c r="C6" s="15">
        <v>-119969</v>
      </c>
      <c r="D6" s="15">
        <v>-337631</v>
      </c>
      <c r="E6" s="15">
        <v>-383688</v>
      </c>
    </row>
    <row r="7" spans="1:11">
      <c r="A7" s="14" t="s">
        <v>100</v>
      </c>
      <c r="B7" s="15">
        <v>7388</v>
      </c>
      <c r="C7" s="15">
        <v>9371</v>
      </c>
      <c r="D7" s="15">
        <v>12986</v>
      </c>
      <c r="E7" s="15">
        <v>11517</v>
      </c>
    </row>
    <row r="8" spans="1:11" ht="15" thickBot="1">
      <c r="A8" s="14" t="s">
        <v>119</v>
      </c>
      <c r="B8" s="15">
        <v>0</v>
      </c>
      <c r="C8" s="15">
        <v>0</v>
      </c>
      <c r="D8" s="15">
        <v>8816</v>
      </c>
      <c r="E8" s="15">
        <v>0</v>
      </c>
    </row>
    <row r="9" spans="1:11">
      <c r="A9" s="441" t="s">
        <v>24</v>
      </c>
      <c r="B9" s="442">
        <v>3731</v>
      </c>
      <c r="C9" s="442">
        <v>3091</v>
      </c>
      <c r="D9" s="442">
        <v>3182</v>
      </c>
      <c r="E9" s="442">
        <f>'Income Statement'!I15</f>
        <v>3616</v>
      </c>
      <c r="F9" s="442">
        <f>-F10*F35</f>
        <v>3489.3746839084752</v>
      </c>
      <c r="G9" s="442">
        <f t="shared" ref="G9:J9" si="0">-G10*G35</f>
        <v>3452.1369308496141</v>
      </c>
      <c r="H9" s="442">
        <f t="shared" si="0"/>
        <v>3274.8339675205207</v>
      </c>
      <c r="I9" s="442">
        <f t="shared" si="0"/>
        <v>3085.3922983822549</v>
      </c>
      <c r="J9" s="443">
        <f t="shared" si="0"/>
        <v>2854.7144374686004</v>
      </c>
    </row>
    <row r="10" spans="1:11" ht="15" thickBot="1">
      <c r="A10" s="444" t="s">
        <v>299</v>
      </c>
      <c r="B10" s="445">
        <f>-B9/B35</f>
        <v>1.3479046242774566</v>
      </c>
      <c r="C10" s="445">
        <f t="shared" ref="C10:D10" si="1">-C9/C35</f>
        <v>1.2339321357285429</v>
      </c>
      <c r="D10" s="445">
        <f t="shared" si="1"/>
        <v>1.6961620469083156</v>
      </c>
      <c r="E10" s="445">
        <f>-E9/E35</f>
        <v>1.4374327163802745</v>
      </c>
      <c r="F10" s="445">
        <v>1.35</v>
      </c>
      <c r="G10" s="445">
        <v>1.3</v>
      </c>
      <c r="H10" s="445">
        <v>1.2</v>
      </c>
      <c r="I10" s="445">
        <v>1.1000000000000001</v>
      </c>
      <c r="J10" s="446">
        <v>0.99</v>
      </c>
      <c r="K10" s="203"/>
    </row>
    <row r="11" spans="1:11">
      <c r="A11" s="14" t="s">
        <v>128</v>
      </c>
      <c r="B11" s="15">
        <v>0</v>
      </c>
      <c r="C11" s="15">
        <v>0</v>
      </c>
      <c r="D11" s="15">
        <v>0</v>
      </c>
      <c r="E11" s="15">
        <v>-4295</v>
      </c>
    </row>
    <row r="12" spans="1:11">
      <c r="A12" s="14" t="s">
        <v>99</v>
      </c>
      <c r="B12" s="15">
        <v>19872</v>
      </c>
      <c r="C12" s="15">
        <v>71452</v>
      </c>
      <c r="D12" s="15">
        <v>32363</v>
      </c>
      <c r="E12" s="15">
        <v>35415</v>
      </c>
    </row>
    <row r="13" spans="1:11">
      <c r="A13" s="14" t="s">
        <v>22</v>
      </c>
      <c r="B13" s="15">
        <v>244517</v>
      </c>
      <c r="C13" s="15">
        <v>-19554</v>
      </c>
      <c r="D13" s="15">
        <v>834494</v>
      </c>
      <c r="E13" s="15">
        <v>166119</v>
      </c>
    </row>
    <row r="14" spans="1:11">
      <c r="A14" s="14" t="s">
        <v>19</v>
      </c>
      <c r="B14" s="15">
        <v>0</v>
      </c>
      <c r="C14" s="15">
        <v>0</v>
      </c>
      <c r="D14" s="15">
        <v>-59769</v>
      </c>
      <c r="E14" s="15">
        <v>-1280</v>
      </c>
    </row>
    <row r="15" spans="1:11">
      <c r="A15" s="14" t="s">
        <v>98</v>
      </c>
      <c r="B15" s="15">
        <v>0</v>
      </c>
      <c r="C15" s="15">
        <v>0</v>
      </c>
      <c r="D15" s="15">
        <v>64808</v>
      </c>
      <c r="E15" s="15">
        <v>3273</v>
      </c>
    </row>
    <row r="16" spans="1:11">
      <c r="A16" s="14" t="s">
        <v>97</v>
      </c>
      <c r="B16" s="15">
        <v>0</v>
      </c>
      <c r="C16" s="15">
        <v>0</v>
      </c>
      <c r="D16" s="15">
        <v>201434</v>
      </c>
      <c r="E16" s="15">
        <v>0</v>
      </c>
    </row>
    <row r="17" spans="1:5">
      <c r="A17" s="14" t="s">
        <v>96</v>
      </c>
      <c r="B17" s="15">
        <v>39059</v>
      </c>
      <c r="C17" s="15">
        <v>15622</v>
      </c>
      <c r="D17" s="15">
        <v>0</v>
      </c>
      <c r="E17" s="15">
        <v>0</v>
      </c>
    </row>
    <row r="18" spans="1:5">
      <c r="A18" s="14" t="s">
        <v>16</v>
      </c>
      <c r="B18" s="15">
        <v>-333352</v>
      </c>
      <c r="C18" s="15">
        <v>0</v>
      </c>
      <c r="D18" s="15">
        <v>0</v>
      </c>
      <c r="E18" s="15">
        <v>0</v>
      </c>
    </row>
    <row r="19" spans="1:5">
      <c r="A19" s="13" t="s">
        <v>95</v>
      </c>
      <c r="B19" s="14" t="s">
        <v>4</v>
      </c>
      <c r="C19" s="14" t="s">
        <v>4</v>
      </c>
      <c r="D19" s="14" t="s">
        <v>4</v>
      </c>
      <c r="E19" s="14" t="s">
        <v>4</v>
      </c>
    </row>
    <row r="20" spans="1:5">
      <c r="A20" s="14" t="s">
        <v>51</v>
      </c>
      <c r="B20" s="15">
        <v>-3065</v>
      </c>
      <c r="C20" s="15">
        <v>830</v>
      </c>
      <c r="D20" s="15">
        <v>-5673</v>
      </c>
      <c r="E20" s="15">
        <v>134</v>
      </c>
    </row>
    <row r="21" spans="1:5">
      <c r="A21" s="14" t="s">
        <v>47</v>
      </c>
      <c r="B21" s="15">
        <v>49588</v>
      </c>
      <c r="C21" s="15">
        <v>-88127</v>
      </c>
      <c r="D21" s="15">
        <v>52261</v>
      </c>
      <c r="E21" s="15">
        <v>-14230</v>
      </c>
    </row>
    <row r="22" spans="1:5">
      <c r="A22" s="14" t="s">
        <v>46</v>
      </c>
      <c r="B22" s="15">
        <v>1458</v>
      </c>
      <c r="C22" s="15">
        <v>476</v>
      </c>
      <c r="D22" s="15">
        <v>-142</v>
      </c>
      <c r="E22" s="15">
        <v>-6061</v>
      </c>
    </row>
    <row r="23" spans="1:5" ht="15" thickBot="1">
      <c r="A23" s="195" t="s">
        <v>94</v>
      </c>
      <c r="B23" s="196">
        <v>883640</v>
      </c>
      <c r="C23" s="196">
        <v>896350</v>
      </c>
      <c r="D23" s="196">
        <v>1943396</v>
      </c>
      <c r="E23" s="196">
        <v>1604517</v>
      </c>
    </row>
    <row r="24" spans="1:5">
      <c r="A24" s="13" t="s">
        <v>93</v>
      </c>
      <c r="B24" s="14" t="s">
        <v>4</v>
      </c>
      <c r="C24" s="14" t="s">
        <v>4</v>
      </c>
      <c r="D24" s="14" t="s">
        <v>4</v>
      </c>
      <c r="E24" s="14" t="s">
        <v>4</v>
      </c>
    </row>
    <row r="25" spans="1:5">
      <c r="A25" s="14" t="s">
        <v>92</v>
      </c>
      <c r="B25" s="15">
        <v>0</v>
      </c>
      <c r="C25" s="15">
        <v>0</v>
      </c>
      <c r="D25" s="15">
        <v>-4574536</v>
      </c>
      <c r="E25" s="14"/>
    </row>
    <row r="26" spans="1:5">
      <c r="A26" s="14" t="s">
        <v>91</v>
      </c>
      <c r="B26" s="15">
        <v>-1407260</v>
      </c>
      <c r="C26" s="15">
        <v>0</v>
      </c>
      <c r="D26" s="15">
        <v>-4017851</v>
      </c>
      <c r="E26" s="15">
        <v>-231215</v>
      </c>
    </row>
    <row r="27" spans="1:5">
      <c r="A27" s="14" t="s">
        <v>90</v>
      </c>
      <c r="B27" s="15">
        <v>-2694503</v>
      </c>
      <c r="C27" s="15">
        <v>-6000</v>
      </c>
      <c r="D27" s="15">
        <v>-296668</v>
      </c>
      <c r="E27" s="15">
        <v>-365827</v>
      </c>
    </row>
    <row r="28" spans="1:5">
      <c r="A28" s="14" t="s">
        <v>89</v>
      </c>
      <c r="B28" s="15">
        <v>-535476</v>
      </c>
      <c r="C28" s="15">
        <v>-33614</v>
      </c>
      <c r="D28" s="15">
        <v>-193733</v>
      </c>
      <c r="E28" s="15">
        <v>-702112</v>
      </c>
    </row>
    <row r="29" spans="1:5">
      <c r="A29" s="14" t="s">
        <v>88</v>
      </c>
      <c r="B29" s="15">
        <v>1961</v>
      </c>
      <c r="C29" s="15">
        <v>543</v>
      </c>
      <c r="D29" s="15">
        <v>0</v>
      </c>
      <c r="E29" s="15"/>
    </row>
    <row r="30" spans="1:5">
      <c r="A30" s="14" t="s">
        <v>87</v>
      </c>
      <c r="B30" s="15">
        <v>0</v>
      </c>
      <c r="C30" s="15">
        <v>70448</v>
      </c>
      <c r="D30" s="15">
        <v>5696</v>
      </c>
      <c r="E30" s="15">
        <v>400250</v>
      </c>
    </row>
    <row r="31" spans="1:5">
      <c r="A31" s="14" t="s">
        <v>86</v>
      </c>
      <c r="B31" s="15">
        <v>-264</v>
      </c>
      <c r="C31" s="15">
        <v>-20697</v>
      </c>
      <c r="D31" s="15">
        <v>-7704</v>
      </c>
      <c r="E31" s="15">
        <v>-759</v>
      </c>
    </row>
    <row r="32" spans="1:5">
      <c r="A32" s="14" t="s">
        <v>85</v>
      </c>
      <c r="B32" s="15">
        <v>-19973</v>
      </c>
      <c r="C32" s="15">
        <v>0</v>
      </c>
      <c r="D32" s="15">
        <v>-306532</v>
      </c>
      <c r="E32" s="15">
        <v>0</v>
      </c>
    </row>
    <row r="33" spans="1:11">
      <c r="A33" s="14" t="s">
        <v>84</v>
      </c>
      <c r="B33" s="15">
        <v>59474</v>
      </c>
      <c r="C33" s="15">
        <v>19973</v>
      </c>
      <c r="D33" s="15">
        <v>89190</v>
      </c>
      <c r="E33" s="15">
        <v>217342</v>
      </c>
    </row>
    <row r="34" spans="1:11" ht="15" thickBot="1">
      <c r="A34" s="14" t="s">
        <v>83</v>
      </c>
      <c r="B34" s="15">
        <v>50050</v>
      </c>
      <c r="C34" s="15">
        <v>13301</v>
      </c>
      <c r="D34" s="15">
        <v>0</v>
      </c>
      <c r="E34" s="15">
        <v>6235</v>
      </c>
    </row>
    <row r="35" spans="1:11">
      <c r="A35" s="441" t="s">
        <v>82</v>
      </c>
      <c r="B35" s="442">
        <v>-2768</v>
      </c>
      <c r="C35" s="442">
        <v>-2505</v>
      </c>
      <c r="D35" s="442">
        <v>-1876</v>
      </c>
      <c r="E35" s="442">
        <f>-E36*'Income Statement'!I10</f>
        <v>-2515.5960058469846</v>
      </c>
      <c r="F35" s="442">
        <f>-F36*'Income Statement'!J10</f>
        <v>-2584.7219880803518</v>
      </c>
      <c r="G35" s="442">
        <f>-G36*'Income Statement'!K10</f>
        <v>-2655.4899468073954</v>
      </c>
      <c r="H35" s="442">
        <f>-H36*'Income Statement'!L10</f>
        <v>-2729.0283062671006</v>
      </c>
      <c r="I35" s="442">
        <f>-I36*'Income Statement'!M10</f>
        <v>-2804.9020894384134</v>
      </c>
      <c r="J35" s="443">
        <f>-J36*'Income Statement'!N10</f>
        <v>-2883.5499368369701</v>
      </c>
    </row>
    <row r="36" spans="1:11" ht="15" thickBot="1">
      <c r="A36" s="449" t="s">
        <v>175</v>
      </c>
      <c r="B36" s="450">
        <f>B35/-'Income Statement'!B10</f>
        <v>2.25853355244155E-3</v>
      </c>
      <c r="C36" s="450">
        <f>C35/-'Income Statement'!C10</f>
        <v>1.6594151439352186E-3</v>
      </c>
      <c r="D36" s="450">
        <f>D35/-'Income Statement'!D10</f>
        <v>7.21345085567446E-4</v>
      </c>
      <c r="E36" s="450">
        <v>6.9999999999999999E-4</v>
      </c>
      <c r="F36" s="450">
        <v>6.9999999999999999E-4</v>
      </c>
      <c r="G36" s="450">
        <v>6.9999999999999999E-4</v>
      </c>
      <c r="H36" s="450">
        <v>6.9999999999999999E-4</v>
      </c>
      <c r="I36" s="450">
        <v>6.9999999999999999E-4</v>
      </c>
      <c r="J36" s="451">
        <v>6.9999999999999999E-4</v>
      </c>
      <c r="K36" s="202"/>
    </row>
    <row r="37" spans="1:11" ht="15" thickBot="1">
      <c r="A37" s="447" t="s">
        <v>81</v>
      </c>
      <c r="B37" s="448">
        <v>-4548759</v>
      </c>
      <c r="C37" s="448">
        <v>41449</v>
      </c>
      <c r="D37" s="448">
        <v>-9304014</v>
      </c>
      <c r="E37" s="448">
        <v>-1944885</v>
      </c>
    </row>
    <row r="38" spans="1:11">
      <c r="A38" s="13" t="s">
        <v>80</v>
      </c>
      <c r="B38" s="14" t="s">
        <v>4</v>
      </c>
      <c r="C38" s="14" t="s">
        <v>4</v>
      </c>
      <c r="D38" s="14" t="s">
        <v>4</v>
      </c>
      <c r="E38" s="14" t="s">
        <v>4</v>
      </c>
    </row>
    <row r="39" spans="1:11">
      <c r="A39" s="14" t="s">
        <v>120</v>
      </c>
      <c r="B39" s="15">
        <v>1539748</v>
      </c>
      <c r="C39" s="15">
        <v>2385779</v>
      </c>
      <c r="D39" s="15">
        <v>3219101</v>
      </c>
      <c r="E39" s="15">
        <v>1672417</v>
      </c>
    </row>
    <row r="40" spans="1:11">
      <c r="A40" s="14" t="s">
        <v>79</v>
      </c>
      <c r="B40" s="15">
        <v>2500000</v>
      </c>
      <c r="C40" s="15">
        <v>0</v>
      </c>
      <c r="D40" s="15">
        <v>5000000</v>
      </c>
      <c r="E40" s="15">
        <v>0</v>
      </c>
    </row>
    <row r="41" spans="1:11">
      <c r="A41" s="14" t="s">
        <v>78</v>
      </c>
      <c r="B41" s="15">
        <v>0</v>
      </c>
      <c r="C41" s="15">
        <v>0</v>
      </c>
      <c r="D41" s="15">
        <v>600000</v>
      </c>
      <c r="E41" s="15">
        <v>408204</v>
      </c>
    </row>
    <row r="42" spans="1:11">
      <c r="A42" s="14" t="s">
        <v>76</v>
      </c>
      <c r="B42" s="15">
        <v>0</v>
      </c>
      <c r="C42" s="15">
        <v>-2100000</v>
      </c>
      <c r="D42" s="15">
        <v>0</v>
      </c>
      <c r="E42" s="15">
        <v>0</v>
      </c>
    </row>
    <row r="43" spans="1:11">
      <c r="A43" s="14" t="s">
        <v>77</v>
      </c>
      <c r="B43" s="15">
        <v>0</v>
      </c>
      <c r="C43" s="15">
        <v>0</v>
      </c>
      <c r="D43" s="15">
        <v>-600000</v>
      </c>
      <c r="E43" s="15">
        <v>-250000</v>
      </c>
    </row>
    <row r="44" spans="1:11">
      <c r="A44" s="14" t="s">
        <v>75</v>
      </c>
      <c r="B44" s="15">
        <v>-537538</v>
      </c>
      <c r="C44" s="15">
        <v>0</v>
      </c>
      <c r="D44" s="15">
        <v>0</v>
      </c>
      <c r="E44" s="15"/>
    </row>
    <row r="45" spans="1:11">
      <c r="A45" s="14" t="s">
        <v>74</v>
      </c>
      <c r="B45" s="15">
        <v>55401</v>
      </c>
      <c r="C45" s="15">
        <v>0</v>
      </c>
      <c r="D45" s="15">
        <v>0</v>
      </c>
      <c r="E45" s="15"/>
    </row>
    <row r="46" spans="1:11">
      <c r="A46" s="14" t="s">
        <v>73</v>
      </c>
      <c r="B46" s="15">
        <v>-207</v>
      </c>
      <c r="C46" s="15">
        <v>-1734</v>
      </c>
      <c r="D46" s="15">
        <v>-6156</v>
      </c>
      <c r="E46" s="15">
        <v>-4966</v>
      </c>
    </row>
    <row r="47" spans="1:11">
      <c r="A47" s="14" t="s">
        <v>72</v>
      </c>
      <c r="B47" s="15">
        <v>-57794</v>
      </c>
      <c r="C47" s="15">
        <v>-31126</v>
      </c>
      <c r="D47" s="15">
        <v>-146189</v>
      </c>
      <c r="E47" s="15">
        <v>0</v>
      </c>
    </row>
    <row r="48" spans="1:11" ht="15" thickBot="1">
      <c r="A48" s="14" t="s">
        <v>71</v>
      </c>
      <c r="B48" s="15">
        <v>-8186</v>
      </c>
      <c r="C48" s="15">
        <v>-8307</v>
      </c>
      <c r="D48" s="15">
        <v>-17702</v>
      </c>
      <c r="E48" s="15">
        <v>-21450</v>
      </c>
    </row>
    <row r="49" spans="1:10">
      <c r="A49" s="441" t="s">
        <v>121</v>
      </c>
      <c r="B49" s="442">
        <v>-612205</v>
      </c>
      <c r="C49" s="442">
        <v>-758790</v>
      </c>
      <c r="D49" s="442">
        <v>-1219117</v>
      </c>
      <c r="E49" s="442">
        <f>-1.66*1000000</f>
        <v>-1660000</v>
      </c>
      <c r="F49" s="442">
        <f>'Rev Build'!G11*-F50</f>
        <v>-1784254.5576998414</v>
      </c>
      <c r="G49" s="442">
        <f>'Rev Build'!H11*-G50</f>
        <v>-1833106.2537352899</v>
      </c>
      <c r="H49" s="442">
        <f>'Rev Build'!I11*-H50</f>
        <v>-1883870.3798721971</v>
      </c>
      <c r="I49" s="442">
        <f>'Rev Build'!J11*-I50</f>
        <v>-1936246.6679440483</v>
      </c>
      <c r="J49" s="443">
        <f>'Rev Build'!K11*-J50</f>
        <v>-1990537.9150573893</v>
      </c>
    </row>
    <row r="50" spans="1:10" ht="15" thickBot="1">
      <c r="A50" s="449" t="s">
        <v>738</v>
      </c>
      <c r="B50" s="454">
        <f>B49/-'Rev Build'!C11</f>
        <v>0.49952512047416148</v>
      </c>
      <c r="C50" s="454">
        <f>C49/-'Rev Build'!D11</f>
        <v>0.50265373934794588</v>
      </c>
      <c r="D50" s="454">
        <f>D49/-'Rev Build'!E11</f>
        <v>0.46876548863631556</v>
      </c>
      <c r="E50" s="454">
        <f>E49/-'Rev Build'!F11</f>
        <v>0.46191836737662584</v>
      </c>
      <c r="F50" s="454">
        <f>AVERAGE(E50,B50:D50)</f>
        <v>0.48321567895876222</v>
      </c>
      <c r="G50" s="454">
        <f>F50</f>
        <v>0.48321567895876222</v>
      </c>
      <c r="H50" s="454">
        <f t="shared" ref="H50:J50" si="2">G50</f>
        <v>0.48321567895876222</v>
      </c>
      <c r="I50" s="454">
        <f t="shared" si="2"/>
        <v>0.48321567895876222</v>
      </c>
      <c r="J50" s="455">
        <f t="shared" si="2"/>
        <v>0.48321567895876222</v>
      </c>
    </row>
    <row r="51" spans="1:10" ht="15" thickBot="1">
      <c r="A51" s="447" t="s">
        <v>70</v>
      </c>
      <c r="B51" s="448">
        <v>2879219</v>
      </c>
      <c r="C51" s="448">
        <v>-514178</v>
      </c>
      <c r="D51" s="448">
        <v>6829937</v>
      </c>
      <c r="E51" s="448">
        <v>642441</v>
      </c>
    </row>
    <row r="52" spans="1:10">
      <c r="A52" s="14" t="s">
        <v>123</v>
      </c>
      <c r="B52" s="40"/>
      <c r="C52" s="40"/>
      <c r="D52" s="40"/>
      <c r="E52" s="15">
        <v>-122</v>
      </c>
    </row>
    <row r="53" spans="1:10">
      <c r="A53" s="14" t="s">
        <v>69</v>
      </c>
      <c r="B53" s="15">
        <v>-785900</v>
      </c>
      <c r="C53" s="15">
        <v>423621</v>
      </c>
      <c r="D53" s="15">
        <v>-530681</v>
      </c>
      <c r="E53" s="15">
        <v>301951</v>
      </c>
    </row>
    <row r="54" spans="1:10">
      <c r="A54" s="14" t="s">
        <v>68</v>
      </c>
      <c r="B54" s="15">
        <v>1101893</v>
      </c>
      <c r="C54" s="15">
        <v>315993</v>
      </c>
      <c r="D54" s="15">
        <v>739614</v>
      </c>
      <c r="E54" s="15">
        <v>208933</v>
      </c>
    </row>
    <row r="55" spans="1:10">
      <c r="A55" s="14" t="s">
        <v>67</v>
      </c>
      <c r="B55" s="15">
        <v>315993</v>
      </c>
      <c r="C55" s="15">
        <v>739614</v>
      </c>
      <c r="D55" s="15">
        <v>208933</v>
      </c>
      <c r="E55" s="15">
        <v>510884</v>
      </c>
    </row>
    <row r="56" spans="1:10">
      <c r="A56" s="13" t="s">
        <v>66</v>
      </c>
      <c r="B56" s="14" t="s">
        <v>4</v>
      </c>
      <c r="C56" s="14" t="s">
        <v>4</v>
      </c>
      <c r="D56" s="14" t="s">
        <v>4</v>
      </c>
      <c r="E56" s="14" t="s">
        <v>4</v>
      </c>
    </row>
    <row r="57" spans="1:10">
      <c r="A57" s="14" t="s">
        <v>65</v>
      </c>
      <c r="B57" s="15">
        <v>262464</v>
      </c>
      <c r="C57" s="15">
        <v>323219</v>
      </c>
      <c r="D57" s="15">
        <v>466806</v>
      </c>
      <c r="E57" s="15">
        <v>563935</v>
      </c>
    </row>
    <row r="58" spans="1:10">
      <c r="A58" s="14" t="s">
        <v>64</v>
      </c>
      <c r="B58" s="15">
        <v>561</v>
      </c>
      <c r="C58" s="15">
        <v>1790</v>
      </c>
      <c r="D58" s="15">
        <v>3024</v>
      </c>
      <c r="E58" s="15">
        <v>4896</v>
      </c>
    </row>
    <row r="59" spans="1:10">
      <c r="A59" s="13" t="s">
        <v>63</v>
      </c>
      <c r="B59" s="14" t="s">
        <v>4</v>
      </c>
      <c r="C59" s="14" t="s">
        <v>4</v>
      </c>
      <c r="D59" s="14" t="s">
        <v>4</v>
      </c>
      <c r="E59" s="14" t="s">
        <v>4</v>
      </c>
    </row>
    <row r="60" spans="1:10">
      <c r="A60" s="14" t="s">
        <v>122</v>
      </c>
      <c r="B60" s="15">
        <v>177894</v>
      </c>
      <c r="C60" s="15">
        <v>226419</v>
      </c>
      <c r="D60" s="15">
        <v>380379</v>
      </c>
      <c r="E60" s="15">
        <v>427060</v>
      </c>
    </row>
    <row r="61" spans="1:10">
      <c r="A61" s="14" t="s">
        <v>62</v>
      </c>
      <c r="B61" s="15">
        <v>0</v>
      </c>
      <c r="C61" s="15">
        <v>43005</v>
      </c>
      <c r="D61" s="15">
        <v>0</v>
      </c>
      <c r="E61" s="15">
        <v>0</v>
      </c>
    </row>
    <row r="62" spans="1:10">
      <c r="A62" s="14" t="s">
        <v>61</v>
      </c>
      <c r="B62" s="15">
        <v>496</v>
      </c>
      <c r="C62" s="15">
        <v>3877</v>
      </c>
      <c r="D62" s="15">
        <v>2526</v>
      </c>
      <c r="E62" s="15">
        <v>4418</v>
      </c>
    </row>
    <row r="63" spans="1:10">
      <c r="A63" s="14" t="s">
        <v>60</v>
      </c>
      <c r="B63" s="15">
        <v>8116</v>
      </c>
      <c r="C63" s="15">
        <v>21139</v>
      </c>
      <c r="D63" s="15">
        <v>189123</v>
      </c>
      <c r="E63" s="15">
        <v>206771</v>
      </c>
    </row>
    <row r="64" spans="1:10">
      <c r="A64" s="14" t="s">
        <v>59</v>
      </c>
      <c r="B64" s="15">
        <v>282054</v>
      </c>
      <c r="C64" s="15">
        <v>0</v>
      </c>
      <c r="D64" s="15">
        <v>541676</v>
      </c>
      <c r="E64" s="15">
        <v>22968</v>
      </c>
    </row>
    <row r="65" spans="1:9" ht="43.2">
      <c r="A65" s="14" t="s">
        <v>58</v>
      </c>
      <c r="B65" s="15">
        <v>1023179</v>
      </c>
      <c r="C65" s="15">
        <v>0</v>
      </c>
      <c r="D65" s="15">
        <v>0</v>
      </c>
      <c r="E65" s="14">
        <v>0</v>
      </c>
    </row>
    <row r="66" spans="1:9" ht="72">
      <c r="A66" s="14" t="s">
        <v>57</v>
      </c>
      <c r="B66" s="12">
        <v>63479</v>
      </c>
      <c r="C66" s="12">
        <v>0</v>
      </c>
      <c r="D66" s="12">
        <v>0</v>
      </c>
      <c r="E66" s="14">
        <v>0</v>
      </c>
      <c r="H66" s="8" t="s">
        <v>129</v>
      </c>
      <c r="I66" s="7">
        <v>0</v>
      </c>
    </row>
    <row r="67" spans="1:9" ht="57.6">
      <c r="E67" s="15"/>
      <c r="H67" s="8" t="s">
        <v>130</v>
      </c>
      <c r="I67" s="8" t="s">
        <v>4</v>
      </c>
    </row>
    <row r="68" spans="1:9" ht="72">
      <c r="E68" s="14" t="s">
        <v>4</v>
      </c>
      <c r="H68" s="9" t="s">
        <v>93</v>
      </c>
      <c r="I68" s="8" t="s">
        <v>4</v>
      </c>
    </row>
    <row r="69" spans="1:9" ht="72">
      <c r="E69" s="14" t="s">
        <v>4</v>
      </c>
      <c r="H69" s="8" t="s">
        <v>129</v>
      </c>
      <c r="I69" s="6">
        <v>-1266905</v>
      </c>
    </row>
    <row r="70" spans="1:9">
      <c r="E70" s="12"/>
    </row>
  </sheetData>
  <mergeCells count="2">
    <mergeCell ref="A1:A2"/>
    <mergeCell ref="B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E9B3-DCA2-424D-A5D2-F0C8428181AB}">
  <dimension ref="A1:V30"/>
  <sheetViews>
    <sheetView showGridLines="0" zoomScale="74" workbookViewId="0">
      <selection activeCell="Y15" sqref="Y15"/>
    </sheetView>
  </sheetViews>
  <sheetFormatPr defaultRowHeight="14.4"/>
  <cols>
    <col min="1" max="1" width="25.77734375" bestFit="1" customWidth="1"/>
    <col min="2" max="2" width="6.77734375" bestFit="1" customWidth="1"/>
    <col min="3" max="3" width="8.5546875" bestFit="1" customWidth="1"/>
    <col min="4" max="4" width="9.88671875" bestFit="1" customWidth="1"/>
    <col min="5" max="6" width="10.88671875" bestFit="1" customWidth="1"/>
    <col min="7" max="7" width="15.88671875" hidden="1" customWidth="1"/>
    <col min="8" max="10" width="10.88671875" hidden="1" customWidth="1"/>
    <col min="11" max="11" width="9.88671875" hidden="1" customWidth="1"/>
    <col min="12" max="12" width="11.5546875" hidden="1" customWidth="1"/>
    <col min="13" max="13" width="12.77734375" hidden="1" customWidth="1"/>
    <col min="14" max="14" width="9.88671875" hidden="1" customWidth="1"/>
    <col min="15" max="15" width="15.77734375" bestFit="1" customWidth="1"/>
    <col min="16" max="16" width="10.109375" customWidth="1"/>
    <col min="17" max="17" width="11.77734375" customWidth="1"/>
    <col min="18" max="18" width="12.21875" customWidth="1"/>
    <col min="19" max="19" width="13.21875" customWidth="1"/>
    <col min="20" max="20" width="10.6640625" customWidth="1"/>
    <col min="21" max="21" width="11.21875" bestFit="1" customWidth="1"/>
  </cols>
  <sheetData>
    <row r="1" spans="1:22" ht="20.399999999999999">
      <c r="A1" s="256" t="s">
        <v>322</v>
      </c>
      <c r="B1" s="257"/>
      <c r="C1" s="257"/>
      <c r="D1" s="257"/>
      <c r="E1" s="257"/>
      <c r="F1" s="257"/>
      <c r="G1" s="257"/>
      <c r="H1" s="257"/>
      <c r="I1" s="257"/>
      <c r="J1" s="257"/>
      <c r="K1" s="258"/>
      <c r="L1" s="257"/>
      <c r="M1" s="257"/>
      <c r="N1" s="375"/>
      <c r="O1" s="257"/>
      <c r="P1" s="257"/>
      <c r="Q1" s="261"/>
      <c r="R1" s="261"/>
      <c r="S1" s="261"/>
      <c r="T1" s="261"/>
      <c r="U1" s="259"/>
    </row>
    <row r="2" spans="1:22" ht="16.8">
      <c r="A2" s="260" t="s">
        <v>310</v>
      </c>
      <c r="B2" s="261"/>
      <c r="C2" s="261"/>
      <c r="D2" s="261"/>
      <c r="E2" s="261"/>
      <c r="F2" s="261"/>
      <c r="G2" s="261"/>
      <c r="H2" s="261"/>
      <c r="I2" s="261"/>
      <c r="J2" s="261"/>
      <c r="K2" s="262"/>
      <c r="L2" s="261"/>
      <c r="M2" s="261"/>
      <c r="N2" s="376"/>
      <c r="O2" s="261"/>
      <c r="P2" s="261"/>
      <c r="Q2" s="261"/>
      <c r="R2" s="261"/>
      <c r="S2" s="261"/>
      <c r="T2" s="261"/>
      <c r="U2" s="261"/>
    </row>
    <row r="3" spans="1:22">
      <c r="A3" s="358" t="s">
        <v>387</v>
      </c>
      <c r="B3" s="359" t="s">
        <v>311</v>
      </c>
      <c r="C3" s="359" t="s">
        <v>466</v>
      </c>
      <c r="D3" s="359" t="s">
        <v>469</v>
      </c>
      <c r="E3" s="359" t="s">
        <v>467</v>
      </c>
      <c r="F3" s="452" t="s">
        <v>312</v>
      </c>
      <c r="G3" s="359" t="s">
        <v>386</v>
      </c>
      <c r="H3" s="359" t="s">
        <v>447</v>
      </c>
      <c r="I3" s="359" t="s">
        <v>448</v>
      </c>
      <c r="J3" s="359" t="s">
        <v>449</v>
      </c>
      <c r="K3" s="359" t="s">
        <v>450</v>
      </c>
      <c r="L3" s="359" t="s">
        <v>451</v>
      </c>
      <c r="M3" s="359" t="s">
        <v>452</v>
      </c>
      <c r="N3" s="377" t="s">
        <v>453</v>
      </c>
      <c r="O3" s="359" t="s">
        <v>321</v>
      </c>
      <c r="P3" s="359" t="s">
        <v>313</v>
      </c>
      <c r="Q3" s="359" t="s">
        <v>470</v>
      </c>
      <c r="R3" s="359" t="s">
        <v>206</v>
      </c>
      <c r="S3" s="359" t="s">
        <v>314</v>
      </c>
      <c r="T3" s="359" t="s">
        <v>325</v>
      </c>
      <c r="U3" s="360" t="s">
        <v>471</v>
      </c>
      <c r="V3" s="373"/>
    </row>
    <row r="4" spans="1:22" ht="15" thickBot="1">
      <c r="A4" s="361" t="s">
        <v>454</v>
      </c>
      <c r="B4" s="352" t="s">
        <v>459</v>
      </c>
      <c r="C4" s="353">
        <v>29.75</v>
      </c>
      <c r="D4" s="354">
        <v>1034.5319999999999</v>
      </c>
      <c r="E4" s="354">
        <f>C4*D4</f>
        <v>30777.326999999997</v>
      </c>
      <c r="F4" s="355">
        <v>47690.108999999997</v>
      </c>
      <c r="G4" s="354" t="s">
        <v>460</v>
      </c>
      <c r="H4" s="354">
        <v>16708.1728</v>
      </c>
      <c r="I4" s="354">
        <v>42832.150527999998</v>
      </c>
      <c r="J4" s="354">
        <v>18296.467455999998</v>
      </c>
      <c r="K4" s="354">
        <v>3147.297024</v>
      </c>
      <c r="L4" s="354">
        <v>3202.4859999999999</v>
      </c>
      <c r="M4" s="354">
        <v>3450.029</v>
      </c>
      <c r="N4" s="355">
        <v>2389.7820160000001</v>
      </c>
      <c r="O4" s="356">
        <v>12.79</v>
      </c>
      <c r="P4" s="357">
        <f>(I4-J4)/D4</f>
        <v>23.716698054772593</v>
      </c>
      <c r="Q4" s="357">
        <f>F4/M4</f>
        <v>13.823103805794096</v>
      </c>
      <c r="R4" s="357">
        <f>F4/K4</f>
        <v>15.152719503858304</v>
      </c>
      <c r="S4" s="357">
        <f>F4/K4</f>
        <v>15.152719503858304</v>
      </c>
      <c r="T4" s="357">
        <f>E4/N4</f>
        <v>12.878717303059659</v>
      </c>
      <c r="U4" s="362">
        <f>H4/L4</f>
        <v>5.2172508482472679</v>
      </c>
    </row>
    <row r="5" spans="1:22">
      <c r="A5" s="363" t="s">
        <v>468</v>
      </c>
      <c r="B5" s="348" t="s">
        <v>461</v>
      </c>
      <c r="C5" s="364">
        <v>45.474998474121094</v>
      </c>
      <c r="D5" s="365">
        <v>267.01569999999998</v>
      </c>
      <c r="E5" s="365">
        <f t="shared" ref="E5:E8" si="0">C5*D5</f>
        <v>12142.538550066374</v>
      </c>
      <c r="F5" s="351">
        <v>18600.703999999998</v>
      </c>
      <c r="G5" s="365">
        <v>924.36299999999994</v>
      </c>
      <c r="H5" s="365">
        <v>6497.7177600000005</v>
      </c>
      <c r="I5" s="365">
        <v>11235.620864</v>
      </c>
      <c r="J5" s="365">
        <v>6925.4108159999996</v>
      </c>
      <c r="K5" s="365">
        <v>1048.884</v>
      </c>
      <c r="L5" s="365">
        <v>1468.87</v>
      </c>
      <c r="M5" s="365">
        <v>1407.751</v>
      </c>
      <c r="N5" s="351">
        <v>992.41300799999999</v>
      </c>
      <c r="O5" s="366">
        <v>16.679060143800967</v>
      </c>
      <c r="P5" s="366">
        <f t="shared" ref="P5:P8" si="1">(I5-J5)/D5</f>
        <v>16.142159610839368</v>
      </c>
      <c r="Q5" s="366">
        <f t="shared" ref="Q5:Q8" si="2">F5/M5</f>
        <v>13.213063958043715</v>
      </c>
      <c r="R5" s="366">
        <f t="shared" ref="R5:R8" si="3">F5/K5</f>
        <v>17.733804691462542</v>
      </c>
      <c r="S5" s="366">
        <f>F5/K5</f>
        <v>17.733804691462542</v>
      </c>
      <c r="T5" s="366">
        <f>E5/N5</f>
        <v>12.235368190645859</v>
      </c>
      <c r="U5" s="264">
        <f t="shared" ref="U5:U8" si="4">H5/L5</f>
        <v>4.4236166304710434</v>
      </c>
    </row>
    <row r="6" spans="1:22">
      <c r="A6" s="363" t="s">
        <v>456</v>
      </c>
      <c r="B6" s="348" t="s">
        <v>463</v>
      </c>
      <c r="C6" s="364">
        <v>39.659999847412109</v>
      </c>
      <c r="D6" s="365">
        <v>182.47489999999999</v>
      </c>
      <c r="E6" s="365">
        <f t="shared" si="0"/>
        <v>7236.9545061565395</v>
      </c>
      <c r="F6" s="351">
        <v>11682.42</v>
      </c>
      <c r="G6" s="365">
        <v>592.52800000000002</v>
      </c>
      <c r="H6" s="365">
        <v>4360.5442560000001</v>
      </c>
      <c r="I6" s="365">
        <v>8661.9678719999993</v>
      </c>
      <c r="J6" s="365">
        <v>4504.5109759999996</v>
      </c>
      <c r="K6" s="365">
        <v>507.61900000000003</v>
      </c>
      <c r="L6" s="365">
        <v>705.048</v>
      </c>
      <c r="M6" s="365">
        <v>828.11099999999988</v>
      </c>
      <c r="N6" s="351">
        <v>589.07399999999996</v>
      </c>
      <c r="O6" s="366">
        <v>20.717138122779108</v>
      </c>
      <c r="P6" s="366">
        <f t="shared" si="1"/>
        <v>22.783719273171268</v>
      </c>
      <c r="Q6" s="366">
        <f t="shared" si="2"/>
        <v>14.107311700967626</v>
      </c>
      <c r="R6" s="366">
        <f t="shared" si="3"/>
        <v>23.014150376561947</v>
      </c>
      <c r="S6" s="366">
        <f t="shared" ref="S6:S8" si="5">F6/K6</f>
        <v>23.014150376561947</v>
      </c>
      <c r="T6" s="366">
        <f t="shared" ref="T6:T8" si="6">E6/N6</f>
        <v>12.285306270785233</v>
      </c>
      <c r="U6" s="264">
        <f t="shared" si="4"/>
        <v>6.1847480682166323</v>
      </c>
    </row>
    <row r="7" spans="1:22">
      <c r="A7" s="363" t="s">
        <v>457</v>
      </c>
      <c r="B7" s="348" t="s">
        <v>464</v>
      </c>
      <c r="C7" s="364">
        <v>24.649999618530273</v>
      </c>
      <c r="D7" s="365">
        <v>156.02419999999998</v>
      </c>
      <c r="E7" s="365">
        <f t="shared" si="0"/>
        <v>3845.9964704814906</v>
      </c>
      <c r="F7" s="351">
        <v>5493.527</v>
      </c>
      <c r="G7" s="365">
        <v>212.71799999999999</v>
      </c>
      <c r="H7" s="365">
        <v>1592.861056</v>
      </c>
      <c r="I7" s="365">
        <v>4512.1812479999999</v>
      </c>
      <c r="J7" s="365">
        <v>1674.39104</v>
      </c>
      <c r="K7" s="365">
        <v>192.12299999999999</v>
      </c>
      <c r="L7" s="365">
        <v>273.99700000000001</v>
      </c>
      <c r="M7" s="365">
        <v>336.13600000000002</v>
      </c>
      <c r="N7" s="351">
        <v>255.845</v>
      </c>
      <c r="O7" s="366">
        <v>23.649291999809225</v>
      </c>
      <c r="P7" s="366">
        <f t="shared" si="1"/>
        <v>18.188141378068277</v>
      </c>
      <c r="Q7" s="366">
        <f t="shared" si="2"/>
        <v>16.343167646428824</v>
      </c>
      <c r="R7" s="366">
        <f t="shared" si="3"/>
        <v>28.593801887332596</v>
      </c>
      <c r="S7" s="366">
        <f t="shared" si="5"/>
        <v>28.593801887332596</v>
      </c>
      <c r="T7" s="366">
        <f t="shared" si="6"/>
        <v>15.03252543720413</v>
      </c>
      <c r="U7" s="264">
        <f t="shared" si="4"/>
        <v>5.8134251688887097</v>
      </c>
    </row>
    <row r="8" spans="1:22" ht="15" thickBot="1">
      <c r="A8" s="367" t="s">
        <v>458</v>
      </c>
      <c r="B8" s="368" t="s">
        <v>465</v>
      </c>
      <c r="C8" s="369">
        <v>57.044998168945313</v>
      </c>
      <c r="D8" s="370">
        <v>218.67239999999998</v>
      </c>
      <c r="E8" s="370">
        <f t="shared" si="0"/>
        <v>12474.166657598877</v>
      </c>
      <c r="F8" s="371">
        <v>20060.965</v>
      </c>
      <c r="G8" s="370">
        <v>1118.2670000000001</v>
      </c>
      <c r="H8" s="370">
        <v>8282.9148160000004</v>
      </c>
      <c r="I8" s="370">
        <v>17976.782847999999</v>
      </c>
      <c r="J8" s="370">
        <v>9269.7855999999992</v>
      </c>
      <c r="K8" s="370">
        <v>723.35100799999998</v>
      </c>
      <c r="L8" s="370">
        <v>1092.8980000000001</v>
      </c>
      <c r="M8" s="370">
        <v>1741.3579999999999</v>
      </c>
      <c r="N8" s="371">
        <v>1061.226032</v>
      </c>
      <c r="O8" s="265">
        <v>25.311901168319512</v>
      </c>
      <c r="P8" s="265">
        <f t="shared" si="1"/>
        <v>39.817540979108479</v>
      </c>
      <c r="Q8" s="265">
        <f t="shared" si="2"/>
        <v>11.520299099897896</v>
      </c>
      <c r="R8" s="265">
        <f t="shared" si="3"/>
        <v>27.733375329726506</v>
      </c>
      <c r="S8" s="265">
        <f t="shared" si="5"/>
        <v>27.733375329726506</v>
      </c>
      <c r="T8" s="265">
        <f t="shared" si="6"/>
        <v>11.754486114602658</v>
      </c>
      <c r="U8" s="372">
        <f t="shared" si="4"/>
        <v>7.5788543999531512</v>
      </c>
    </row>
    <row r="9" spans="1:22">
      <c r="A9" s="348"/>
      <c r="B9" s="348"/>
      <c r="C9" s="349"/>
      <c r="D9" s="349"/>
      <c r="E9" s="350"/>
      <c r="F9" s="349"/>
      <c r="G9" s="349"/>
      <c r="H9" s="349"/>
      <c r="I9" s="350"/>
      <c r="J9" s="350"/>
      <c r="K9" s="350"/>
      <c r="L9" s="349"/>
      <c r="M9" s="350"/>
      <c r="N9" s="350"/>
      <c r="O9" s="374"/>
      <c r="P9" s="347"/>
    </row>
    <row r="10" spans="1:22" ht="15" thickBot="1"/>
    <row r="11" spans="1:22" ht="15" thickBot="1">
      <c r="G11" s="421" t="s">
        <v>483</v>
      </c>
      <c r="H11" s="422">
        <f>'Income Statement'!H45</f>
        <v>2.3466666666666667</v>
      </c>
      <c r="N11" s="124"/>
      <c r="O11" s="122" t="str">
        <f t="shared" ref="O11:U11" si="7">O3</f>
        <v>P/E</v>
      </c>
      <c r="P11" s="122" t="str">
        <f t="shared" si="7"/>
        <v>NAV</v>
      </c>
      <c r="Q11" s="122" t="str">
        <f t="shared" si="7"/>
        <v>EV/Rev</v>
      </c>
      <c r="R11" s="122" t="str">
        <f t="shared" si="7"/>
        <v>EV/EBIT</v>
      </c>
      <c r="S11" s="122" t="str">
        <f t="shared" si="7"/>
        <v>EV/EBITDA</v>
      </c>
      <c r="T11" s="122" t="str">
        <f t="shared" si="7"/>
        <v>P/FFO</v>
      </c>
      <c r="U11" s="381" t="str">
        <f t="shared" si="7"/>
        <v>Debt/EBITDA</v>
      </c>
    </row>
    <row r="12" spans="1:22">
      <c r="F12" s="266" t="s">
        <v>315</v>
      </c>
      <c r="N12" s="266" t="s">
        <v>315</v>
      </c>
      <c r="O12" s="366">
        <f t="shared" ref="O12:U12" si="8">MIN(O5:O8)</f>
        <v>16.679060143800967</v>
      </c>
      <c r="P12" s="366">
        <f t="shared" si="8"/>
        <v>16.142159610839368</v>
      </c>
      <c r="Q12" s="366">
        <f t="shared" si="8"/>
        <v>11.520299099897896</v>
      </c>
      <c r="R12" s="366">
        <f t="shared" si="8"/>
        <v>17.733804691462542</v>
      </c>
      <c r="S12" s="366">
        <f t="shared" si="8"/>
        <v>17.733804691462542</v>
      </c>
      <c r="T12" s="366">
        <f t="shared" si="8"/>
        <v>11.754486114602658</v>
      </c>
      <c r="U12" s="269">
        <f t="shared" si="8"/>
        <v>4.4236166304710434</v>
      </c>
    </row>
    <row r="13" spans="1:22">
      <c r="F13" s="268" t="s">
        <v>316</v>
      </c>
      <c r="N13" s="268" t="s">
        <v>316</v>
      </c>
      <c r="O13" s="366">
        <f t="shared" ref="O13:U13" si="9">_xlfn.QUARTILE.INC(O5:O8,1)</f>
        <v>19.707618628034574</v>
      </c>
      <c r="P13" s="366">
        <f t="shared" si="9"/>
        <v>17.67664593626105</v>
      </c>
      <c r="Q13" s="366">
        <f t="shared" si="9"/>
        <v>12.78987274350726</v>
      </c>
      <c r="R13" s="366">
        <f t="shared" si="9"/>
        <v>21.694063955287096</v>
      </c>
      <c r="S13" s="366">
        <f t="shared" si="9"/>
        <v>21.694063955287096</v>
      </c>
      <c r="T13" s="366">
        <f t="shared" si="9"/>
        <v>12.115147671635059</v>
      </c>
      <c r="U13" s="269">
        <f t="shared" si="9"/>
        <v>5.4659730342842927</v>
      </c>
    </row>
    <row r="14" spans="1:22">
      <c r="F14" s="268" t="s">
        <v>317</v>
      </c>
      <c r="N14" s="268" t="s">
        <v>317</v>
      </c>
      <c r="O14" s="366">
        <f t="shared" ref="O14:U14" si="10">MEDIAN(O5:O8)</f>
        <v>22.183215061294167</v>
      </c>
      <c r="P14" s="366">
        <f t="shared" si="10"/>
        <v>20.485930325619773</v>
      </c>
      <c r="Q14" s="366">
        <f t="shared" si="10"/>
        <v>13.66018782950567</v>
      </c>
      <c r="R14" s="366">
        <f t="shared" si="10"/>
        <v>25.373762853144228</v>
      </c>
      <c r="S14" s="366">
        <f t="shared" si="10"/>
        <v>25.373762853144228</v>
      </c>
      <c r="T14" s="366">
        <f t="shared" si="10"/>
        <v>12.260337230715546</v>
      </c>
      <c r="U14" s="269">
        <f t="shared" si="10"/>
        <v>5.9990866185526706</v>
      </c>
    </row>
    <row r="15" spans="1:22">
      <c r="F15" s="268" t="s">
        <v>318</v>
      </c>
      <c r="N15" s="268" t="s">
        <v>318</v>
      </c>
      <c r="O15" s="366">
        <f t="shared" ref="O15:U15" si="11">_xlfn.QUARTILE.INC(O5:O8,3)</f>
        <v>24.064944291936797</v>
      </c>
      <c r="P15" s="366">
        <f t="shared" si="11"/>
        <v>27.042174699655572</v>
      </c>
      <c r="Q15" s="366">
        <f t="shared" si="11"/>
        <v>14.666275687332925</v>
      </c>
      <c r="R15" s="366">
        <f t="shared" si="11"/>
        <v>27.948481969128029</v>
      </c>
      <c r="S15" s="366">
        <f t="shared" si="11"/>
        <v>27.948481969128029</v>
      </c>
      <c r="T15" s="366">
        <f t="shared" si="11"/>
        <v>12.972111062389956</v>
      </c>
      <c r="U15" s="269">
        <f t="shared" si="11"/>
        <v>6.5332746511507622</v>
      </c>
    </row>
    <row r="16" spans="1:22">
      <c r="F16" s="268" t="s">
        <v>319</v>
      </c>
      <c r="N16" s="268" t="s">
        <v>319</v>
      </c>
      <c r="O16" s="389">
        <f t="shared" ref="O16:U16" si="12">MAX(O5:O8)</f>
        <v>25.311901168319512</v>
      </c>
      <c r="P16" s="366">
        <f t="shared" si="12"/>
        <v>39.817540979108479</v>
      </c>
      <c r="Q16" s="366">
        <f t="shared" si="12"/>
        <v>16.343167646428824</v>
      </c>
      <c r="R16" s="366">
        <f t="shared" si="12"/>
        <v>28.593801887332596</v>
      </c>
      <c r="S16" s="366">
        <f t="shared" si="12"/>
        <v>28.593801887332596</v>
      </c>
      <c r="T16" s="366">
        <f t="shared" si="12"/>
        <v>15.03252543720413</v>
      </c>
      <c r="U16" s="269">
        <f t="shared" si="12"/>
        <v>7.5788543999531512</v>
      </c>
    </row>
    <row r="17" spans="1:21">
      <c r="F17" s="270" t="s">
        <v>320</v>
      </c>
      <c r="N17" s="270" t="s">
        <v>320</v>
      </c>
      <c r="O17" s="386">
        <f t="shared" ref="O17:U17" si="13">AVERAGE(O5:O8)</f>
        <v>21.589347858677201</v>
      </c>
      <c r="P17" s="378">
        <f t="shared" si="13"/>
        <v>24.232890310296845</v>
      </c>
      <c r="Q17" s="378">
        <f t="shared" si="13"/>
        <v>13.795960601334516</v>
      </c>
      <c r="R17" s="378">
        <f t="shared" si="13"/>
        <v>24.268783071270896</v>
      </c>
      <c r="S17" s="378">
        <f t="shared" si="13"/>
        <v>24.268783071270896</v>
      </c>
      <c r="T17" s="378">
        <f t="shared" si="13"/>
        <v>12.826921503309469</v>
      </c>
      <c r="U17" s="384">
        <f t="shared" si="13"/>
        <v>6.0001610668823844</v>
      </c>
    </row>
    <row r="19" spans="1:21">
      <c r="O19" s="122" t="s">
        <v>321</v>
      </c>
      <c r="Q19" s="385" t="str">
        <f>Q11</f>
        <v>EV/Rev</v>
      </c>
      <c r="R19" s="122" t="str">
        <f>R11</f>
        <v>EV/EBIT</v>
      </c>
      <c r="S19" s="122" t="str">
        <f>S11</f>
        <v>EV/EBITDA</v>
      </c>
      <c r="T19" s="381" t="str">
        <f t="shared" ref="T19" si="14">T11</f>
        <v>P/FFO</v>
      </c>
    </row>
    <row r="20" spans="1:21">
      <c r="F20" s="266" t="s">
        <v>315</v>
      </c>
      <c r="N20" s="266" t="s">
        <v>315</v>
      </c>
      <c r="O20" s="150">
        <f>O12*$H$11*'Income Statement'!$G$49</f>
        <v>39672095623.174248</v>
      </c>
      <c r="P20" s="267"/>
      <c r="Q20" s="267">
        <f>Q12*$M$4</f>
        <v>39745.365983321637</v>
      </c>
      <c r="R20" s="267">
        <f>R12*$K$4</f>
        <v>55813.550729637296</v>
      </c>
      <c r="S20" s="267">
        <f>S12*$L$4</f>
        <v>56792.261251143107</v>
      </c>
      <c r="T20" s="272">
        <f>$N$4*T12</f>
        <v>28090.659523999147</v>
      </c>
    </row>
    <row r="21" spans="1:21">
      <c r="F21" s="268" t="s">
        <v>316</v>
      </c>
      <c r="N21" s="268" t="s">
        <v>316</v>
      </c>
      <c r="O21" s="150">
        <f>O13*$H$11*'Income Statement'!$G$49</f>
        <v>46875694671.981956</v>
      </c>
      <c r="P21" s="150"/>
      <c r="Q21" s="150">
        <f t="shared" ref="Q21:Q25" si="15">Q13*$M$4</f>
        <v>44125.431871409608</v>
      </c>
      <c r="R21" s="150">
        <f t="shared" ref="R21:R25" si="16">R13*$K$4</f>
        <v>68277.662924940742</v>
      </c>
      <c r="S21" s="150">
        <f t="shared" ref="S21:S25" si="17">S13*$L$4</f>
        <v>69474.936099911545</v>
      </c>
      <c r="T21" s="382">
        <f t="shared" ref="T21:T24" si="18">$N$4*T13</f>
        <v>28952.56202685774</v>
      </c>
    </row>
    <row r="22" spans="1:21">
      <c r="F22" s="268" t="s">
        <v>317</v>
      </c>
      <c r="N22" s="268" t="s">
        <v>317</v>
      </c>
      <c r="O22" s="150">
        <f>O14*$H$11*'Income Statement'!$G$49</f>
        <v>52764041951.619637</v>
      </c>
      <c r="P22" s="150"/>
      <c r="Q22" s="150">
        <f t="shared" si="15"/>
        <v>47128.044157241617</v>
      </c>
      <c r="R22" s="150">
        <f t="shared" si="16"/>
        <v>79858.768315382578</v>
      </c>
      <c r="S22" s="150">
        <f t="shared" si="17"/>
        <v>81259.12030451445</v>
      </c>
      <c r="T22" s="382">
        <f t="shared" si="18"/>
        <v>29299.533424059257</v>
      </c>
    </row>
    <row r="23" spans="1:21">
      <c r="F23" s="268" t="s">
        <v>318</v>
      </c>
      <c r="N23" s="268" t="s">
        <v>318</v>
      </c>
      <c r="O23" s="150">
        <f>O15*$H$11*'Income Statement'!$G$49</f>
        <v>57239842226.416428</v>
      </c>
      <c r="P23" s="150"/>
      <c r="Q23" s="150">
        <f t="shared" si="15"/>
        <v>50599.076443293525</v>
      </c>
      <c r="R23" s="150">
        <f t="shared" si="16"/>
        <v>87962.174126754297</v>
      </c>
      <c r="S23" s="150">
        <f t="shared" si="17"/>
        <v>89504.622227384942</v>
      </c>
      <c r="T23" s="382">
        <f t="shared" si="18"/>
        <v>31000.517726454174</v>
      </c>
    </row>
    <row r="24" spans="1:21">
      <c r="F24" s="268" t="s">
        <v>319</v>
      </c>
      <c r="N24" s="268" t="s">
        <v>319</v>
      </c>
      <c r="O24" s="150">
        <f>O16*$H$11*'Income Statement'!$G$49</f>
        <v>60205800260.701454</v>
      </c>
      <c r="P24" s="150"/>
      <c r="Q24" s="150">
        <f t="shared" si="15"/>
        <v>56384.402332041194</v>
      </c>
      <c r="R24" s="150">
        <f t="shared" si="16"/>
        <v>89993.187584847459</v>
      </c>
      <c r="S24" s="150">
        <f t="shared" si="17"/>
        <v>91571.250230956211</v>
      </c>
      <c r="T24" s="382">
        <f t="shared" si="18"/>
        <v>35924.458944892969</v>
      </c>
    </row>
    <row r="25" spans="1:21">
      <c r="F25" s="270" t="s">
        <v>320</v>
      </c>
      <c r="N25" s="270" t="s">
        <v>320</v>
      </c>
      <c r="O25" s="379">
        <f>O17*$H$11*'Income Statement'!$G$49</f>
        <v>51351494946.77874</v>
      </c>
      <c r="P25" s="271"/>
      <c r="Q25" s="380">
        <f t="shared" si="15"/>
        <v>47596.464157461516</v>
      </c>
      <c r="R25" s="380">
        <f t="shared" si="16"/>
        <v>76381.068736312474</v>
      </c>
      <c r="S25" s="380">
        <f t="shared" si="17"/>
        <v>77720.438022782037</v>
      </c>
      <c r="T25" s="383">
        <f>$N$4*T17</f>
        <v>30653.546329252655</v>
      </c>
    </row>
    <row r="30" spans="1:21">
      <c r="A30" s="363" t="s">
        <v>455</v>
      </c>
      <c r="B30" s="348" t="s">
        <v>462</v>
      </c>
      <c r="C30" s="364">
        <v>52.590000152587891</v>
      </c>
      <c r="D30" s="365">
        <v>831.7867</v>
      </c>
      <c r="E30" s="365">
        <f t="shared" ref="E30" si="19">C30*D30</f>
        <v>43743.662679920577</v>
      </c>
      <c r="F30" s="365">
        <v>65365.481</v>
      </c>
      <c r="G30" s="365">
        <v>2485.79</v>
      </c>
      <c r="H30" s="365">
        <v>20921.972736</v>
      </c>
      <c r="I30" s="365">
        <v>55336.919040000001</v>
      </c>
      <c r="J30" s="365">
        <v>23513.501695999999</v>
      </c>
      <c r="K30" s="365">
        <v>1510.930016</v>
      </c>
      <c r="L30" s="365">
        <v>3414.1210000000001</v>
      </c>
      <c r="M30" s="365">
        <v>3891.3580000000002</v>
      </c>
      <c r="N30" s="351">
        <v>2775.6760960000001</v>
      </c>
      <c r="O30" s="366">
        <v>38.022894713283627</v>
      </c>
      <c r="P30" s="366">
        <f t="shared" ref="P30" si="20">(I30-J30)/D30</f>
        <v>38.259108187231178</v>
      </c>
      <c r="Q30" s="366">
        <f t="shared" ref="Q30" si="21">F30/M30</f>
        <v>16.79760150569544</v>
      </c>
      <c r="R30" s="366">
        <f t="shared" ref="R30" si="22">F30/K30</f>
        <v>43.261752899083312</v>
      </c>
      <c r="S30" s="366">
        <f t="shared" ref="S30" si="23">F30/K30</f>
        <v>43.261752899083312</v>
      </c>
      <c r="T30" s="366">
        <f t="shared" ref="T30" si="24">E30/N30</f>
        <v>15.759642395940631</v>
      </c>
      <c r="U30" s="264">
        <f t="shared" ref="U30" si="25">H30/L30</f>
        <v>6.1280700760166376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74447-C980-4D50-ACE2-1866547364B8}">
  <dimension ref="B1:O86"/>
  <sheetViews>
    <sheetView showGridLines="0" topLeftCell="A49" zoomScale="74" zoomScaleNormal="85" workbookViewId="0">
      <selection activeCell="C7" sqref="C7"/>
    </sheetView>
  </sheetViews>
  <sheetFormatPr defaultRowHeight="14.4"/>
  <cols>
    <col min="2" max="2" width="33.109375" bestFit="1" customWidth="1"/>
    <col min="3" max="3" width="14.109375" bestFit="1" customWidth="1"/>
    <col min="4" max="4" width="13.21875" bestFit="1" customWidth="1"/>
    <col min="5" max="5" width="25.44140625" bestFit="1" customWidth="1"/>
    <col min="6" max="6" width="14.109375" bestFit="1" customWidth="1"/>
    <col min="7" max="7" width="13.21875" bestFit="1" customWidth="1"/>
    <col min="8" max="8" width="25.44140625" bestFit="1" customWidth="1"/>
    <col min="9" max="9" width="11.33203125" bestFit="1" customWidth="1"/>
    <col min="11" max="11" width="13.33203125" bestFit="1" customWidth="1"/>
    <col min="12" max="12" width="17.33203125" bestFit="1" customWidth="1"/>
    <col min="13" max="13" width="13.33203125" bestFit="1" customWidth="1"/>
    <col min="14" max="14" width="19.88671875" bestFit="1" customWidth="1"/>
    <col min="15" max="15" width="12" bestFit="1" customWidth="1"/>
  </cols>
  <sheetData>
    <row r="1" spans="2:15" ht="15" thickBot="1"/>
    <row r="2" spans="2:15" ht="23.4">
      <c r="B2" s="74" t="s">
        <v>216</v>
      </c>
      <c r="C2" s="204"/>
      <c r="D2" s="204"/>
      <c r="E2" s="204"/>
      <c r="F2" s="204"/>
      <c r="G2" s="204"/>
      <c r="H2" s="205"/>
      <c r="I2" s="104"/>
      <c r="J2" s="105"/>
      <c r="K2" s="106"/>
      <c r="L2" s="107"/>
      <c r="M2" s="107"/>
      <c r="N2" s="107"/>
    </row>
    <row r="3" spans="2:15" ht="16.2" thickBot="1">
      <c r="B3" s="206" t="s">
        <v>196</v>
      </c>
      <c r="C3" s="316"/>
      <c r="D3" s="316"/>
      <c r="E3" s="316"/>
      <c r="F3" s="316"/>
      <c r="G3" s="316"/>
      <c r="H3" s="207"/>
      <c r="I3" s="104"/>
      <c r="J3" s="105"/>
      <c r="K3" s="108"/>
      <c r="L3" s="107"/>
      <c r="M3" s="107"/>
      <c r="N3" s="107"/>
    </row>
    <row r="4" spans="2:15" ht="20.399999999999999">
      <c r="B4" s="208"/>
      <c r="C4" s="109"/>
      <c r="D4" s="109"/>
      <c r="E4" s="109"/>
      <c r="F4" s="109"/>
      <c r="G4" s="109"/>
      <c r="H4" s="209"/>
      <c r="I4" s="109"/>
      <c r="J4" s="110"/>
      <c r="K4" s="74" t="s">
        <v>194</v>
      </c>
      <c r="L4" s="111"/>
      <c r="M4" s="111"/>
      <c r="N4" s="112"/>
    </row>
    <row r="5" spans="2:15" ht="16.8">
      <c r="B5" s="210" t="s">
        <v>217</v>
      </c>
      <c r="C5" s="387">
        <v>2023</v>
      </c>
      <c r="D5" s="317" t="s">
        <v>146</v>
      </c>
      <c r="E5" s="317" t="s">
        <v>147</v>
      </c>
      <c r="F5" s="317" t="s">
        <v>148</v>
      </c>
      <c r="G5" s="317" t="s">
        <v>149</v>
      </c>
      <c r="H5" s="211" t="s">
        <v>218</v>
      </c>
      <c r="I5" s="109"/>
      <c r="J5" s="110"/>
      <c r="K5" s="76" t="s">
        <v>198</v>
      </c>
      <c r="L5" s="113"/>
      <c r="M5" s="113"/>
      <c r="N5" s="114"/>
    </row>
    <row r="6" spans="2:15" ht="15.6">
      <c r="B6" s="212"/>
      <c r="C6" s="115"/>
      <c r="D6" s="318"/>
      <c r="E6" s="318"/>
      <c r="F6" s="318"/>
      <c r="G6" s="318"/>
      <c r="H6" s="213"/>
      <c r="I6" s="109"/>
      <c r="J6" s="110"/>
      <c r="K6" s="116"/>
      <c r="L6" s="117"/>
      <c r="M6" s="117"/>
      <c r="N6" s="118"/>
    </row>
    <row r="7" spans="2:15" ht="15.6">
      <c r="B7" s="82" t="s">
        <v>199</v>
      </c>
      <c r="C7" s="200">
        <f>'Income Statement'!I10-'Income Statement'!I25</f>
        <v>3206401.91311474</v>
      </c>
      <c r="D7" s="315">
        <f>'Income Statement'!J10-'Income Statement'!J25</f>
        <v>3306689.3493686514</v>
      </c>
      <c r="E7" s="315">
        <f>'Income Statement'!K10-'Income Statement'!K25</f>
        <v>3407872.4048974146</v>
      </c>
      <c r="F7" s="315">
        <f>'Income Statement'!L10-'Income Statement'!L25</f>
        <v>3514520.2532846699</v>
      </c>
      <c r="G7" s="315">
        <f>'Income Statement'!M10-'Income Statement'!M25</f>
        <v>3616474.3333463077</v>
      </c>
      <c r="H7" s="214">
        <f>'Income Statement'!N10-'Income Statement'!N25</f>
        <v>3723243.6174622369</v>
      </c>
      <c r="I7" s="119"/>
      <c r="J7" s="120"/>
      <c r="K7" s="80" t="s">
        <v>200</v>
      </c>
      <c r="L7" s="121"/>
      <c r="M7" s="122" t="s">
        <v>201</v>
      </c>
      <c r="N7" s="123"/>
    </row>
    <row r="8" spans="2:15" ht="15.6">
      <c r="B8" s="82"/>
      <c r="C8" s="136"/>
      <c r="D8" s="124"/>
      <c r="E8" s="124"/>
      <c r="F8" s="124"/>
      <c r="G8" s="124"/>
      <c r="H8" s="84"/>
      <c r="I8" s="109"/>
      <c r="J8" s="110"/>
      <c r="K8" s="82" t="s">
        <v>202</v>
      </c>
      <c r="L8" s="125">
        <f>H16</f>
        <v>1738105.8359926811</v>
      </c>
      <c r="M8" s="124" t="s">
        <v>203</v>
      </c>
      <c r="N8" s="126">
        <f>H7</f>
        <v>3723243.6174622369</v>
      </c>
    </row>
    <row r="9" spans="2:15" ht="15.6">
      <c r="B9" s="82" t="s">
        <v>204</v>
      </c>
      <c r="C9" s="200">
        <f>C7*0.001</f>
        <v>3206.4019131147402</v>
      </c>
      <c r="D9" s="315">
        <f t="shared" ref="D9:H9" si="0">D7*0.001</f>
        <v>3306.6893493686516</v>
      </c>
      <c r="E9" s="315">
        <f t="shared" si="0"/>
        <v>3407.8724048974145</v>
      </c>
      <c r="F9" s="315">
        <f t="shared" si="0"/>
        <v>3514.5202532846702</v>
      </c>
      <c r="G9" s="315">
        <f t="shared" si="0"/>
        <v>3616.474333346308</v>
      </c>
      <c r="H9" s="214">
        <f t="shared" si="0"/>
        <v>3723.2436174622371</v>
      </c>
      <c r="I9" s="119"/>
      <c r="J9" s="120"/>
      <c r="K9" s="82" t="s">
        <v>193</v>
      </c>
      <c r="L9" s="127">
        <f>WACC!C23</f>
        <v>7.3247043269340589E-2</v>
      </c>
      <c r="M9" s="124" t="s">
        <v>193</v>
      </c>
      <c r="N9" s="127">
        <v>7.3247043269340589E-2</v>
      </c>
    </row>
    <row r="10" spans="2:15" ht="15.6">
      <c r="B10" s="82"/>
      <c r="C10" s="136"/>
      <c r="D10" s="124"/>
      <c r="E10" s="124"/>
      <c r="F10" s="124"/>
      <c r="G10" s="124"/>
      <c r="H10" s="84"/>
      <c r="I10" s="109"/>
      <c r="J10" s="110"/>
      <c r="K10" s="82" t="s">
        <v>205</v>
      </c>
      <c r="L10" s="128">
        <v>0.02</v>
      </c>
      <c r="M10" s="124" t="s">
        <v>206</v>
      </c>
      <c r="N10" s="129">
        <v>21.694063955287096</v>
      </c>
      <c r="O10" t="s">
        <v>495</v>
      </c>
    </row>
    <row r="11" spans="2:15" ht="15.6">
      <c r="B11" s="82" t="s">
        <v>207</v>
      </c>
      <c r="C11" s="200">
        <f>'Income Statement'!I15</f>
        <v>3616</v>
      </c>
      <c r="D11" s="315">
        <f>'Income Statement'!J15</f>
        <v>3489.3746839084752</v>
      </c>
      <c r="E11" s="315">
        <f>'Income Statement'!K15</f>
        <v>3452.1369308496141</v>
      </c>
      <c r="F11" s="315">
        <f>'Income Statement'!L15</f>
        <v>3274.8339675205207</v>
      </c>
      <c r="G11" s="315">
        <f>'Income Statement'!M15</f>
        <v>3085.3922983822549</v>
      </c>
      <c r="H11" s="214">
        <f>'Income Statement'!N15</f>
        <v>2854.7144374686004</v>
      </c>
      <c r="I11" s="119"/>
      <c r="J11" s="120"/>
      <c r="K11" s="82" t="s">
        <v>208</v>
      </c>
      <c r="L11" s="130">
        <f>(L8*(1+L10))/(L9-L10)</f>
        <v>33295143.61473183</v>
      </c>
      <c r="M11" s="124" t="s">
        <v>208</v>
      </c>
      <c r="N11" s="131">
        <f>N10*N8</f>
        <v>80772285.158340245</v>
      </c>
    </row>
    <row r="12" spans="2:15" ht="15.6">
      <c r="B12" s="82" t="s">
        <v>209</v>
      </c>
      <c r="C12" s="200">
        <f>-'CF Simpler'!E35</f>
        <v>2515.5960058469846</v>
      </c>
      <c r="D12" s="315">
        <f>-'CF Simpler'!F35</f>
        <v>2584.7219880803518</v>
      </c>
      <c r="E12" s="315">
        <f>-'CF Simpler'!G35</f>
        <v>2655.4899468073954</v>
      </c>
      <c r="F12" s="315">
        <f>-'CF Simpler'!H35</f>
        <v>2729.0283062671006</v>
      </c>
      <c r="G12" s="315">
        <f>-'CF Simpler'!I35</f>
        <v>2804.9020894384134</v>
      </c>
      <c r="H12" s="214">
        <f>-'CF Simpler'!J35</f>
        <v>2883.5499368369701</v>
      </c>
      <c r="I12" s="119"/>
      <c r="J12" s="120"/>
      <c r="K12" s="82" t="s">
        <v>210</v>
      </c>
      <c r="L12" s="130">
        <f>L11/((1+L9)^H17)</f>
        <v>23382039.455681071</v>
      </c>
      <c r="M12" s="124" t="s">
        <v>210</v>
      </c>
      <c r="N12" s="131">
        <f>N11/((1+N9)^H17)</f>
        <v>56723610.516645789</v>
      </c>
    </row>
    <row r="13" spans="2:15" ht="16.2" thickBot="1">
      <c r="B13" s="82" t="s">
        <v>211</v>
      </c>
      <c r="C13" s="200">
        <f>NWC!E37</f>
        <v>-4021</v>
      </c>
      <c r="D13" s="315">
        <f>NWC!F37</f>
        <v>-39900.095313178346</v>
      </c>
      <c r="E13" s="315">
        <f>NWC!G37</f>
        <v>12356.536809805664</v>
      </c>
      <c r="F13" s="315">
        <f>NWC!H37</f>
        <v>-15657.394049404946</v>
      </c>
      <c r="G13" s="315">
        <f>NWC!I37</f>
        <v>-1582.6877188827202</v>
      </c>
      <c r="H13" s="214">
        <f>NWC!J37</f>
        <v>-9152.2127046644746</v>
      </c>
      <c r="I13" s="119"/>
      <c r="J13" s="120"/>
      <c r="K13" s="132" t="s">
        <v>212</v>
      </c>
      <c r="L13" s="133">
        <f>L12+SUM(D18:H18)</f>
        <v>30004668.318520121</v>
      </c>
      <c r="M13" s="134" t="s">
        <v>212</v>
      </c>
      <c r="N13" s="135">
        <f>N12+SUM(D18:H18)</f>
        <v>63346239.37948484</v>
      </c>
    </row>
    <row r="14" spans="2:15" ht="15.6">
      <c r="B14" s="82" t="s">
        <v>384</v>
      </c>
      <c r="C14" s="200">
        <f>-'CF Simpler'!E49</f>
        <v>1660000</v>
      </c>
      <c r="D14" s="315">
        <f>-'CF Simpler'!F49</f>
        <v>1784254.5576998414</v>
      </c>
      <c r="E14" s="315">
        <f>-'CF Simpler'!G49</f>
        <v>1833106.2537352899</v>
      </c>
      <c r="F14" s="315">
        <f>-'CF Simpler'!H49</f>
        <v>1883870.3798721971</v>
      </c>
      <c r="G14" s="315">
        <f>-'CF Simpler'!I49</f>
        <v>1936246.6679440483</v>
      </c>
      <c r="H14" s="214">
        <f>-'CF Simpler'!J49</f>
        <v>1990537.9150573893</v>
      </c>
      <c r="I14" s="119"/>
      <c r="J14" s="120"/>
      <c r="K14" s="124"/>
      <c r="L14" s="142"/>
      <c r="M14" s="124"/>
      <c r="N14" s="143"/>
    </row>
    <row r="15" spans="2:15" ht="15.6">
      <c r="B15" s="82"/>
      <c r="C15" s="136"/>
      <c r="D15" s="124"/>
      <c r="E15" s="124"/>
      <c r="F15" s="124"/>
      <c r="G15" s="124"/>
      <c r="H15" s="84"/>
      <c r="I15" s="109"/>
      <c r="J15" s="110"/>
      <c r="K15" s="124"/>
      <c r="L15" s="137"/>
      <c r="M15" s="124"/>
      <c r="N15" s="138"/>
    </row>
    <row r="16" spans="2:15" ht="15.6">
      <c r="B16" s="85" t="s">
        <v>213</v>
      </c>
      <c r="C16" s="273">
        <f>C7-C9+C11-C12-C13-C14</f>
        <v>1548316.915195778</v>
      </c>
      <c r="D16" s="201">
        <f t="shared" ref="D16:H16" si="1">D7-D9+D11-D12-D13-D14</f>
        <v>1559932.8503284478</v>
      </c>
      <c r="E16" s="201">
        <f t="shared" si="1"/>
        <v>1559798.3889314635</v>
      </c>
      <c r="F16" s="201">
        <f t="shared" si="1"/>
        <v>1643338.5528698463</v>
      </c>
      <c r="G16" s="201">
        <f t="shared" si="1"/>
        <v>1678474.3689967396</v>
      </c>
      <c r="H16" s="215">
        <f t="shared" si="1"/>
        <v>1738105.8359926811</v>
      </c>
      <c r="I16" s="139"/>
      <c r="J16" s="140"/>
      <c r="K16" s="124"/>
      <c r="L16" s="137"/>
      <c r="M16" s="124"/>
      <c r="N16" s="138"/>
    </row>
    <row r="17" spans="2:15" ht="15.6">
      <c r="B17" s="216" t="s">
        <v>214</v>
      </c>
      <c r="C17" s="141"/>
      <c r="D17" s="319">
        <f>C17+1</f>
        <v>1</v>
      </c>
      <c r="E17" s="319">
        <f t="shared" ref="E17:H17" si="2">D17+1</f>
        <v>2</v>
      </c>
      <c r="F17" s="319">
        <f t="shared" si="2"/>
        <v>3</v>
      </c>
      <c r="G17" s="319">
        <f t="shared" si="2"/>
        <v>4</v>
      </c>
      <c r="H17" s="217">
        <f t="shared" si="2"/>
        <v>5</v>
      </c>
      <c r="I17" s="109"/>
      <c r="J17" s="110"/>
      <c r="K17" s="124"/>
      <c r="L17" s="142"/>
      <c r="M17" s="124"/>
      <c r="N17" s="143"/>
    </row>
    <row r="18" spans="2:15" ht="16.2" thickBot="1">
      <c r="B18" s="91" t="s">
        <v>215</v>
      </c>
      <c r="C18" s="274">
        <f t="shared" ref="C18:H18" si="3">C16/((1+$L$9)^C17)</f>
        <v>1548316.915195778</v>
      </c>
      <c r="D18" s="218">
        <f t="shared" si="3"/>
        <v>1453470.4382474308</v>
      </c>
      <c r="E18" s="218">
        <f t="shared" si="3"/>
        <v>1354157.1464800611</v>
      </c>
      <c r="F18" s="218">
        <f t="shared" si="3"/>
        <v>1329315.1117252267</v>
      </c>
      <c r="G18" s="218">
        <f t="shared" si="3"/>
        <v>1265073.944207825</v>
      </c>
      <c r="H18" s="219">
        <f t="shared" si="3"/>
        <v>1220612.2221785088</v>
      </c>
      <c r="I18" s="139"/>
      <c r="J18" s="140"/>
      <c r="K18" s="124"/>
      <c r="L18" s="124"/>
      <c r="M18" s="124"/>
      <c r="N18" s="124"/>
    </row>
    <row r="19" spans="2:15">
      <c r="L19" s="124"/>
      <c r="M19" s="144"/>
      <c r="N19" s="124"/>
      <c r="O19" s="145"/>
    </row>
    <row r="20" spans="2:15" ht="15.6">
      <c r="B20" s="110"/>
      <c r="L20" s="146"/>
      <c r="M20" s="147"/>
      <c r="N20" s="146"/>
      <c r="O20" s="147"/>
    </row>
    <row r="21" spans="2:15" ht="15.6">
      <c r="B21" s="110"/>
      <c r="C21" s="148"/>
      <c r="L21" s="124"/>
      <c r="M21" s="149"/>
      <c r="N21" s="124"/>
      <c r="O21" s="149"/>
    </row>
    <row r="22" spans="2:15" ht="15.6">
      <c r="B22" s="110"/>
      <c r="C22" s="197"/>
    </row>
    <row r="23" spans="2:15" ht="15.6">
      <c r="B23" s="110"/>
    </row>
    <row r="24" spans="2:15" ht="15.6">
      <c r="B24" s="110"/>
    </row>
    <row r="25" spans="2:15" ht="15.6">
      <c r="B25" s="220" t="s">
        <v>193</v>
      </c>
      <c r="C25" s="221">
        <v>7.3247043269340589E-2</v>
      </c>
      <c r="D25" s="110"/>
      <c r="E25" s="289"/>
      <c r="F25" s="289"/>
      <c r="G25" s="289"/>
      <c r="H25" s="289"/>
      <c r="I25" s="290" t="s">
        <v>300</v>
      </c>
      <c r="J25" s="289"/>
      <c r="K25" s="289"/>
    </row>
    <row r="26" spans="2:15" ht="15.6">
      <c r="B26" s="220" t="s">
        <v>205</v>
      </c>
      <c r="C26" s="255">
        <v>0.02</v>
      </c>
      <c r="D26" s="110"/>
      <c r="E26" s="289"/>
      <c r="F26" s="289"/>
      <c r="G26" s="289"/>
      <c r="H26" s="289"/>
      <c r="I26" s="290" t="s">
        <v>301</v>
      </c>
      <c r="J26" s="289"/>
      <c r="K26" s="289"/>
    </row>
    <row r="27" spans="2:15" ht="15.6">
      <c r="B27" s="222" t="s">
        <v>302</v>
      </c>
      <c r="C27" s="223">
        <f>N10</f>
        <v>21.694063955287096</v>
      </c>
      <c r="D27" s="110"/>
      <c r="E27" s="289"/>
      <c r="F27" s="224">
        <f>C37</f>
        <v>13.361427503953598</v>
      </c>
      <c r="G27" s="67">
        <v>0.01</v>
      </c>
      <c r="H27" s="67">
        <f>G27+0.005</f>
        <v>1.4999999999999999E-2</v>
      </c>
      <c r="I27" s="67">
        <f t="shared" ref="I27:K27" si="4">H27+0.005</f>
        <v>0.02</v>
      </c>
      <c r="J27" s="67">
        <f t="shared" si="4"/>
        <v>2.5000000000000001E-2</v>
      </c>
      <c r="K27" s="67">
        <f t="shared" si="4"/>
        <v>3.0000000000000002E-2</v>
      </c>
    </row>
    <row r="28" spans="2:15" ht="15.6">
      <c r="B28" s="110"/>
      <c r="C28" s="110"/>
      <c r="D28" s="110"/>
      <c r="E28" s="289"/>
      <c r="F28" s="67">
        <v>6.3200000000000006E-2</v>
      </c>
      <c r="G28" s="225">
        <f t="dataTable" ref="G28:K32" dt2D="1" dtr="1" r1="L10" r2="L9"/>
        <v>14.416792914224731</v>
      </c>
      <c r="H28" s="226">
        <v>16.980590599556979</v>
      </c>
      <c r="I28" s="226">
        <v>20.137859971308735</v>
      </c>
      <c r="J28" s="226">
        <v>24.121639649801779</v>
      </c>
      <c r="K28" s="227">
        <v>29.305352966395141</v>
      </c>
    </row>
    <row r="29" spans="2:15" ht="15.6">
      <c r="B29" s="412" t="s">
        <v>303</v>
      </c>
      <c r="C29" s="413"/>
      <c r="D29" s="110"/>
      <c r="E29" s="289"/>
      <c r="F29" s="67">
        <f>F28+0.005</f>
        <v>6.8200000000000011E-2</v>
      </c>
      <c r="G29" s="228">
        <v>11.812308269531286</v>
      </c>
      <c r="H29" s="225">
        <v>13.896114738417554</v>
      </c>
      <c r="I29" s="226">
        <v>16.412246200848696</v>
      </c>
      <c r="J29" s="227">
        <v>19.510815501805553</v>
      </c>
      <c r="K29" s="229">
        <v>23.420528598824419</v>
      </c>
    </row>
    <row r="30" spans="2:15" ht="15.6">
      <c r="B30" s="230" t="s">
        <v>212</v>
      </c>
      <c r="C30" s="231">
        <f>L13</f>
        <v>30004668.318520121</v>
      </c>
      <c r="D30" s="110"/>
      <c r="E30" s="290" t="s">
        <v>193</v>
      </c>
      <c r="F30" s="67">
        <f t="shared" ref="F30:F32" si="5">F29+0.005</f>
        <v>7.3200000000000015E-2</v>
      </c>
      <c r="G30" s="228">
        <v>9.6203177500361239</v>
      </c>
      <c r="H30" s="228">
        <v>11.341946769548642</v>
      </c>
      <c r="I30" s="232">
        <v>13.387190266413141</v>
      </c>
      <c r="J30" s="229">
        <v>15.856758140220471</v>
      </c>
      <c r="K30" s="229">
        <v>18.897985244075805</v>
      </c>
    </row>
    <row r="31" spans="2:15" ht="15.6">
      <c r="B31" s="230" t="s">
        <v>304</v>
      </c>
      <c r="C31" s="233">
        <f>'Balannce Sheet'!E26</f>
        <v>16692728</v>
      </c>
      <c r="D31" s="110"/>
      <c r="E31" s="289"/>
      <c r="F31" s="67">
        <f t="shared" si="5"/>
        <v>7.8200000000000019E-2</v>
      </c>
      <c r="G31" s="228">
        <v>7.7500879480740039</v>
      </c>
      <c r="H31" s="234">
        <v>9.1922150229054544</v>
      </c>
      <c r="I31" s="235">
        <v>10.882130254924441</v>
      </c>
      <c r="J31" s="236">
        <v>12.889698726044736</v>
      </c>
      <c r="K31" s="229">
        <v>15.313775178725258</v>
      </c>
    </row>
    <row r="32" spans="2:15" ht="15.6">
      <c r="B32" s="230" t="s">
        <v>305</v>
      </c>
      <c r="C32" s="231">
        <f>'Balannce Sheet'!E10</f>
        <v>510884</v>
      </c>
      <c r="D32" s="110"/>
      <c r="E32" s="289"/>
      <c r="F32" s="67">
        <f t="shared" si="5"/>
        <v>8.3200000000000024E-2</v>
      </c>
      <c r="G32" s="234">
        <v>6.1356762491226098</v>
      </c>
      <c r="H32" s="235">
        <v>7.3579605461141719</v>
      </c>
      <c r="I32" s="235">
        <v>8.7736442571866782</v>
      </c>
      <c r="J32" s="235">
        <v>10.432572592154802</v>
      </c>
      <c r="K32" s="236">
        <v>12.403329561515433</v>
      </c>
    </row>
    <row r="33" spans="2:11" ht="15.6">
      <c r="B33" s="230"/>
      <c r="C33" s="237"/>
      <c r="D33" s="110"/>
      <c r="E33" s="110"/>
      <c r="F33" s="110"/>
      <c r="G33" s="110"/>
      <c r="H33" s="110"/>
      <c r="I33" s="110"/>
      <c r="J33" s="110"/>
      <c r="K33" s="110"/>
    </row>
    <row r="34" spans="2:11" ht="15.6">
      <c r="B34" s="238" t="s">
        <v>306</v>
      </c>
      <c r="C34" s="239">
        <f>C30-C31+C32-C33</f>
        <v>13822824.318520121</v>
      </c>
      <c r="D34" s="110"/>
      <c r="E34" s="110"/>
      <c r="F34" s="110"/>
      <c r="G34" s="110"/>
      <c r="H34" s="110"/>
      <c r="I34" s="110"/>
      <c r="J34" s="110"/>
      <c r="K34" s="110"/>
    </row>
    <row r="35" spans="2:11" ht="15.6">
      <c r="B35" s="230"/>
      <c r="C35" s="240"/>
      <c r="D35" s="110"/>
      <c r="E35" s="289"/>
      <c r="F35" s="289"/>
      <c r="G35" s="289"/>
      <c r="H35" s="289"/>
      <c r="I35" s="290" t="s">
        <v>201</v>
      </c>
      <c r="J35" s="289"/>
      <c r="K35" s="289"/>
    </row>
    <row r="36" spans="2:11" ht="15.6">
      <c r="B36" s="230" t="s">
        <v>307</v>
      </c>
      <c r="C36" s="233">
        <f>'REAL COMPS'!D4*1000</f>
        <v>1034531.9999999999</v>
      </c>
      <c r="D36" s="110"/>
      <c r="E36" s="388"/>
      <c r="F36" s="241">
        <f>C47</f>
        <v>45.590078779085466</v>
      </c>
      <c r="G36" s="242">
        <v>19.690000000000001</v>
      </c>
      <c r="H36" s="242">
        <f>G36+1</f>
        <v>20.69</v>
      </c>
      <c r="I36" s="242">
        <f t="shared" ref="I36:K36" si="6">H36+1</f>
        <v>21.69</v>
      </c>
      <c r="J36" s="242">
        <f t="shared" si="6"/>
        <v>22.69</v>
      </c>
      <c r="K36" s="242">
        <f t="shared" si="6"/>
        <v>23.69</v>
      </c>
    </row>
    <row r="37" spans="2:11" ht="15.6">
      <c r="B37" s="243" t="s">
        <v>308</v>
      </c>
      <c r="C37" s="244">
        <f>C34/C36</f>
        <v>13.361427503953598</v>
      </c>
      <c r="D37" s="110"/>
      <c r="E37" s="388"/>
      <c r="F37" s="67">
        <v>6.3200000000000006E-2</v>
      </c>
      <c r="G37" s="225">
        <f t="dataTable" ref="G37:K41" dt2D="1" dtr="1" r1="N10" r2="N9"/>
        <v>42.921164569131257</v>
      </c>
      <c r="H37" s="226">
        <v>45.570290997333572</v>
      </c>
      <c r="I37" s="226">
        <v>48.219417425535894</v>
      </c>
      <c r="J37" s="226">
        <v>50.868543853738203</v>
      </c>
      <c r="K37" s="227">
        <v>53.517670281940518</v>
      </c>
    </row>
    <row r="38" spans="2:11" ht="15.6">
      <c r="B38" s="245"/>
      <c r="C38" s="245"/>
      <c r="D38" s="110"/>
      <c r="E38" s="388"/>
      <c r="F38" s="67">
        <f>F37+0.005</f>
        <v>6.8200000000000011E-2</v>
      </c>
      <c r="G38" s="228">
        <v>41.711763954548182</v>
      </c>
      <c r="H38" s="225">
        <v>44.299468309892035</v>
      </c>
      <c r="I38" s="226">
        <v>46.887172665235894</v>
      </c>
      <c r="J38" s="227">
        <v>49.474877020579754</v>
      </c>
      <c r="K38" s="229">
        <v>52.062581375923607</v>
      </c>
    </row>
    <row r="39" spans="2:11" ht="15.6">
      <c r="B39" s="414" t="s">
        <v>309</v>
      </c>
      <c r="C39" s="415"/>
      <c r="D39" s="110"/>
      <c r="E39" s="290" t="s">
        <v>193</v>
      </c>
      <c r="F39" s="67">
        <f t="shared" ref="F39:F41" si="7">F38+0.005</f>
        <v>7.3200000000000015E-2</v>
      </c>
      <c r="G39" s="228">
        <v>40.535856867830852</v>
      </c>
      <c r="H39" s="228">
        <v>43.063840192869101</v>
      </c>
      <c r="I39" s="232">
        <v>45.591823517907358</v>
      </c>
      <c r="J39" s="229">
        <v>48.119806842945607</v>
      </c>
      <c r="K39" s="229">
        <v>50.647790167983864</v>
      </c>
    </row>
    <row r="40" spans="2:11" ht="15.6">
      <c r="B40" s="246" t="s">
        <v>212</v>
      </c>
      <c r="C40" s="247">
        <f>N13</f>
        <v>63346239.37948484</v>
      </c>
      <c r="D40" s="110"/>
      <c r="E40" s="388"/>
      <c r="F40" s="67">
        <f t="shared" si="7"/>
        <v>7.8200000000000019E-2</v>
      </c>
      <c r="G40" s="228">
        <v>39.392366111402438</v>
      </c>
      <c r="H40" s="234">
        <v>41.862274740837421</v>
      </c>
      <c r="I40" s="235">
        <v>44.332183370272411</v>
      </c>
      <c r="J40" s="236">
        <v>46.802091999707386</v>
      </c>
      <c r="K40" s="229">
        <v>49.272000629142369</v>
      </c>
    </row>
    <row r="41" spans="2:11" ht="15.6">
      <c r="B41" s="246" t="s">
        <v>304</v>
      </c>
      <c r="C41" s="248">
        <f>C31</f>
        <v>16692728</v>
      </c>
      <c r="D41" s="110"/>
      <c r="E41" s="388"/>
      <c r="F41" s="67">
        <f t="shared" si="7"/>
        <v>8.3200000000000024E-2</v>
      </c>
      <c r="G41" s="234">
        <v>38.280253899640876</v>
      </c>
      <c r="H41" s="235">
        <v>40.693681461947286</v>
      </c>
      <c r="I41" s="235">
        <v>43.107109024253703</v>
      </c>
      <c r="J41" s="235">
        <v>45.520536586560112</v>
      </c>
      <c r="K41" s="236">
        <v>47.933964148866515</v>
      </c>
    </row>
    <row r="42" spans="2:11" ht="15.6">
      <c r="B42" s="246" t="s">
        <v>305</v>
      </c>
      <c r="C42" s="249">
        <f>C32</f>
        <v>510884</v>
      </c>
      <c r="D42" s="110"/>
      <c r="E42" s="110"/>
      <c r="F42" s="110"/>
      <c r="G42" s="110"/>
      <c r="H42" s="110"/>
      <c r="I42" s="110"/>
      <c r="J42" s="110"/>
      <c r="K42" s="110"/>
    </row>
    <row r="43" spans="2:11" ht="15.6">
      <c r="B43" s="246"/>
      <c r="C43" s="250"/>
      <c r="D43" s="110"/>
      <c r="E43" s="110"/>
      <c r="F43" s="110"/>
      <c r="G43" s="110"/>
      <c r="H43" s="110"/>
      <c r="I43" s="110"/>
      <c r="J43" s="110"/>
      <c r="K43" s="110"/>
    </row>
    <row r="44" spans="2:11" ht="15.6">
      <c r="B44" s="251" t="s">
        <v>306</v>
      </c>
      <c r="C44" s="252">
        <f>C40-C41+C42-C43</f>
        <v>47164395.37948484</v>
      </c>
      <c r="D44" s="110"/>
      <c r="E44" s="110"/>
      <c r="F44" s="110"/>
      <c r="G44" s="110"/>
      <c r="H44" s="110"/>
      <c r="I44" s="110"/>
      <c r="J44" s="110"/>
      <c r="K44" s="110"/>
    </row>
    <row r="45" spans="2:11" ht="15.6">
      <c r="B45" s="246"/>
      <c r="C45" s="253"/>
      <c r="D45" s="110"/>
      <c r="E45" s="110"/>
      <c r="F45" s="110"/>
      <c r="G45" s="110"/>
      <c r="H45" s="110"/>
      <c r="I45" s="110"/>
      <c r="J45" s="110"/>
      <c r="K45" s="110"/>
    </row>
    <row r="46" spans="2:11" ht="15.6">
      <c r="B46" s="246" t="s">
        <v>307</v>
      </c>
      <c r="C46" s="249">
        <f>C36</f>
        <v>1034531.9999999999</v>
      </c>
      <c r="D46" s="110"/>
      <c r="E46" s="110"/>
      <c r="F46" s="110"/>
      <c r="G46" s="110"/>
      <c r="H46" s="110"/>
      <c r="I46" s="110"/>
      <c r="J46" s="110"/>
      <c r="K46" s="110"/>
    </row>
    <row r="47" spans="2:11" ht="15.6">
      <c r="B47" s="243" t="s">
        <v>308</v>
      </c>
      <c r="C47" s="254">
        <f>C44/C46</f>
        <v>45.590078779085466</v>
      </c>
      <c r="D47" s="110"/>
      <c r="E47" s="110"/>
      <c r="F47" s="110"/>
      <c r="G47" s="110"/>
      <c r="H47" s="110"/>
      <c r="I47" s="110"/>
      <c r="J47" s="110"/>
      <c r="K47" s="110"/>
    </row>
    <row r="50" spans="2:11" ht="15.6">
      <c r="B50" s="414" t="s">
        <v>325</v>
      </c>
      <c r="C50" s="415"/>
      <c r="E50" s="414" t="s">
        <v>487</v>
      </c>
      <c r="F50" s="415"/>
      <c r="G50" s="393"/>
      <c r="H50" s="414" t="s">
        <v>481</v>
      </c>
      <c r="I50" s="415"/>
      <c r="J50" s="393"/>
      <c r="K50" s="393"/>
    </row>
    <row r="51" spans="2:11" ht="15.6">
      <c r="B51" s="390" t="s">
        <v>472</v>
      </c>
      <c r="C51" s="391">
        <f>'REAL COMPS'!N4*1000</f>
        <v>2389782.0160000003</v>
      </c>
      <c r="E51" s="390" t="s">
        <v>472</v>
      </c>
      <c r="F51" s="391">
        <v>2389782.0160000003</v>
      </c>
      <c r="G51" s="242"/>
      <c r="H51" s="390" t="s">
        <v>472</v>
      </c>
      <c r="I51" s="391">
        <v>2389782.0160000003</v>
      </c>
      <c r="J51" s="242"/>
      <c r="K51" s="242"/>
    </row>
    <row r="52" spans="2:11" ht="15.6">
      <c r="B52" s="390" t="s">
        <v>473</v>
      </c>
      <c r="C52" s="392">
        <v>12.83</v>
      </c>
      <c r="E52" s="390" t="s">
        <v>473</v>
      </c>
      <c r="F52" s="392">
        <f>'REAL COMPS'!T12</f>
        <v>11.754486114602658</v>
      </c>
      <c r="G52" s="242"/>
      <c r="H52" s="390" t="s">
        <v>473</v>
      </c>
      <c r="I52" s="392">
        <f>'REAL COMPS'!T16</f>
        <v>15.03252543720413</v>
      </c>
      <c r="J52" s="242"/>
      <c r="K52" s="242"/>
    </row>
    <row r="53" spans="2:11" ht="15.6">
      <c r="B53" s="246" t="s">
        <v>306</v>
      </c>
      <c r="C53" s="247">
        <f>C51*C52</f>
        <v>30660903.265280005</v>
      </c>
      <c r="E53" s="246" t="s">
        <v>306</v>
      </c>
      <c r="F53" s="247">
        <f>F51*F52</f>
        <v>28090659.523999151</v>
      </c>
      <c r="G53" s="242"/>
      <c r="H53" s="246" t="s">
        <v>306</v>
      </c>
      <c r="I53" s="247">
        <f>I51*I52</f>
        <v>35924458.944892973</v>
      </c>
      <c r="J53" s="242"/>
      <c r="K53" s="242"/>
    </row>
    <row r="54" spans="2:11" ht="15.6">
      <c r="B54" s="246"/>
      <c r="C54" s="253"/>
      <c r="E54" s="246"/>
      <c r="F54" s="253"/>
      <c r="G54" s="242"/>
      <c r="H54" s="246"/>
      <c r="I54" s="253"/>
      <c r="J54" s="242"/>
      <c r="K54" s="242"/>
    </row>
    <row r="55" spans="2:11" ht="15.6">
      <c r="B55" s="246" t="s">
        <v>307</v>
      </c>
      <c r="C55" s="249">
        <f>C46</f>
        <v>1034531.9999999999</v>
      </c>
      <c r="E55" s="246" t="s">
        <v>307</v>
      </c>
      <c r="F55" s="249">
        <v>1034531.9999999999</v>
      </c>
      <c r="G55" s="242"/>
      <c r="H55" s="246" t="s">
        <v>307</v>
      </c>
      <c r="I55" s="249">
        <v>1034531.9999999999</v>
      </c>
      <c r="J55" s="242"/>
      <c r="K55" s="242"/>
    </row>
    <row r="56" spans="2:11" ht="15.6">
      <c r="B56" s="243" t="s">
        <v>308</v>
      </c>
      <c r="C56" s="254">
        <f>C53/C55</f>
        <v>29.637462413226473</v>
      </c>
      <c r="E56" s="243" t="s">
        <v>308</v>
      </c>
      <c r="F56" s="254">
        <f>F53/F55</f>
        <v>27.153011723174494</v>
      </c>
      <c r="G56" s="242"/>
      <c r="H56" s="243" t="s">
        <v>308</v>
      </c>
      <c r="I56" s="254">
        <f>I53/I55</f>
        <v>34.725324054638207</v>
      </c>
      <c r="J56" s="242"/>
      <c r="K56" s="242"/>
    </row>
    <row r="59" spans="2:11" ht="15.6">
      <c r="B59" s="414" t="s">
        <v>478</v>
      </c>
      <c r="C59" s="415"/>
      <c r="E59" s="414" t="s">
        <v>479</v>
      </c>
      <c r="F59" s="415"/>
    </row>
    <row r="60" spans="2:11" ht="15.6">
      <c r="B60" s="246" t="s">
        <v>212</v>
      </c>
      <c r="C60" s="247">
        <f>'REAL COMPS'!Q21*1000</f>
        <v>44125431.87140961</v>
      </c>
      <c r="E60" s="246" t="s">
        <v>212</v>
      </c>
      <c r="F60" s="247">
        <f>'REAL COMPS'!Q24*1000</f>
        <v>56384402.332041197</v>
      </c>
    </row>
    <row r="61" spans="2:11" ht="15.6">
      <c r="B61" s="246" t="s">
        <v>304</v>
      </c>
      <c r="C61" s="248">
        <f>C41</f>
        <v>16692728</v>
      </c>
      <c r="E61" s="246" t="s">
        <v>304</v>
      </c>
      <c r="F61" s="248">
        <v>16692728</v>
      </c>
    </row>
    <row r="62" spans="2:11" ht="15.6">
      <c r="B62" s="246" t="s">
        <v>305</v>
      </c>
      <c r="C62" s="248">
        <f>C42</f>
        <v>510884</v>
      </c>
      <c r="E62" s="246" t="s">
        <v>305</v>
      </c>
      <c r="F62" s="248">
        <v>510884</v>
      </c>
    </row>
    <row r="63" spans="2:11" ht="15.6">
      <c r="B63" s="246"/>
      <c r="C63" s="250"/>
      <c r="E63" s="246"/>
      <c r="F63" s="250"/>
    </row>
    <row r="64" spans="2:11" ht="15.6">
      <c r="B64" s="251" t="s">
        <v>306</v>
      </c>
      <c r="C64" s="252">
        <f>C60-C61+C62-C63</f>
        <v>27943587.87140961</v>
      </c>
      <c r="E64" s="251" t="s">
        <v>306</v>
      </c>
      <c r="F64" s="252">
        <f>F60-F61+F62-F63</f>
        <v>40202558.332041197</v>
      </c>
    </row>
    <row r="65" spans="2:6" ht="15.6">
      <c r="B65" s="246"/>
      <c r="C65" s="253"/>
      <c r="E65" s="246"/>
      <c r="F65" s="253"/>
    </row>
    <row r="66" spans="2:6" ht="15.6">
      <c r="B66" s="246" t="s">
        <v>307</v>
      </c>
      <c r="C66" s="249">
        <f>C55</f>
        <v>1034531.9999999999</v>
      </c>
      <c r="E66" s="246" t="s">
        <v>307</v>
      </c>
      <c r="F66" s="249">
        <v>1034531.9999999999</v>
      </c>
    </row>
    <row r="67" spans="2:6" ht="15.6">
      <c r="B67" s="243" t="s">
        <v>308</v>
      </c>
      <c r="C67" s="254">
        <f>C64/C66</f>
        <v>27.01084922593947</v>
      </c>
      <c r="E67" s="243" t="s">
        <v>308</v>
      </c>
      <c r="F67" s="254">
        <f>F64/F66</f>
        <v>38.860623288637953</v>
      </c>
    </row>
    <row r="70" spans="2:6" ht="15.6">
      <c r="B70" s="414" t="s">
        <v>480</v>
      </c>
      <c r="C70" s="415"/>
      <c r="E70" s="414" t="s">
        <v>486</v>
      </c>
      <c r="F70" s="415"/>
    </row>
    <row r="71" spans="2:6" ht="15.6">
      <c r="B71" s="246" t="s">
        <v>212</v>
      </c>
      <c r="C71" s="247">
        <f>'REAL COMPS'!S20*1000</f>
        <v>56792261.251143105</v>
      </c>
      <c r="E71" s="246" t="s">
        <v>212</v>
      </c>
      <c r="F71" s="247">
        <f>'REAL COMPS'!S21*1000</f>
        <v>69474936.099911541</v>
      </c>
    </row>
    <row r="72" spans="2:6" ht="15.6">
      <c r="B72" s="246" t="s">
        <v>304</v>
      </c>
      <c r="C72" s="248">
        <v>16692728</v>
      </c>
      <c r="E72" s="246" t="s">
        <v>304</v>
      </c>
      <c r="F72" s="248">
        <v>16692728</v>
      </c>
    </row>
    <row r="73" spans="2:6" ht="15.6">
      <c r="B73" s="246" t="s">
        <v>305</v>
      </c>
      <c r="C73" s="248">
        <v>510884</v>
      </c>
      <c r="E73" s="246" t="s">
        <v>305</v>
      </c>
      <c r="F73" s="248">
        <v>510884</v>
      </c>
    </row>
    <row r="74" spans="2:6" ht="15.6">
      <c r="B74" s="246"/>
      <c r="C74" s="250"/>
      <c r="E74" s="246"/>
      <c r="F74" s="250"/>
    </row>
    <row r="75" spans="2:6" ht="15.6">
      <c r="B75" s="251" t="s">
        <v>306</v>
      </c>
      <c r="C75" s="252">
        <f>C71-C72+C73-C74</f>
        <v>40610417.251143105</v>
      </c>
      <c r="E75" s="251" t="s">
        <v>306</v>
      </c>
      <c r="F75" s="252">
        <f>F71-F72+F73-F74</f>
        <v>53293092.099911541</v>
      </c>
    </row>
    <row r="76" spans="2:6" ht="15.6">
      <c r="B76" s="246"/>
      <c r="C76" s="253"/>
      <c r="E76" s="246"/>
      <c r="F76" s="253"/>
    </row>
    <row r="77" spans="2:6" ht="15.6">
      <c r="B77" s="246" t="s">
        <v>307</v>
      </c>
      <c r="C77" s="249">
        <f>C66</f>
        <v>1034531.9999999999</v>
      </c>
      <c r="E77" s="246" t="s">
        <v>307</v>
      </c>
      <c r="F77" s="249">
        <v>1034531.9999999999</v>
      </c>
    </row>
    <row r="78" spans="2:6" ht="15.6">
      <c r="B78" s="243" t="s">
        <v>308</v>
      </c>
      <c r="C78" s="254">
        <f>C75/C77</f>
        <v>39.254868144381334</v>
      </c>
      <c r="E78" s="243" t="s">
        <v>308</v>
      </c>
      <c r="F78" s="254">
        <f>F75/F77</f>
        <v>51.514203620488829</v>
      </c>
    </row>
    <row r="82" spans="2:6" ht="15.6">
      <c r="B82" s="414" t="s">
        <v>484</v>
      </c>
      <c r="C82" s="415"/>
      <c r="D82" s="393"/>
      <c r="E82" s="414" t="s">
        <v>485</v>
      </c>
      <c r="F82" s="415"/>
    </row>
    <row r="83" spans="2:6" ht="15.6">
      <c r="B83" s="246" t="s">
        <v>306</v>
      </c>
      <c r="C83" s="247">
        <f>'REAL COMPS'!O20/1000</f>
        <v>39672095.62317425</v>
      </c>
      <c r="D83" s="242"/>
      <c r="E83" s="246" t="s">
        <v>306</v>
      </c>
      <c r="F83" s="247">
        <f>'REAL COMPS'!O21/1000</f>
        <v>46875694.671981953</v>
      </c>
    </row>
    <row r="84" spans="2:6" ht="15.6">
      <c r="B84" s="246"/>
      <c r="C84" s="253"/>
      <c r="D84" s="242"/>
      <c r="E84" s="246"/>
      <c r="F84" s="253"/>
    </row>
    <row r="85" spans="2:6" ht="15.6">
      <c r="B85" s="246" t="s">
        <v>307</v>
      </c>
      <c r="C85" s="249">
        <v>1034531.9999999999</v>
      </c>
      <c r="D85" s="242"/>
      <c r="E85" s="246" t="s">
        <v>307</v>
      </c>
      <c r="F85" s="249">
        <v>1034531.9999999999</v>
      </c>
    </row>
    <row r="86" spans="2:6" ht="15.6">
      <c r="B86" s="243" t="s">
        <v>308</v>
      </c>
      <c r="C86" s="254">
        <f>C83/C85</f>
        <v>38.347867077262237</v>
      </c>
      <c r="D86" s="242"/>
      <c r="E86" s="243" t="s">
        <v>308</v>
      </c>
      <c r="F86" s="254">
        <f>F83/F85</f>
        <v>45.311014711948935</v>
      </c>
    </row>
  </sheetData>
  <mergeCells count="11">
    <mergeCell ref="B70:C70"/>
    <mergeCell ref="E70:F70"/>
    <mergeCell ref="E50:F50"/>
    <mergeCell ref="H50:I50"/>
    <mergeCell ref="B82:C82"/>
    <mergeCell ref="E82:F82"/>
    <mergeCell ref="B29:C29"/>
    <mergeCell ref="B39:C39"/>
    <mergeCell ref="B50:C50"/>
    <mergeCell ref="B59:C59"/>
    <mergeCell ref="E59:F59"/>
  </mergeCells>
  <conditionalFormatting sqref="G28:K32">
    <cfRule type="colorScale" priority="3">
      <colorScale>
        <cfvo type="min"/>
        <cfvo type="max"/>
        <color rgb="FF63BE7B"/>
        <color rgb="FFFFEF9C"/>
      </colorScale>
    </cfRule>
    <cfRule type="colorScale" priority="4">
      <colorScale>
        <cfvo type="min"/>
        <cfvo type="max"/>
        <color rgb="FF63BE7B"/>
        <color rgb="FFFCFCFF"/>
      </colorScale>
    </cfRule>
    <cfRule type="colorScale" priority="5">
      <colorScale>
        <cfvo type="min"/>
        <cfvo type="max"/>
        <color rgb="FFFCFCFF"/>
        <color rgb="FF63BE7B"/>
      </colorScale>
    </cfRule>
    <cfRule type="colorScale" priority="6">
      <colorScale>
        <cfvo type="min"/>
        <cfvo type="max"/>
        <color theme="4" tint="0.39997558519241921"/>
        <color rgb="FFFFEF9C"/>
      </colorScale>
    </cfRule>
  </conditionalFormatting>
  <conditionalFormatting sqref="G37:K41">
    <cfRule type="colorScale" priority="7">
      <colorScale>
        <cfvo type="min"/>
        <cfvo type="max"/>
        <color rgb="FF63BE7B"/>
        <color rgb="FFFFEF9C"/>
      </colorScale>
    </cfRule>
  </conditionalFormatting>
  <conditionalFormatting sqref="G52:G56 J52:K56">
    <cfRule type="colorScale" priority="2">
      <colorScale>
        <cfvo type="min"/>
        <cfvo type="max"/>
        <color rgb="FF63BE7B"/>
        <color rgb="FFFFEF9C"/>
      </colorScale>
    </cfRule>
  </conditionalFormatting>
  <conditionalFormatting sqref="D83:D86">
    <cfRule type="colorScale" priority="8">
      <colorScale>
        <cfvo type="min"/>
        <cfvo type="max"/>
        <color rgb="FF63BE7B"/>
        <color rgb="FFFFEF9C"/>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715DA-3B30-4D7F-B2DC-C4A570E78647}">
  <dimension ref="C2:D22"/>
  <sheetViews>
    <sheetView showGridLines="0" workbookViewId="0">
      <selection activeCell="L14" sqref="L14"/>
    </sheetView>
  </sheetViews>
  <sheetFormatPr defaultRowHeight="14.4"/>
  <cols>
    <col min="3" max="3" width="48.109375" bestFit="1" customWidth="1"/>
    <col min="4" max="4" width="9.33203125" bestFit="1" customWidth="1"/>
  </cols>
  <sheetData>
    <row r="2" spans="3:4" ht="15.6">
      <c r="C2" s="286" t="s">
        <v>341</v>
      </c>
      <c r="D2" s="287"/>
    </row>
    <row r="3" spans="3:4" ht="15.6">
      <c r="C3" s="275" t="s">
        <v>326</v>
      </c>
      <c r="D3" s="276"/>
    </row>
    <row r="4" spans="3:4" ht="15.6">
      <c r="C4" s="246" t="s">
        <v>327</v>
      </c>
      <c r="D4" s="277">
        <f>'Income Statement'!I10</f>
        <v>3593708.5797814066</v>
      </c>
    </row>
    <row r="5" spans="3:4" ht="15.6">
      <c r="C5" s="246" t="s">
        <v>328</v>
      </c>
      <c r="D5" s="278">
        <f>'Income Statement'!I13</f>
        <v>59129.333333333336</v>
      </c>
    </row>
    <row r="6" spans="3:4" ht="15.6">
      <c r="C6" s="246" t="s">
        <v>329</v>
      </c>
      <c r="D6" s="277">
        <f>NWC!E24</f>
        <v>10710</v>
      </c>
    </row>
    <row r="7" spans="3:4" ht="15.6">
      <c r="C7" s="279" t="s">
        <v>330</v>
      </c>
      <c r="D7" s="280">
        <f>D4-D5-D6</f>
        <v>3523869.2464480731</v>
      </c>
    </row>
    <row r="8" spans="3:4" ht="15.6">
      <c r="C8" s="246"/>
      <c r="D8" s="281"/>
    </row>
    <row r="9" spans="3:4" ht="15.6">
      <c r="C9" s="246" t="s">
        <v>331</v>
      </c>
      <c r="D9" s="281"/>
    </row>
    <row r="10" spans="3:4" ht="15.6">
      <c r="C10" s="246" t="s">
        <v>332</v>
      </c>
      <c r="D10" s="277">
        <v>0</v>
      </c>
    </row>
    <row r="11" spans="3:4" ht="15.6">
      <c r="C11" s="246" t="s">
        <v>330</v>
      </c>
      <c r="D11" s="277">
        <f>D7-D10</f>
        <v>3523869.2464480731</v>
      </c>
    </row>
    <row r="12" spans="3:4" ht="15.6">
      <c r="C12" s="246"/>
      <c r="D12" s="281"/>
    </row>
    <row r="13" spans="3:4" ht="15.6">
      <c r="C13" s="246" t="s">
        <v>333</v>
      </c>
      <c r="D13" s="282">
        <v>6.3E-2</v>
      </c>
    </row>
    <row r="14" spans="3:4" ht="15.6">
      <c r="C14" s="279" t="s">
        <v>334</v>
      </c>
      <c r="D14" s="277">
        <f>D11/D13</f>
        <v>55934432.48330275</v>
      </c>
    </row>
    <row r="15" spans="3:4" ht="15.6">
      <c r="C15" s="246"/>
      <c r="D15" s="281"/>
    </row>
    <row r="16" spans="3:4" ht="15.6">
      <c r="C16" s="246" t="s">
        <v>335</v>
      </c>
      <c r="D16" s="281"/>
    </row>
    <row r="17" spans="3:4" ht="15.6">
      <c r="C17" s="246" t="s">
        <v>336</v>
      </c>
      <c r="D17" s="278">
        <f>'Balannce Sheet'!E10</f>
        <v>510884</v>
      </c>
    </row>
    <row r="18" spans="3:4" ht="15.6">
      <c r="C18" s="246" t="s">
        <v>337</v>
      </c>
      <c r="D18" s="278">
        <f>'Balannce Sheet'!E26</f>
        <v>16692728</v>
      </c>
    </row>
    <row r="19" spans="3:4" ht="15.6">
      <c r="C19" s="279" t="s">
        <v>338</v>
      </c>
      <c r="D19" s="283">
        <f>D14+D17-D18</f>
        <v>39752588.48330275</v>
      </c>
    </row>
    <row r="20" spans="3:4" ht="15.6">
      <c r="C20" s="246"/>
      <c r="D20" s="281"/>
    </row>
    <row r="21" spans="3:4" ht="15.6">
      <c r="C21" s="246" t="s">
        <v>339</v>
      </c>
      <c r="D21" s="277">
        <f>DCF!C36</f>
        <v>1034531.9999999999</v>
      </c>
    </row>
    <row r="22" spans="3:4" ht="15.6">
      <c r="C22" s="284" t="s">
        <v>340</v>
      </c>
      <c r="D22" s="285">
        <f>D19/D21</f>
        <v>38.425673138484605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30BAC-027B-49B8-8CA9-E1DB6817DBEA}">
  <dimension ref="B5:P21"/>
  <sheetViews>
    <sheetView showGridLines="0" topLeftCell="A2" zoomScale="70" workbookViewId="0">
      <selection activeCell="P35" sqref="P35"/>
    </sheetView>
  </sheetViews>
  <sheetFormatPr defaultRowHeight="14.4"/>
  <cols>
    <col min="3" max="3" width="9.21875" bestFit="1" customWidth="1"/>
    <col min="4" max="5" width="9.6640625" bestFit="1" customWidth="1"/>
    <col min="6" max="6" width="10.6640625" bestFit="1" customWidth="1"/>
    <col min="7" max="8" width="9.21875" bestFit="1" customWidth="1"/>
    <col min="10" max="10" width="10.5546875" bestFit="1" customWidth="1"/>
    <col min="11" max="16" width="9" bestFit="1" customWidth="1"/>
  </cols>
  <sheetData>
    <row r="5" spans="2:16" ht="20.399999999999999">
      <c r="B5" s="394" t="s">
        <v>194</v>
      </c>
      <c r="C5" s="395"/>
      <c r="D5" s="395"/>
      <c r="E5" s="395"/>
      <c r="F5" s="395"/>
      <c r="G5" s="395"/>
      <c r="H5" s="395"/>
      <c r="J5" s="394" t="s">
        <v>194</v>
      </c>
      <c r="K5" s="395"/>
      <c r="L5" s="395"/>
      <c r="M5" s="395"/>
      <c r="N5" s="395"/>
      <c r="O5" s="395"/>
      <c r="P5" s="395"/>
    </row>
    <row r="6" spans="2:16" ht="16.8">
      <c r="B6" s="396" t="s">
        <v>474</v>
      </c>
      <c r="C6" s="395"/>
      <c r="D6" s="395"/>
      <c r="E6" s="395"/>
      <c r="F6" s="395"/>
      <c r="G6" s="395"/>
      <c r="H6" s="395"/>
      <c r="J6" s="396" t="s">
        <v>474</v>
      </c>
      <c r="K6" s="395"/>
      <c r="L6" s="395"/>
      <c r="M6" s="395"/>
      <c r="N6" s="395"/>
      <c r="O6" s="395"/>
      <c r="P6" s="395"/>
    </row>
    <row r="8" spans="2:16">
      <c r="B8" s="397"/>
      <c r="C8" s="397" t="s">
        <v>316</v>
      </c>
      <c r="D8" s="397" t="s">
        <v>475</v>
      </c>
      <c r="E8" s="397" t="s">
        <v>318</v>
      </c>
      <c r="F8" s="397" t="s">
        <v>388</v>
      </c>
      <c r="G8" s="397" t="s">
        <v>476</v>
      </c>
      <c r="H8" s="397" t="s">
        <v>390</v>
      </c>
      <c r="J8" s="397"/>
      <c r="K8" s="397" t="s">
        <v>316</v>
      </c>
      <c r="L8" s="397" t="s">
        <v>475</v>
      </c>
      <c r="M8" s="397" t="s">
        <v>318</v>
      </c>
      <c r="N8" s="397" t="s">
        <v>388</v>
      </c>
      <c r="O8" s="397" t="s">
        <v>476</v>
      </c>
      <c r="P8" s="397" t="s">
        <v>390</v>
      </c>
    </row>
    <row r="9" spans="2:16">
      <c r="B9" s="398" t="s">
        <v>206</v>
      </c>
      <c r="C9" s="399"/>
      <c r="D9" s="399"/>
      <c r="E9" s="399"/>
      <c r="F9" s="398">
        <f>'[1]Debt Schedule'!H15</f>
        <v>0</v>
      </c>
      <c r="G9" s="401">
        <v>0.25</v>
      </c>
      <c r="H9" s="400">
        <f>DCF!C47*G9</f>
        <v>11.397519694771367</v>
      </c>
      <c r="J9" s="420" t="s">
        <v>482</v>
      </c>
      <c r="K9" s="420">
        <f>26.62</f>
        <v>26.62</v>
      </c>
      <c r="L9" s="263">
        <f>M9-K9</f>
        <v>8.0100000000000016</v>
      </c>
      <c r="M9" s="420">
        <v>34.630000000000003</v>
      </c>
      <c r="N9" s="420"/>
      <c r="O9" s="420"/>
      <c r="P9" s="420"/>
    </row>
    <row r="10" spans="2:16">
      <c r="B10" s="263" t="s">
        <v>313</v>
      </c>
      <c r="C10" s="263">
        <f>[1]DCF!Q17</f>
        <v>0</v>
      </c>
      <c r="D10" s="263">
        <f>E10-C10</f>
        <v>102860.26535658205</v>
      </c>
      <c r="E10" s="263">
        <f>[1]DCF!T14</f>
        <v>102860.26535658205</v>
      </c>
      <c r="F10" s="400">
        <f>[1]DCF!S15</f>
        <v>94248.357609642509</v>
      </c>
      <c r="G10" s="401">
        <v>0.15</v>
      </c>
      <c r="H10" s="400">
        <f>G10*NAV!D22</f>
        <v>5.7638509707726904</v>
      </c>
      <c r="J10" s="398" t="s">
        <v>206</v>
      </c>
      <c r="K10" s="423">
        <f>DCF!G41</f>
        <v>38.280253899640876</v>
      </c>
      <c r="L10" s="424">
        <f>M10-K10</f>
        <v>7.311569618266482</v>
      </c>
      <c r="M10" s="423">
        <f>DCF!I39</f>
        <v>45.591823517907358</v>
      </c>
      <c r="N10" s="398">
        <f>'[1]Debt Schedule'!P15</f>
        <v>0</v>
      </c>
      <c r="O10" s="401">
        <v>0.3</v>
      </c>
      <c r="P10" s="400">
        <f>DCF!K47*O10</f>
        <v>0</v>
      </c>
    </row>
    <row r="11" spans="2:16">
      <c r="B11" s="263" t="s">
        <v>477</v>
      </c>
      <c r="C11" s="263">
        <f>[1]Comps!M29</f>
        <v>0</v>
      </c>
      <c r="D11" s="263">
        <f t="shared" ref="D11:D12" si="0">E11-C11</f>
        <v>0</v>
      </c>
      <c r="E11" s="263">
        <f>[1]Comps!M27</f>
        <v>0</v>
      </c>
      <c r="F11" s="400">
        <f>[1]Comps!M26</f>
        <v>0</v>
      </c>
      <c r="G11" s="401">
        <v>0.1</v>
      </c>
      <c r="H11" s="400">
        <f>G11*DDM!C25</f>
        <v>3.369147865397804</v>
      </c>
      <c r="J11" s="263" t="s">
        <v>314</v>
      </c>
      <c r="K11" s="424">
        <f>DCF!C78</f>
        <v>39.254868144381334</v>
      </c>
      <c r="L11" s="424">
        <f>M11-K11</f>
        <v>12.259335476107495</v>
      </c>
      <c r="M11" s="424">
        <f>DCF!F78</f>
        <v>51.514203620488829</v>
      </c>
      <c r="N11" s="400">
        <f>[1]DCF!AA15</f>
        <v>0</v>
      </c>
      <c r="O11" s="401">
        <v>0.25</v>
      </c>
      <c r="P11" s="400">
        <f>O11*NAV!J22</f>
        <v>0</v>
      </c>
    </row>
    <row r="12" spans="2:16">
      <c r="B12" s="263" t="s">
        <v>325</v>
      </c>
      <c r="C12" s="263">
        <f>[1]Comps!N29</f>
        <v>0</v>
      </c>
      <c r="D12" s="263">
        <f t="shared" si="0"/>
        <v>56216.67581297076</v>
      </c>
      <c r="E12" s="263">
        <f>[1]Comps!N27</f>
        <v>56216.67581297076</v>
      </c>
      <c r="F12" s="400">
        <f>[1]Comps!N26</f>
        <v>103155.57663526664</v>
      </c>
      <c r="G12" s="401">
        <v>0.3</v>
      </c>
      <c r="H12" s="400">
        <f>G12*DCF!C56</f>
        <v>8.8912387239679411</v>
      </c>
      <c r="J12" s="263" t="s">
        <v>470</v>
      </c>
      <c r="K12" s="424">
        <f>DCF!C67</f>
        <v>27.01084922593947</v>
      </c>
      <c r="L12" s="424">
        <f t="shared" ref="L12:L14" si="1">M12-K12</f>
        <v>11.849774062698483</v>
      </c>
      <c r="M12" s="424">
        <f>DCF!F67</f>
        <v>38.860623288637953</v>
      </c>
      <c r="N12" s="400">
        <f>[1]Comps!U26</f>
        <v>0</v>
      </c>
      <c r="O12" s="401">
        <v>0.15</v>
      </c>
      <c r="P12" s="400">
        <f>O12*DDM!K25</f>
        <v>0</v>
      </c>
    </row>
    <row r="13" spans="2:16">
      <c r="B13" s="263" t="s">
        <v>321</v>
      </c>
      <c r="C13" s="400"/>
      <c r="D13" s="400"/>
      <c r="E13" s="400"/>
      <c r="F13" s="400"/>
      <c r="G13" s="401">
        <v>0.2</v>
      </c>
      <c r="H13" s="400">
        <f>DCF!C86*G13</f>
        <v>7.6695734154524473</v>
      </c>
      <c r="J13" s="263" t="s">
        <v>325</v>
      </c>
      <c r="K13" s="424">
        <f>DCF!F56</f>
        <v>27.153011723174494</v>
      </c>
      <c r="L13" s="424">
        <f t="shared" si="1"/>
        <v>7.5723123314637135</v>
      </c>
      <c r="M13" s="424">
        <f>DCF!I56</f>
        <v>34.725324054638207</v>
      </c>
      <c r="N13" s="400">
        <f>[1]Comps!V26</f>
        <v>0</v>
      </c>
      <c r="O13" s="401">
        <v>0.3</v>
      </c>
      <c r="P13" s="400">
        <f>O13*DCF!K56</f>
        <v>0</v>
      </c>
    </row>
    <row r="14" spans="2:16">
      <c r="B14" s="400"/>
      <c r="G14" s="401">
        <f>SUM(G9:G13)</f>
        <v>1</v>
      </c>
      <c r="H14" s="400">
        <f>SUM(H9:H13)</f>
        <v>37.091330670362247</v>
      </c>
      <c r="J14" s="263" t="s">
        <v>321</v>
      </c>
      <c r="K14" s="423">
        <f>DCF!C86</f>
        <v>38.347867077262237</v>
      </c>
      <c r="L14" s="424">
        <f t="shared" si="1"/>
        <v>6.963147634686699</v>
      </c>
      <c r="M14" s="423">
        <f>DCF!F86</f>
        <v>45.311014711948935</v>
      </c>
      <c r="N14" s="400"/>
      <c r="O14" s="401">
        <f>SUM(O10:O13)</f>
        <v>1</v>
      </c>
      <c r="P14" s="400">
        <f>SUM(P10:P13)</f>
        <v>0</v>
      </c>
    </row>
    <row r="15" spans="2:16">
      <c r="J15" s="420" t="s">
        <v>482</v>
      </c>
      <c r="K15" s="425">
        <f>26.62</f>
        <v>26.62</v>
      </c>
      <c r="L15" s="424">
        <f>M15-K15</f>
        <v>8.0100000000000016</v>
      </c>
      <c r="M15" s="425">
        <v>34.630000000000003</v>
      </c>
    </row>
    <row r="17" spans="2:3">
      <c r="B17" s="320" t="str">
        <f>B9</f>
        <v>EV/EBIT</v>
      </c>
      <c r="C17" s="314">
        <v>0.25</v>
      </c>
    </row>
    <row r="18" spans="2:3">
      <c r="B18" s="320" t="str">
        <f t="shared" ref="B18:B20" si="2">B10</f>
        <v>NAV</v>
      </c>
      <c r="C18" s="314">
        <v>0.15</v>
      </c>
    </row>
    <row r="19" spans="2:3">
      <c r="B19" s="320" t="str">
        <f t="shared" si="2"/>
        <v>DDM</v>
      </c>
      <c r="C19" s="314">
        <v>0.1</v>
      </c>
    </row>
    <row r="20" spans="2:3">
      <c r="B20" s="320" t="str">
        <f t="shared" si="2"/>
        <v>P/FFO</v>
      </c>
      <c r="C20" s="314">
        <v>0.3</v>
      </c>
    </row>
    <row r="21" spans="2:3">
      <c r="B21" t="s">
        <v>321</v>
      </c>
      <c r="C21" s="314">
        <v>0.2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825ff6b-2c9a-4956-bc75-b1727e9cf57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1506DB1A1A7F14F8611E485A3715D6E" ma:contentTypeVersion="8" ma:contentTypeDescription="Create a new document." ma:contentTypeScope="" ma:versionID="ba7d41ba090f2388d83bf65c2e9fa870">
  <xsd:schema xmlns:xsd="http://www.w3.org/2001/XMLSchema" xmlns:xs="http://www.w3.org/2001/XMLSchema" xmlns:p="http://schemas.microsoft.com/office/2006/metadata/properties" xmlns:ns3="3825ff6b-2c9a-4956-bc75-b1727e9cf578" xmlns:ns4="e4cc96a7-d5c0-48d0-abfe-c75c6fdff47e" targetNamespace="http://schemas.microsoft.com/office/2006/metadata/properties" ma:root="true" ma:fieldsID="07cdfeee5bd39a0cc936ff640710ab17" ns3:_="" ns4:_="">
    <xsd:import namespace="3825ff6b-2c9a-4956-bc75-b1727e9cf578"/>
    <xsd:import namespace="e4cc96a7-d5c0-48d0-abfe-c75c6fdff47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25ff6b-2c9a-4956-bc75-b1727e9cf5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cc96a7-d5c0-48d0-abfe-c75c6fdff4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34941E-4626-4CEB-8DC1-F602DBD9CF86}">
  <ds:schemaRefs>
    <ds:schemaRef ds:uri="http://www.w3.org/XML/1998/namespace"/>
    <ds:schemaRef ds:uri="e4cc96a7-d5c0-48d0-abfe-c75c6fdff47e"/>
    <ds:schemaRef ds:uri="http://purl.org/dc/dcmitype/"/>
    <ds:schemaRef ds:uri="3825ff6b-2c9a-4956-bc75-b1727e9cf578"/>
    <ds:schemaRef ds:uri="http://schemas.openxmlformats.org/package/2006/metadata/core-properties"/>
    <ds:schemaRef ds:uri="http://purl.org/dc/elements/1.1/"/>
    <ds:schemaRef ds:uri="http://purl.org/dc/term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2C0986C-B56C-4BAC-9101-DDBB841F033C}">
  <ds:schemaRefs>
    <ds:schemaRef ds:uri="http://schemas.microsoft.com/sharepoint/v3/contenttype/forms"/>
  </ds:schemaRefs>
</ds:datastoreItem>
</file>

<file path=customXml/itemProps3.xml><?xml version="1.0" encoding="utf-8"?>
<ds:datastoreItem xmlns:ds="http://schemas.openxmlformats.org/officeDocument/2006/customXml" ds:itemID="{A74EB1DF-38DB-4C5D-B54B-D05E1EDC18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25ff6b-2c9a-4956-bc75-b1727e9cf578"/>
    <ds:schemaRef ds:uri="e4cc96a7-d5c0-48d0-abfe-c75c6fdff4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Income Statement</vt:lpstr>
      <vt:lpstr>Rev Build</vt:lpstr>
      <vt:lpstr>Balannce Sheet</vt:lpstr>
      <vt:lpstr>NWC</vt:lpstr>
      <vt:lpstr>CF Simpler</vt:lpstr>
      <vt:lpstr>REAL COMPS</vt:lpstr>
      <vt:lpstr>DCF</vt:lpstr>
      <vt:lpstr>NAV</vt:lpstr>
      <vt:lpstr>Football Field</vt:lpstr>
      <vt:lpstr>WACC</vt:lpstr>
      <vt:lpstr>DDM</vt:lpstr>
      <vt:lpstr>BETA</vt:lpstr>
      <vt:lpstr>other</vt:lpstr>
      <vt:lpstr>stock</vt:lpstr>
      <vt:lpstr>Sheet3</vt:lpstr>
      <vt:lpstr>Las Vegas Stats</vt:lpstr>
      <vt:lpstr>Sheet1</vt:lpstr>
      <vt:lpstr>Banks porjections</vt:lpstr>
      <vt:lpstr>graphs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Stefano Ammaturo</dc:creator>
  <cp:lastModifiedBy>Stefano Ammaturo</cp:lastModifiedBy>
  <dcterms:created xsi:type="dcterms:W3CDTF">2024-01-26T04:40:26Z</dcterms:created>
  <dcterms:modified xsi:type="dcterms:W3CDTF">2024-02-16T02:30:53Z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0x010100E1506DB1A1A7F14F8611E485A3715D6E</vt:lpwstr>
  </property>
</Properties>
</file>